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5" yWindow="-255" windowWidth="14880" windowHeight="9075" tabRatio="922"/>
  </bookViews>
  <sheets>
    <sheet name="Resumen Pelagicos" sheetId="4" r:id="rId1"/>
    <sheet name="PELAGICOS LTP" sheetId="5" r:id="rId2"/>
    <sheet name="ANCHOVETA " sheetId="6" r:id="rId3"/>
    <sheet name="SARDINA COMUN " sheetId="7" r:id="rId4"/>
    <sheet name="IC ANCH-SARC V-VII y IX-X" sheetId="8" r:id="rId5"/>
    <sheet name="IC ANCH-SARC VIII" sheetId="9" r:id="rId6"/>
    <sheet name="Consumo Cesiones_VIII" sheetId="12" r:id="rId7"/>
    <sheet name="Consumo Cesiones_V-VII y IX-X " sheetId="15" r:id="rId8"/>
    <sheet name="Consumo Humano" sheetId="10" r:id="rId9"/>
    <sheet name="Pesca Investigacion" sheetId="13" r:id="rId10"/>
  </sheets>
  <definedNames>
    <definedName name="_xlnm._FilterDatabase" localSheetId="2" hidden="1">'ANCHOVETA '!$D$1:$D$596</definedName>
    <definedName name="_xlnm._FilterDatabase" localSheetId="6" hidden="1">'Consumo Cesiones_VIII'!$B$3:$O$947</definedName>
    <definedName name="_xlnm._FilterDatabase" localSheetId="8" hidden="1">'Consumo Humano'!#REF!</definedName>
    <definedName name="_xlnm._FilterDatabase" localSheetId="5" hidden="1">'IC ANCH-SARC VIII'!$C$3:$Q$80</definedName>
    <definedName name="_xlnm._FilterDatabase" localSheetId="1" hidden="1">'PELAGICOS LTP'!$B$52:$J$168</definedName>
    <definedName name="_xlnm._FilterDatabase" localSheetId="0" hidden="1">'Resumen Pelagicos'!$B$14:$I$41</definedName>
    <definedName name="_xlnm._FilterDatabase" localSheetId="3" hidden="1">'SARDINA COMUN '!$D$1:$D$568</definedName>
    <definedName name="_xlnm.Print_Area" localSheetId="4">'IC ANCH-SARC V-VII y IX-X'!$A$2:$S$43</definedName>
    <definedName name="_xlnm.Print_Area" localSheetId="1">'PELAGICOS LTP'!$C$11:$G$24</definedName>
  </definedNames>
  <calcPr calcId="125725"/>
  <pivotCaches>
    <pivotCache cacheId="4" r:id="rId11"/>
  </pivotCaches>
</workbook>
</file>

<file path=xl/calcChain.xml><?xml version="1.0" encoding="utf-8"?>
<calcChain xmlns="http://schemas.openxmlformats.org/spreadsheetml/2006/main">
  <c r="L1088" i="12"/>
  <c r="M1088"/>
  <c r="L1090"/>
  <c r="M1090"/>
  <c r="L1092"/>
  <c r="N1092" s="1"/>
  <c r="M1092"/>
  <c r="L1094"/>
  <c r="M1094"/>
  <c r="L1096"/>
  <c r="M1096"/>
  <c r="L458"/>
  <c r="M458"/>
  <c r="M446"/>
  <c r="L446"/>
  <c r="M432"/>
  <c r="L432"/>
  <c r="N432" s="1"/>
  <c r="N426"/>
  <c r="M426"/>
  <c r="L426"/>
  <c r="H51" i="5"/>
  <c r="F42"/>
  <c r="F30"/>
  <c r="F29"/>
  <c r="F41"/>
  <c r="F38"/>
  <c r="F26"/>
  <c r="F16"/>
  <c r="F15"/>
  <c r="F11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G87" i="7"/>
  <c r="G82"/>
  <c r="G64"/>
  <c r="G50"/>
  <c r="G49"/>
  <c r="G48"/>
  <c r="G37"/>
  <c r="G36"/>
  <c r="G19"/>
  <c r="G88" i="6"/>
  <c r="P88" s="1"/>
  <c r="G92"/>
  <c r="P92" s="1"/>
  <c r="G83"/>
  <c r="P83" s="1"/>
  <c r="G85"/>
  <c r="P85"/>
  <c r="G78"/>
  <c r="G80"/>
  <c r="G51"/>
  <c r="G49"/>
  <c r="G20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4"/>
  <c r="P86"/>
  <c r="P87"/>
  <c r="P89"/>
  <c r="P90"/>
  <c r="P91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18"/>
  <c r="G105" i="7"/>
  <c r="N1088" i="12" l="1"/>
  <c r="N458"/>
  <c r="N1090"/>
  <c r="N1096"/>
  <c r="N1094"/>
  <c r="N446"/>
  <c r="F15" i="7"/>
  <c r="F14"/>
  <c r="F13"/>
  <c r="F15" i="6"/>
  <c r="F16"/>
  <c r="F14"/>
  <c r="F109"/>
  <c r="F109" i="7"/>
  <c r="F110"/>
  <c r="F111"/>
  <c r="F112"/>
  <c r="F113"/>
  <c r="F114"/>
  <c r="F115"/>
  <c r="F116"/>
  <c r="F117"/>
  <c r="F118"/>
  <c r="F108"/>
  <c r="F94"/>
  <c r="J34" i="4"/>
  <c r="J35"/>
  <c r="J37"/>
  <c r="J39"/>
  <c r="A39"/>
  <c r="A37"/>
  <c r="A35"/>
  <c r="A34"/>
  <c r="A16"/>
  <c r="J16" s="1"/>
  <c r="A15"/>
  <c r="J15" s="1"/>
  <c r="J18"/>
  <c r="J19"/>
  <c r="J20"/>
  <c r="E59"/>
  <c r="G113" i="7" l="1"/>
  <c r="G71"/>
  <c r="G94"/>
  <c r="L948" i="12"/>
  <c r="M948"/>
  <c r="L950"/>
  <c r="M950"/>
  <c r="L952"/>
  <c r="M952"/>
  <c r="L954"/>
  <c r="M954"/>
  <c r="L956"/>
  <c r="M956"/>
  <c r="L958"/>
  <c r="M958"/>
  <c r="L960"/>
  <c r="M960"/>
  <c r="L962"/>
  <c r="M962"/>
  <c r="L964"/>
  <c r="M964"/>
  <c r="L966"/>
  <c r="M966"/>
  <c r="L968"/>
  <c r="M968"/>
  <c r="L970"/>
  <c r="M970"/>
  <c r="L972"/>
  <c r="M972"/>
  <c r="L974"/>
  <c r="M974"/>
  <c r="L976"/>
  <c r="M976"/>
  <c r="L978"/>
  <c r="M978"/>
  <c r="L980"/>
  <c r="M980"/>
  <c r="L982"/>
  <c r="M982"/>
  <c r="L984"/>
  <c r="M984"/>
  <c r="L986"/>
  <c r="M986"/>
  <c r="L988"/>
  <c r="M988"/>
  <c r="L990"/>
  <c r="M990"/>
  <c r="L992"/>
  <c r="M992"/>
  <c r="L994"/>
  <c r="M994"/>
  <c r="L996"/>
  <c r="M996"/>
  <c r="L998"/>
  <c r="M998"/>
  <c r="L1000"/>
  <c r="M1000"/>
  <c r="L1002"/>
  <c r="N1002" s="1"/>
  <c r="M1002"/>
  <c r="L1004"/>
  <c r="M1004"/>
  <c r="L1006"/>
  <c r="M1006"/>
  <c r="L1008"/>
  <c r="M1008"/>
  <c r="L1010"/>
  <c r="M1010"/>
  <c r="L1012"/>
  <c r="M1012"/>
  <c r="L1014"/>
  <c r="M1014"/>
  <c r="L1016"/>
  <c r="M1016"/>
  <c r="L1018"/>
  <c r="M1018"/>
  <c r="L1020"/>
  <c r="M1020"/>
  <c r="L1022"/>
  <c r="M1022"/>
  <c r="L1024"/>
  <c r="M1024"/>
  <c r="L1026"/>
  <c r="N1026" s="1"/>
  <c r="M1026"/>
  <c r="L1028"/>
  <c r="M1028"/>
  <c r="L1030"/>
  <c r="M1030"/>
  <c r="L1032"/>
  <c r="M1032"/>
  <c r="L1034"/>
  <c r="N1034" s="1"/>
  <c r="M1034"/>
  <c r="L1036"/>
  <c r="M1036"/>
  <c r="L1038"/>
  <c r="M1038"/>
  <c r="L1040"/>
  <c r="M1040"/>
  <c r="L1042"/>
  <c r="M1042"/>
  <c r="L1044"/>
  <c r="M1044"/>
  <c r="L1046"/>
  <c r="M1046"/>
  <c r="L1048"/>
  <c r="M1048"/>
  <c r="L1050"/>
  <c r="M1050"/>
  <c r="L1052"/>
  <c r="M1052"/>
  <c r="L1054"/>
  <c r="M1054"/>
  <c r="L1056"/>
  <c r="M1056"/>
  <c r="L1058"/>
  <c r="N1058" s="1"/>
  <c r="M1058"/>
  <c r="L1060"/>
  <c r="M1060"/>
  <c r="L1062"/>
  <c r="M1062"/>
  <c r="L1064"/>
  <c r="M1064"/>
  <c r="L1066"/>
  <c r="M1066"/>
  <c r="L1068"/>
  <c r="M1068"/>
  <c r="L1070"/>
  <c r="M1070"/>
  <c r="L1072"/>
  <c r="M1072"/>
  <c r="L1074"/>
  <c r="M1074"/>
  <c r="L1076"/>
  <c r="M1076"/>
  <c r="L1078"/>
  <c r="M1078"/>
  <c r="L1080"/>
  <c r="M1080"/>
  <c r="L1082"/>
  <c r="M1082"/>
  <c r="L1084"/>
  <c r="M1084"/>
  <c r="L1086"/>
  <c r="M1086"/>
  <c r="M420"/>
  <c r="L420"/>
  <c r="M414"/>
  <c r="L414"/>
  <c r="M404"/>
  <c r="L404"/>
  <c r="M394"/>
  <c r="L394"/>
  <c r="M390"/>
  <c r="L390"/>
  <c r="M386"/>
  <c r="L386"/>
  <c r="M376"/>
  <c r="L376"/>
  <c r="M366"/>
  <c r="L366"/>
  <c r="M356"/>
  <c r="L356"/>
  <c r="M346"/>
  <c r="L346"/>
  <c r="M336"/>
  <c r="L336"/>
  <c r="M326"/>
  <c r="L326"/>
  <c r="M316"/>
  <c r="L316"/>
  <c r="M306"/>
  <c r="L306"/>
  <c r="M300"/>
  <c r="L300"/>
  <c r="M290"/>
  <c r="L290"/>
  <c r="M280"/>
  <c r="L280"/>
  <c r="M270"/>
  <c r="L270"/>
  <c r="M260"/>
  <c r="L260"/>
  <c r="M250"/>
  <c r="L250"/>
  <c r="M240"/>
  <c r="L240"/>
  <c r="M230"/>
  <c r="L230"/>
  <c r="M220"/>
  <c r="L220"/>
  <c r="M210"/>
  <c r="L210"/>
  <c r="M200"/>
  <c r="L200"/>
  <c r="M194"/>
  <c r="L194"/>
  <c r="M184"/>
  <c r="L184"/>
  <c r="N174"/>
  <c r="M174"/>
  <c r="L174"/>
  <c r="M168"/>
  <c r="L168"/>
  <c r="M162"/>
  <c r="L162"/>
  <c r="M158"/>
  <c r="L158"/>
  <c r="M152"/>
  <c r="L152"/>
  <c r="M148"/>
  <c r="L148"/>
  <c r="M144"/>
  <c r="L144"/>
  <c r="M140"/>
  <c r="L140"/>
  <c r="M136"/>
  <c r="L136"/>
  <c r="M132"/>
  <c r="L132"/>
  <c r="M126"/>
  <c r="L126"/>
  <c r="M120"/>
  <c r="L120"/>
  <c r="M114"/>
  <c r="L114"/>
  <c r="M108"/>
  <c r="L108"/>
  <c r="M102"/>
  <c r="L102"/>
  <c r="M98"/>
  <c r="L98"/>
  <c r="M84"/>
  <c r="L84"/>
  <c r="M66"/>
  <c r="L66"/>
  <c r="M62"/>
  <c r="L62"/>
  <c r="M56"/>
  <c r="L56"/>
  <c r="M46"/>
  <c r="L46"/>
  <c r="M36"/>
  <c r="L36"/>
  <c r="M22"/>
  <c r="L22"/>
  <c r="M4"/>
  <c r="L4"/>
  <c r="N1084" l="1"/>
  <c r="N1080"/>
  <c r="N1076"/>
  <c r="N184"/>
  <c r="N1032"/>
  <c r="N1008"/>
  <c r="N98"/>
  <c r="N168"/>
  <c r="N210"/>
  <c r="N250"/>
  <c r="N84"/>
  <c r="N336"/>
  <c r="N404"/>
  <c r="N140"/>
  <c r="N158"/>
  <c r="N194"/>
  <c r="N326"/>
  <c r="N4"/>
  <c r="N56"/>
  <c r="N66"/>
  <c r="N102"/>
  <c r="N114"/>
  <c r="N136"/>
  <c r="N260"/>
  <c r="N300"/>
  <c r="N316"/>
  <c r="N346"/>
  <c r="N366"/>
  <c r="N394"/>
  <c r="O376"/>
  <c r="O404"/>
  <c r="O394"/>
  <c r="O420"/>
  <c r="N22"/>
  <c r="N46"/>
  <c r="N120"/>
  <c r="N132"/>
  <c r="N144"/>
  <c r="N152"/>
  <c r="N220"/>
  <c r="N240"/>
  <c r="N270"/>
  <c r="N290"/>
  <c r="N376"/>
  <c r="N390"/>
  <c r="N414"/>
  <c r="N1040"/>
  <c r="N1086"/>
  <c r="N1078"/>
  <c r="N1000"/>
  <c r="N992"/>
  <c r="N988"/>
  <c r="N984"/>
  <c r="N980"/>
  <c r="N968"/>
  <c r="N960"/>
  <c r="N956"/>
  <c r="N952"/>
  <c r="N948"/>
  <c r="N1064"/>
  <c r="N990"/>
  <c r="N982"/>
  <c r="N958"/>
  <c r="N950"/>
  <c r="N1014"/>
  <c r="N1066"/>
  <c r="N1054"/>
  <c r="N1046"/>
  <c r="N1024"/>
  <c r="N1020"/>
  <c r="N1016"/>
  <c r="N1012"/>
  <c r="N976"/>
  <c r="N962"/>
  <c r="N1072"/>
  <c r="N1022"/>
  <c r="N1056"/>
  <c r="N1052"/>
  <c r="N1048"/>
  <c r="N1044"/>
  <c r="N994"/>
  <c r="N970"/>
  <c r="O414"/>
  <c r="N998"/>
  <c r="N966"/>
  <c r="N36"/>
  <c r="N62"/>
  <c r="N108"/>
  <c r="N126"/>
  <c r="N148"/>
  <c r="N162"/>
  <c r="N200"/>
  <c r="N230"/>
  <c r="N280"/>
  <c r="N306"/>
  <c r="N356"/>
  <c r="N386"/>
  <c r="N420"/>
  <c r="N1074"/>
  <c r="N1070"/>
  <c r="N1060"/>
  <c r="N1042"/>
  <c r="N1038"/>
  <c r="N1028"/>
  <c r="N1010"/>
  <c r="N1006"/>
  <c r="N996"/>
  <c r="N978"/>
  <c r="N974"/>
  <c r="N964"/>
  <c r="N1062"/>
  <c r="N1030"/>
  <c r="N1082"/>
  <c r="N1068"/>
  <c r="N1050"/>
  <c r="N1036"/>
  <c r="N1018"/>
  <c r="N1004"/>
  <c r="N986"/>
  <c r="N972"/>
  <c r="N954"/>
  <c r="G117" i="6" l="1"/>
  <c r="G114"/>
  <c r="G116" i="7"/>
  <c r="E29" i="4"/>
  <c r="E17" i="15"/>
  <c r="E31"/>
  <c r="E30"/>
  <c r="I94" i="6" l="1"/>
  <c r="G67" i="7" l="1"/>
  <c r="G40"/>
  <c r="G33"/>
  <c r="G21"/>
  <c r="G18" i="6"/>
  <c r="G70"/>
  <c r="G69" i="7"/>
  <c r="G68" i="6"/>
  <c r="G86" i="7"/>
  <c r="G87" i="6"/>
  <c r="G91" i="7"/>
  <c r="N6"/>
  <c r="N7"/>
  <c r="N8"/>
  <c r="N9"/>
  <c r="N7" i="6"/>
  <c r="N8"/>
  <c r="N9"/>
  <c r="N10"/>
  <c r="G29" i="7"/>
  <c r="C10" i="15"/>
  <c r="D10"/>
  <c r="E10"/>
  <c r="O366" i="12" l="1"/>
  <c r="G72" i="7"/>
  <c r="G32"/>
  <c r="G33" i="6"/>
  <c r="G17" i="7"/>
  <c r="C2" i="9"/>
  <c r="C3" i="8"/>
  <c r="F28" i="5" l="1"/>
  <c r="F13"/>
  <c r="F35"/>
  <c r="F21"/>
  <c r="F47"/>
  <c r="F23"/>
  <c r="F34"/>
  <c r="F20"/>
  <c r="I134"/>
  <c r="I135"/>
  <c r="I136"/>
  <c r="I137"/>
  <c r="I138"/>
  <c r="I139"/>
  <c r="I140"/>
  <c r="I141"/>
  <c r="I142"/>
  <c r="I143"/>
  <c r="I144"/>
  <c r="I145"/>
  <c r="I28" i="4" l="1"/>
  <c r="I27"/>
  <c r="I9"/>
  <c r="I10"/>
  <c r="G9"/>
  <c r="G28"/>
  <c r="L912" i="12"/>
  <c r="M912"/>
  <c r="L914"/>
  <c r="M914"/>
  <c r="L916"/>
  <c r="M916"/>
  <c r="L918"/>
  <c r="M918"/>
  <c r="L920"/>
  <c r="M920"/>
  <c r="L922"/>
  <c r="M922"/>
  <c r="L924"/>
  <c r="M924"/>
  <c r="L926"/>
  <c r="M926"/>
  <c r="L928"/>
  <c r="M928"/>
  <c r="L930"/>
  <c r="M930"/>
  <c r="L932"/>
  <c r="M932"/>
  <c r="L934"/>
  <c r="M934"/>
  <c r="L936"/>
  <c r="M936"/>
  <c r="L938"/>
  <c r="M938"/>
  <c r="L940"/>
  <c r="M940"/>
  <c r="L942"/>
  <c r="M942"/>
  <c r="L944"/>
  <c r="M944"/>
  <c r="L946"/>
  <c r="M946"/>
  <c r="O356"/>
  <c r="O346"/>
  <c r="O336"/>
  <c r="O326"/>
  <c r="O316"/>
  <c r="O306"/>
  <c r="O300"/>
  <c r="O290"/>
  <c r="O280"/>
  <c r="O270"/>
  <c r="O260"/>
  <c r="O250"/>
  <c r="O240"/>
  <c r="O230"/>
  <c r="O220"/>
  <c r="O210"/>
  <c r="O200"/>
  <c r="O194"/>
  <c r="O184"/>
  <c r="O174"/>
  <c r="O168"/>
  <c r="O162"/>
  <c r="O158"/>
  <c r="O152"/>
  <c r="O140"/>
  <c r="O144"/>
  <c r="O148"/>
  <c r="O136"/>
  <c r="O132"/>
  <c r="O126"/>
  <c r="O120"/>
  <c r="O114"/>
  <c r="O108"/>
  <c r="O102"/>
  <c r="O98"/>
  <c r="O84"/>
  <c r="O66"/>
  <c r="O62"/>
  <c r="O56"/>
  <c r="O46"/>
  <c r="O36"/>
  <c r="O22"/>
  <c r="O4"/>
  <c r="L468"/>
  <c r="C31" i="15"/>
  <c r="D31"/>
  <c r="E18"/>
  <c r="E19"/>
  <c r="E20"/>
  <c r="E21"/>
  <c r="E22"/>
  <c r="E23"/>
  <c r="E24"/>
  <c r="E25"/>
  <c r="E26"/>
  <c r="E27"/>
  <c r="E28"/>
  <c r="E29"/>
  <c r="N944" i="12" l="1"/>
  <c r="N940"/>
  <c r="N936"/>
  <c r="N932"/>
  <c r="N928"/>
  <c r="N924"/>
  <c r="N920"/>
  <c r="N946"/>
  <c r="N942"/>
  <c r="N938"/>
  <c r="N934"/>
  <c r="N916"/>
  <c r="O912"/>
  <c r="N912"/>
  <c r="O932"/>
  <c r="N930"/>
  <c r="N926"/>
  <c r="N922"/>
  <c r="N918"/>
  <c r="N914"/>
  <c r="O918"/>
  <c r="O916"/>
  <c r="O934"/>
  <c r="O942"/>
  <c r="O926"/>
  <c r="O940"/>
  <c r="O924"/>
  <c r="O944"/>
  <c r="O936"/>
  <c r="O928"/>
  <c r="O920"/>
  <c r="O946"/>
  <c r="O938"/>
  <c r="O930"/>
  <c r="O922"/>
  <c r="O914"/>
  <c r="I119" i="7"/>
  <c r="G41" i="6" l="1"/>
  <c r="G34"/>
  <c r="A20" i="8" l="1"/>
  <c r="A21"/>
  <c r="A22"/>
  <c r="A23"/>
  <c r="A24"/>
  <c r="A25"/>
  <c r="A26"/>
  <c r="A27"/>
  <c r="A28"/>
  <c r="A29"/>
  <c r="A19"/>
  <c r="G106" i="6"/>
  <c r="G14" i="7"/>
  <c r="G15" i="6"/>
  <c r="G112" i="7"/>
  <c r="G113" i="6"/>
  <c r="G109" i="7"/>
  <c r="G110" i="6"/>
  <c r="G108" i="7"/>
  <c r="G109" i="6"/>
  <c r="G110" i="7"/>
  <c r="G79" l="1"/>
  <c r="G84"/>
  <c r="G115"/>
  <c r="G115" i="6"/>
  <c r="L896" i="12" l="1"/>
  <c r="M896"/>
  <c r="L898"/>
  <c r="M898"/>
  <c r="L900"/>
  <c r="M900"/>
  <c r="L902"/>
  <c r="M902"/>
  <c r="L904"/>
  <c r="M904"/>
  <c r="L906"/>
  <c r="M906"/>
  <c r="L908"/>
  <c r="M908"/>
  <c r="L910"/>
  <c r="M910"/>
  <c r="M894"/>
  <c r="L894"/>
  <c r="E32" i="8"/>
  <c r="E33"/>
  <c r="E34"/>
  <c r="E35"/>
  <c r="E36"/>
  <c r="E37"/>
  <c r="E38"/>
  <c r="E39"/>
  <c r="E40"/>
  <c r="E41"/>
  <c r="G114" i="7"/>
  <c r="G119" s="1"/>
  <c r="I133" i="5"/>
  <c r="I132"/>
  <c r="N908" i="12" l="1"/>
  <c r="N904"/>
  <c r="N900"/>
  <c r="N896"/>
  <c r="O894"/>
  <c r="N894"/>
  <c r="N910"/>
  <c r="N906"/>
  <c r="N902"/>
  <c r="N898"/>
  <c r="O898"/>
  <c r="O900"/>
  <c r="O910"/>
  <c r="O908"/>
  <c r="O906"/>
  <c r="O902"/>
  <c r="O904"/>
  <c r="O896"/>
  <c r="G89" i="6"/>
  <c r="G88" i="7"/>
  <c r="G52" i="6"/>
  <c r="G51" i="7"/>
  <c r="G22" i="6"/>
  <c r="M892" i="12"/>
  <c r="L892"/>
  <c r="M890"/>
  <c r="L890"/>
  <c r="M888"/>
  <c r="L888"/>
  <c r="M886"/>
  <c r="L886"/>
  <c r="G68" i="7"/>
  <c r="G69" i="6"/>
  <c r="G99" i="7"/>
  <c r="G100" i="6"/>
  <c r="N892" i="12" l="1"/>
  <c r="O886"/>
  <c r="N886"/>
  <c r="N890"/>
  <c r="O888"/>
  <c r="N888"/>
  <c r="O890"/>
  <c r="O892"/>
  <c r="L866" l="1"/>
  <c r="L868"/>
  <c r="L870"/>
  <c r="L872"/>
  <c r="L874"/>
  <c r="L876"/>
  <c r="L878"/>
  <c r="L880"/>
  <c r="L882"/>
  <c r="L884"/>
  <c r="M470"/>
  <c r="M472"/>
  <c r="M474"/>
  <c r="M476"/>
  <c r="M478"/>
  <c r="M480"/>
  <c r="M482"/>
  <c r="M484"/>
  <c r="M486"/>
  <c r="M488"/>
  <c r="M490"/>
  <c r="M492"/>
  <c r="M494"/>
  <c r="M496"/>
  <c r="M498"/>
  <c r="M500"/>
  <c r="M502"/>
  <c r="M504"/>
  <c r="M506"/>
  <c r="M508"/>
  <c r="M510"/>
  <c r="M512"/>
  <c r="M514"/>
  <c r="M516"/>
  <c r="M518"/>
  <c r="M520"/>
  <c r="M522"/>
  <c r="M524"/>
  <c r="M526"/>
  <c r="M528"/>
  <c r="M530"/>
  <c r="M532"/>
  <c r="M534"/>
  <c r="M536"/>
  <c r="M538"/>
  <c r="M540"/>
  <c r="M542"/>
  <c r="M544"/>
  <c r="M546"/>
  <c r="M548"/>
  <c r="M550"/>
  <c r="M552"/>
  <c r="M554"/>
  <c r="M556"/>
  <c r="M558"/>
  <c r="M560"/>
  <c r="M562"/>
  <c r="M564"/>
  <c r="M566"/>
  <c r="M568"/>
  <c r="M570"/>
  <c r="M572"/>
  <c r="M574"/>
  <c r="M576"/>
  <c r="M578"/>
  <c r="M580"/>
  <c r="M582"/>
  <c r="M584"/>
  <c r="M586"/>
  <c r="M588"/>
  <c r="M590"/>
  <c r="M592"/>
  <c r="M594"/>
  <c r="M596"/>
  <c r="M598"/>
  <c r="M600"/>
  <c r="M602"/>
  <c r="M604"/>
  <c r="M606"/>
  <c r="M608"/>
  <c r="M610"/>
  <c r="M612"/>
  <c r="M614"/>
  <c r="M616"/>
  <c r="M618"/>
  <c r="M620"/>
  <c r="M622"/>
  <c r="M624"/>
  <c r="M626"/>
  <c r="M628"/>
  <c r="M630"/>
  <c r="M632"/>
  <c r="M634"/>
  <c r="M636"/>
  <c r="M638"/>
  <c r="M640"/>
  <c r="M642"/>
  <c r="M644"/>
  <c r="M646"/>
  <c r="M648"/>
  <c r="M650"/>
  <c r="M652"/>
  <c r="M654"/>
  <c r="M656"/>
  <c r="M658"/>
  <c r="M660"/>
  <c r="M662"/>
  <c r="M664"/>
  <c r="M666"/>
  <c r="M668"/>
  <c r="M670"/>
  <c r="M672"/>
  <c r="M674"/>
  <c r="M676"/>
  <c r="M678"/>
  <c r="M680"/>
  <c r="M682"/>
  <c r="M684"/>
  <c r="M686"/>
  <c r="M688"/>
  <c r="M690"/>
  <c r="M692"/>
  <c r="M694"/>
  <c r="M696"/>
  <c r="M698"/>
  <c r="M700"/>
  <c r="M702"/>
  <c r="M704"/>
  <c r="M706"/>
  <c r="M708"/>
  <c r="M710"/>
  <c r="M712"/>
  <c r="M714"/>
  <c r="M716"/>
  <c r="M718"/>
  <c r="M720"/>
  <c r="M722"/>
  <c r="M724"/>
  <c r="M726"/>
  <c r="M728"/>
  <c r="M730"/>
  <c r="M732"/>
  <c r="M734"/>
  <c r="M736"/>
  <c r="M738"/>
  <c r="M740"/>
  <c r="M742"/>
  <c r="M744"/>
  <c r="M746"/>
  <c r="M748"/>
  <c r="M750"/>
  <c r="M752"/>
  <c r="M754"/>
  <c r="M756"/>
  <c r="M758"/>
  <c r="M760"/>
  <c r="M762"/>
  <c r="M764"/>
  <c r="M766"/>
  <c r="M768"/>
  <c r="M770"/>
  <c r="M772"/>
  <c r="M774"/>
  <c r="M776"/>
  <c r="M778"/>
  <c r="M780"/>
  <c r="M782"/>
  <c r="M784"/>
  <c r="M786"/>
  <c r="M788"/>
  <c r="M790"/>
  <c r="M792"/>
  <c r="M794"/>
  <c r="M796"/>
  <c r="M798"/>
  <c r="M800"/>
  <c r="M802"/>
  <c r="M804"/>
  <c r="M806"/>
  <c r="M808"/>
  <c r="M810"/>
  <c r="M812"/>
  <c r="M814"/>
  <c r="M816"/>
  <c r="M818"/>
  <c r="M820"/>
  <c r="M822"/>
  <c r="M824"/>
  <c r="M826"/>
  <c r="M828"/>
  <c r="M830"/>
  <c r="M832"/>
  <c r="M834"/>
  <c r="M836"/>
  <c r="M838"/>
  <c r="M840"/>
  <c r="M842"/>
  <c r="M844"/>
  <c r="M846"/>
  <c r="M848"/>
  <c r="M850"/>
  <c r="M852"/>
  <c r="M854"/>
  <c r="M856"/>
  <c r="M858"/>
  <c r="M860"/>
  <c r="M862"/>
  <c r="M864"/>
  <c r="M866"/>
  <c r="M868"/>
  <c r="M870"/>
  <c r="M872"/>
  <c r="M874"/>
  <c r="M876"/>
  <c r="M878"/>
  <c r="M880"/>
  <c r="M882"/>
  <c r="M884"/>
  <c r="M468"/>
  <c r="N468" s="1"/>
  <c r="O468"/>
  <c r="O882" l="1"/>
  <c r="N882"/>
  <c r="O884"/>
  <c r="N884"/>
  <c r="N866"/>
  <c r="N868"/>
  <c r="N878"/>
  <c r="N870"/>
  <c r="O874"/>
  <c r="N874"/>
  <c r="O876"/>
  <c r="N876"/>
  <c r="O880"/>
  <c r="N880"/>
  <c r="O872"/>
  <c r="N872"/>
  <c r="O870"/>
  <c r="O878"/>
  <c r="D11" i="10" l="1"/>
  <c r="E9"/>
  <c r="G11" i="4" s="1"/>
  <c r="I11" s="1"/>
  <c r="E10" i="10"/>
  <c r="G30" i="4" s="1"/>
  <c r="I30" s="1"/>
  <c r="D10" i="10"/>
  <c r="D9"/>
  <c r="J4" i="9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F9" i="10" l="1"/>
  <c r="F10"/>
  <c r="O866" i="12"/>
  <c r="L864"/>
  <c r="N864" s="1"/>
  <c r="L862"/>
  <c r="L860"/>
  <c r="L858"/>
  <c r="L856"/>
  <c r="N856" s="1"/>
  <c r="L854"/>
  <c r="L852"/>
  <c r="L850"/>
  <c r="L848"/>
  <c r="N848" s="1"/>
  <c r="L846"/>
  <c r="L844"/>
  <c r="L842"/>
  <c r="L840"/>
  <c r="N840" s="1"/>
  <c r="L838"/>
  <c r="L836"/>
  <c r="N836" s="1"/>
  <c r="L834"/>
  <c r="L832"/>
  <c r="N832" s="1"/>
  <c r="L830"/>
  <c r="L828"/>
  <c r="N828" s="1"/>
  <c r="L826"/>
  <c r="L824"/>
  <c r="N824" s="1"/>
  <c r="L822"/>
  <c r="L820"/>
  <c r="L818"/>
  <c r="L816"/>
  <c r="N816" s="1"/>
  <c r="L814"/>
  <c r="L812"/>
  <c r="L810"/>
  <c r="L808"/>
  <c r="N808" s="1"/>
  <c r="L806"/>
  <c r="L804"/>
  <c r="L802"/>
  <c r="L800"/>
  <c r="N800" s="1"/>
  <c r="L798"/>
  <c r="L796"/>
  <c r="N796" s="1"/>
  <c r="L794"/>
  <c r="L792"/>
  <c r="N792" s="1"/>
  <c r="L790"/>
  <c r="L788"/>
  <c r="L786"/>
  <c r="L784"/>
  <c r="N784" s="1"/>
  <c r="L782"/>
  <c r="N782" s="1"/>
  <c r="L780"/>
  <c r="L778"/>
  <c r="L776"/>
  <c r="N776" s="1"/>
  <c r="L774"/>
  <c r="N774" s="1"/>
  <c r="L772"/>
  <c r="N772" s="1"/>
  <c r="L770"/>
  <c r="L768"/>
  <c r="N768" s="1"/>
  <c r="L766"/>
  <c r="L764"/>
  <c r="N764" s="1"/>
  <c r="L762"/>
  <c r="L760"/>
  <c r="N760" s="1"/>
  <c r="L758"/>
  <c r="L756"/>
  <c r="L754"/>
  <c r="L752"/>
  <c r="N752" s="1"/>
  <c r="L750"/>
  <c r="N750" s="1"/>
  <c r="L748"/>
  <c r="L746"/>
  <c r="L744"/>
  <c r="N744" s="1"/>
  <c r="L742"/>
  <c r="N742" s="1"/>
  <c r="L740"/>
  <c r="N740" s="1"/>
  <c r="L738"/>
  <c r="L736"/>
  <c r="N736" s="1"/>
  <c r="L734"/>
  <c r="L732"/>
  <c r="L730"/>
  <c r="L728"/>
  <c r="N728" s="1"/>
  <c r="L726"/>
  <c r="L724"/>
  <c r="L722"/>
  <c r="L720"/>
  <c r="N720" s="1"/>
  <c r="L718"/>
  <c r="L716"/>
  <c r="L714"/>
  <c r="L712"/>
  <c r="N712" s="1"/>
  <c r="L710"/>
  <c r="L708"/>
  <c r="N708" s="1"/>
  <c r="L706"/>
  <c r="L704"/>
  <c r="N704" s="1"/>
  <c r="L702"/>
  <c r="L700"/>
  <c r="L698"/>
  <c r="L696"/>
  <c r="N696" s="1"/>
  <c r="L694"/>
  <c r="L692"/>
  <c r="L690"/>
  <c r="L688"/>
  <c r="N688" s="1"/>
  <c r="L686"/>
  <c r="N686" s="1"/>
  <c r="L684"/>
  <c r="L682"/>
  <c r="L680"/>
  <c r="N680" s="1"/>
  <c r="L678"/>
  <c r="N678" s="1"/>
  <c r="L676"/>
  <c r="L674"/>
  <c r="L672"/>
  <c r="N672" s="1"/>
  <c r="L670"/>
  <c r="L668"/>
  <c r="N668" s="1"/>
  <c r="L666"/>
  <c r="L664"/>
  <c r="N664" s="1"/>
  <c r="L662"/>
  <c r="L660"/>
  <c r="L658"/>
  <c r="L656"/>
  <c r="N656" s="1"/>
  <c r="L654"/>
  <c r="N654" s="1"/>
  <c r="L652"/>
  <c r="L650"/>
  <c r="L648"/>
  <c r="N648" s="1"/>
  <c r="L646"/>
  <c r="N646" s="1"/>
  <c r="L644"/>
  <c r="N644" s="1"/>
  <c r="L642"/>
  <c r="L640"/>
  <c r="N640" s="1"/>
  <c r="L638"/>
  <c r="L636"/>
  <c r="N636" s="1"/>
  <c r="L634"/>
  <c r="L632"/>
  <c r="N632" s="1"/>
  <c r="L630"/>
  <c r="L628"/>
  <c r="L626"/>
  <c r="L624"/>
  <c r="N624" s="1"/>
  <c r="L622"/>
  <c r="N622" s="1"/>
  <c r="L620"/>
  <c r="L618"/>
  <c r="L616"/>
  <c r="N616" s="1"/>
  <c r="L614"/>
  <c r="N614" s="1"/>
  <c r="L612"/>
  <c r="L610"/>
  <c r="L608"/>
  <c r="N608" s="1"/>
  <c r="L606"/>
  <c r="L604"/>
  <c r="L602"/>
  <c r="L600"/>
  <c r="N600" s="1"/>
  <c r="L598"/>
  <c r="L596"/>
  <c r="L594"/>
  <c r="L592"/>
  <c r="N592" s="1"/>
  <c r="L590"/>
  <c r="L588"/>
  <c r="L586"/>
  <c r="L584"/>
  <c r="N584" s="1"/>
  <c r="L582"/>
  <c r="L580"/>
  <c r="N580" s="1"/>
  <c r="L578"/>
  <c r="L576"/>
  <c r="N576" s="1"/>
  <c r="L574"/>
  <c r="L572"/>
  <c r="L570"/>
  <c r="L568"/>
  <c r="N568" s="1"/>
  <c r="L566"/>
  <c r="L564"/>
  <c r="L562"/>
  <c r="L560"/>
  <c r="N560" s="1"/>
  <c r="L558"/>
  <c r="N558" s="1"/>
  <c r="L556"/>
  <c r="L554"/>
  <c r="L552"/>
  <c r="N552" s="1"/>
  <c r="L550"/>
  <c r="L548"/>
  <c r="L546"/>
  <c r="L544"/>
  <c r="N544" s="1"/>
  <c r="L542"/>
  <c r="L540"/>
  <c r="N540" s="1"/>
  <c r="L538"/>
  <c r="L536"/>
  <c r="N536" s="1"/>
  <c r="L534"/>
  <c r="L532"/>
  <c r="L530"/>
  <c r="L528"/>
  <c r="N528" s="1"/>
  <c r="L526"/>
  <c r="N526" s="1"/>
  <c r="L524"/>
  <c r="L522"/>
  <c r="L520"/>
  <c r="N520" s="1"/>
  <c r="L518"/>
  <c r="N518" s="1"/>
  <c r="L516"/>
  <c r="N516" s="1"/>
  <c r="L514"/>
  <c r="L512"/>
  <c r="N512" s="1"/>
  <c r="L510"/>
  <c r="L508"/>
  <c r="N508" s="1"/>
  <c r="L506"/>
  <c r="L504"/>
  <c r="N504" s="1"/>
  <c r="L502"/>
  <c r="L500"/>
  <c r="L498"/>
  <c r="L496"/>
  <c r="N496" s="1"/>
  <c r="L494"/>
  <c r="N494" s="1"/>
  <c r="L492"/>
  <c r="L490"/>
  <c r="L488"/>
  <c r="N488" s="1"/>
  <c r="L486"/>
  <c r="N486" s="1"/>
  <c r="L484"/>
  <c r="N484" s="1"/>
  <c r="L482"/>
  <c r="L480"/>
  <c r="N480" s="1"/>
  <c r="L478"/>
  <c r="L476"/>
  <c r="L474"/>
  <c r="L472"/>
  <c r="N472" s="1"/>
  <c r="L470"/>
  <c r="N470" s="1"/>
  <c r="E11" i="10"/>
  <c r="G11" s="1"/>
  <c r="F8"/>
  <c r="H7"/>
  <c r="G7"/>
  <c r="F7"/>
  <c r="F6"/>
  <c r="H5"/>
  <c r="G5"/>
  <c r="G9" s="1"/>
  <c r="F5"/>
  <c r="H79" i="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J80"/>
  <c r="H4"/>
  <c r="G4"/>
  <c r="J42" i="8"/>
  <c r="J41"/>
  <c r="H41"/>
  <c r="G41"/>
  <c r="F41"/>
  <c r="J40"/>
  <c r="H40"/>
  <c r="G40"/>
  <c r="F40"/>
  <c r="J39"/>
  <c r="H39"/>
  <c r="G39"/>
  <c r="F39"/>
  <c r="J38"/>
  <c r="H38"/>
  <c r="G38"/>
  <c r="F38"/>
  <c r="J37"/>
  <c r="H37"/>
  <c r="G37"/>
  <c r="F37"/>
  <c r="J36"/>
  <c r="H36"/>
  <c r="G36"/>
  <c r="F36"/>
  <c r="J35"/>
  <c r="H35"/>
  <c r="G35"/>
  <c r="F35"/>
  <c r="J34"/>
  <c r="H34"/>
  <c r="G34"/>
  <c r="F34"/>
  <c r="J33"/>
  <c r="H33"/>
  <c r="G33"/>
  <c r="F33"/>
  <c r="J32"/>
  <c r="H32"/>
  <c r="G32"/>
  <c r="F32"/>
  <c r="J31"/>
  <c r="H31"/>
  <c r="G31"/>
  <c r="E31"/>
  <c r="J29"/>
  <c r="H29"/>
  <c r="G29"/>
  <c r="J28"/>
  <c r="H28"/>
  <c r="G28"/>
  <c r="J27"/>
  <c r="H27"/>
  <c r="G27"/>
  <c r="J26"/>
  <c r="H26"/>
  <c r="G26"/>
  <c r="J25"/>
  <c r="H25"/>
  <c r="G25"/>
  <c r="J24"/>
  <c r="H24"/>
  <c r="G24"/>
  <c r="J23"/>
  <c r="H23"/>
  <c r="G23"/>
  <c r="J22"/>
  <c r="H22"/>
  <c r="G22"/>
  <c r="J21"/>
  <c r="H21"/>
  <c r="G21"/>
  <c r="J20"/>
  <c r="H20"/>
  <c r="G20"/>
  <c r="J19"/>
  <c r="H19"/>
  <c r="G19"/>
  <c r="J17"/>
  <c r="H17"/>
  <c r="G17"/>
  <c r="N15"/>
  <c r="H14"/>
  <c r="G14"/>
  <c r="J13"/>
  <c r="H13"/>
  <c r="G13"/>
  <c r="J12"/>
  <c r="H12"/>
  <c r="G12"/>
  <c r="J10"/>
  <c r="H10"/>
  <c r="G10"/>
  <c r="J8"/>
  <c r="H8"/>
  <c r="G8"/>
  <c r="J7"/>
  <c r="H7"/>
  <c r="G7"/>
  <c r="J6"/>
  <c r="H6"/>
  <c r="G6"/>
  <c r="J5"/>
  <c r="H5"/>
  <c r="G5"/>
  <c r="K119" i="7"/>
  <c r="J119"/>
  <c r="F119"/>
  <c r="A40" i="4" s="1"/>
  <c r="J40" s="1"/>
  <c r="H118" i="7"/>
  <c r="L118" s="1"/>
  <c r="L41" i="8" s="1"/>
  <c r="H117" i="7"/>
  <c r="L117" s="1"/>
  <c r="L40" i="8" s="1"/>
  <c r="H116" i="7"/>
  <c r="L116" s="1"/>
  <c r="L39" i="8" s="1"/>
  <c r="H115" i="7"/>
  <c r="M115" s="1"/>
  <c r="H114"/>
  <c r="M114" s="1"/>
  <c r="H113"/>
  <c r="M113" s="1"/>
  <c r="H112"/>
  <c r="M112" s="1"/>
  <c r="H111"/>
  <c r="M111" s="1"/>
  <c r="H110"/>
  <c r="L110" s="1"/>
  <c r="L33" i="8" s="1"/>
  <c r="H109" i="7"/>
  <c r="L109" s="1"/>
  <c r="L32" i="8" s="1"/>
  <c r="H108" i="7"/>
  <c r="K107"/>
  <c r="J107"/>
  <c r="I107"/>
  <c r="F107"/>
  <c r="N106"/>
  <c r="H106"/>
  <c r="L106" s="1"/>
  <c r="L29" i="8" s="1"/>
  <c r="N105" i="7"/>
  <c r="H105"/>
  <c r="N104"/>
  <c r="H104"/>
  <c r="L104" s="1"/>
  <c r="L27" i="8" s="1"/>
  <c r="N103" i="7"/>
  <c r="H103"/>
  <c r="L103" s="1"/>
  <c r="L26" i="8" s="1"/>
  <c r="N102" i="7"/>
  <c r="H102"/>
  <c r="L102" s="1"/>
  <c r="L25" i="8" s="1"/>
  <c r="N101" i="7"/>
  <c r="H101"/>
  <c r="L101" s="1"/>
  <c r="L24" i="8" s="1"/>
  <c r="N100" i="7"/>
  <c r="H100"/>
  <c r="L100" s="1"/>
  <c r="L23" i="8" s="1"/>
  <c r="N99" i="7"/>
  <c r="H99"/>
  <c r="L99" s="1"/>
  <c r="L22" i="8" s="1"/>
  <c r="N98" i="7"/>
  <c r="H98"/>
  <c r="L98" s="1"/>
  <c r="L21" i="8" s="1"/>
  <c r="N97" i="7"/>
  <c r="H97"/>
  <c r="L97" s="1"/>
  <c r="L20" i="8" s="1"/>
  <c r="N96" i="7"/>
  <c r="H96"/>
  <c r="L96" s="1"/>
  <c r="L19" i="8" s="1"/>
  <c r="K95" i="7"/>
  <c r="J95"/>
  <c r="I95"/>
  <c r="G95"/>
  <c r="E38" i="4" s="1"/>
  <c r="F38" s="1"/>
  <c r="F95" i="7"/>
  <c r="A38" i="4" s="1"/>
  <c r="N94" i="7"/>
  <c r="H94"/>
  <c r="L94" s="1"/>
  <c r="L17" i="8" s="1"/>
  <c r="K93" i="7"/>
  <c r="J93"/>
  <c r="I93"/>
  <c r="F93"/>
  <c r="N92"/>
  <c r="H92"/>
  <c r="L92" s="1"/>
  <c r="L79" i="9" s="1"/>
  <c r="N91" i="7"/>
  <c r="N90"/>
  <c r="G90"/>
  <c r="N89"/>
  <c r="G89"/>
  <c r="N88"/>
  <c r="H88"/>
  <c r="L88" s="1"/>
  <c r="L75" i="9" s="1"/>
  <c r="N87" i="7"/>
  <c r="H87"/>
  <c r="L87" s="1"/>
  <c r="L74" i="9" s="1"/>
  <c r="N86" i="7"/>
  <c r="N85"/>
  <c r="H85"/>
  <c r="L85" s="1"/>
  <c r="L72" i="9" s="1"/>
  <c r="N84" i="7"/>
  <c r="H84"/>
  <c r="L84" s="1"/>
  <c r="L71" i="9" s="1"/>
  <c r="N83" i="7"/>
  <c r="H83"/>
  <c r="L83" s="1"/>
  <c r="L70" i="9" s="1"/>
  <c r="N82" i="7"/>
  <c r="H82"/>
  <c r="M82" s="1"/>
  <c r="N81"/>
  <c r="H81"/>
  <c r="L81" s="1"/>
  <c r="L68" i="9" s="1"/>
  <c r="N80" i="7"/>
  <c r="H80"/>
  <c r="M80" s="1"/>
  <c r="N79"/>
  <c r="N78"/>
  <c r="L78"/>
  <c r="L65" i="9" s="1"/>
  <c r="H78" i="7"/>
  <c r="M78" s="1"/>
  <c r="N77"/>
  <c r="G77"/>
  <c r="H77" s="1"/>
  <c r="L77" s="1"/>
  <c r="L64" i="9" s="1"/>
  <c r="N76" i="7"/>
  <c r="H76"/>
  <c r="L76" s="1"/>
  <c r="L63" i="9" s="1"/>
  <c r="N75" i="7"/>
  <c r="H75"/>
  <c r="M75" s="1"/>
  <c r="N74"/>
  <c r="M74"/>
  <c r="H74"/>
  <c r="L74" s="1"/>
  <c r="L61" i="9" s="1"/>
  <c r="N73" i="7"/>
  <c r="H73"/>
  <c r="M73" s="1"/>
  <c r="N72"/>
  <c r="H72"/>
  <c r="L72" s="1"/>
  <c r="L59" i="9" s="1"/>
  <c r="N71" i="7"/>
  <c r="H71"/>
  <c r="M71" s="1"/>
  <c r="N70"/>
  <c r="H70"/>
  <c r="L70" s="1"/>
  <c r="L57" i="9" s="1"/>
  <c r="N69" i="7"/>
  <c r="N68"/>
  <c r="H68"/>
  <c r="L68" s="1"/>
  <c r="L55" i="9" s="1"/>
  <c r="N67" i="7"/>
  <c r="N66"/>
  <c r="H66"/>
  <c r="M66" s="1"/>
  <c r="N65"/>
  <c r="H65"/>
  <c r="L65" s="1"/>
  <c r="L52" i="9" s="1"/>
  <c r="N64" i="7"/>
  <c r="H64"/>
  <c r="M64" s="1"/>
  <c r="N63"/>
  <c r="H63"/>
  <c r="L63" s="1"/>
  <c r="L50" i="9" s="1"/>
  <c r="N62" i="7"/>
  <c r="H62"/>
  <c r="M62" s="1"/>
  <c r="N61"/>
  <c r="H61"/>
  <c r="L61" s="1"/>
  <c r="L48" i="9" s="1"/>
  <c r="N60" i="7"/>
  <c r="H60"/>
  <c r="M60" s="1"/>
  <c r="N59"/>
  <c r="H59"/>
  <c r="L59" s="1"/>
  <c r="L46" i="9" s="1"/>
  <c r="N58" i="7"/>
  <c r="G58"/>
  <c r="N57"/>
  <c r="H57"/>
  <c r="M57" s="1"/>
  <c r="N56"/>
  <c r="H56"/>
  <c r="L56" s="1"/>
  <c r="L43" i="9" s="1"/>
  <c r="N55" i="7"/>
  <c r="H55"/>
  <c r="M55" s="1"/>
  <c r="N54"/>
  <c r="H54"/>
  <c r="L54" s="1"/>
  <c r="L41" i="9" s="1"/>
  <c r="N53" i="7"/>
  <c r="H53"/>
  <c r="M53" s="1"/>
  <c r="N52"/>
  <c r="H52"/>
  <c r="L52" s="1"/>
  <c r="L39" i="9" s="1"/>
  <c r="N51" i="7"/>
  <c r="H51"/>
  <c r="M51" s="1"/>
  <c r="N50"/>
  <c r="N49"/>
  <c r="H49"/>
  <c r="L49" s="1"/>
  <c r="L36" i="9" s="1"/>
  <c r="N48" i="7"/>
  <c r="N47"/>
  <c r="H47"/>
  <c r="L47" s="1"/>
  <c r="L34" i="9" s="1"/>
  <c r="N46" i="7"/>
  <c r="H46"/>
  <c r="M46" s="1"/>
  <c r="N45"/>
  <c r="G45"/>
  <c r="N44"/>
  <c r="G44"/>
  <c r="N43"/>
  <c r="H43"/>
  <c r="M43" s="1"/>
  <c r="N42"/>
  <c r="H42"/>
  <c r="L42" s="1"/>
  <c r="L29" i="9" s="1"/>
  <c r="N41" i="7"/>
  <c r="L41"/>
  <c r="L28" i="9" s="1"/>
  <c r="H41" i="7"/>
  <c r="M41" s="1"/>
  <c r="N40"/>
  <c r="M40"/>
  <c r="H40"/>
  <c r="L40" s="1"/>
  <c r="L27" i="9" s="1"/>
  <c r="N39" i="7"/>
  <c r="H39"/>
  <c r="M39" s="1"/>
  <c r="N38"/>
  <c r="H38"/>
  <c r="L38" s="1"/>
  <c r="L25" i="9" s="1"/>
  <c r="N37" i="7"/>
  <c r="H37"/>
  <c r="M37" s="1"/>
  <c r="N36"/>
  <c r="H36"/>
  <c r="L36" s="1"/>
  <c r="L23" i="9" s="1"/>
  <c r="N35" i="7"/>
  <c r="H35"/>
  <c r="M35" s="1"/>
  <c r="N34"/>
  <c r="H34"/>
  <c r="L34" s="1"/>
  <c r="L21" i="9" s="1"/>
  <c r="N33" i="7"/>
  <c r="N32"/>
  <c r="N31"/>
  <c r="H31"/>
  <c r="L31" s="1"/>
  <c r="L18" i="9" s="1"/>
  <c r="N30" i="7"/>
  <c r="H30"/>
  <c r="M30" s="1"/>
  <c r="N29"/>
  <c r="N28"/>
  <c r="G28"/>
  <c r="N27"/>
  <c r="H27"/>
  <c r="M27" s="1"/>
  <c r="N26"/>
  <c r="G26"/>
  <c r="N25"/>
  <c r="H25"/>
  <c r="L25" s="1"/>
  <c r="L12" i="9" s="1"/>
  <c r="N24" i="7"/>
  <c r="H24"/>
  <c r="L24" s="1"/>
  <c r="L11" i="9" s="1"/>
  <c r="N23" i="7"/>
  <c r="H23"/>
  <c r="M23" s="1"/>
  <c r="N22"/>
  <c r="H22"/>
  <c r="L22" s="1"/>
  <c r="L9" i="9" s="1"/>
  <c r="N21" i="7"/>
  <c r="N20"/>
  <c r="H20"/>
  <c r="M20" s="1"/>
  <c r="N19"/>
  <c r="H19"/>
  <c r="L19" s="1"/>
  <c r="L6" i="9" s="1"/>
  <c r="N18" i="7"/>
  <c r="H18"/>
  <c r="M18" s="1"/>
  <c r="N17"/>
  <c r="K16"/>
  <c r="J16"/>
  <c r="I16"/>
  <c r="G16"/>
  <c r="E36" i="4" s="1"/>
  <c r="F36" s="1"/>
  <c r="F16" i="7"/>
  <c r="A36" i="4" s="1"/>
  <c r="J36" s="1"/>
  <c r="H15" i="7"/>
  <c r="L15" s="1"/>
  <c r="L14" i="8" s="1"/>
  <c r="H14" i="7"/>
  <c r="H13"/>
  <c r="M13" s="1"/>
  <c r="K12"/>
  <c r="J12"/>
  <c r="I12"/>
  <c r="G12"/>
  <c r="F12"/>
  <c r="H11"/>
  <c r="H12" s="1"/>
  <c r="K10"/>
  <c r="J10"/>
  <c r="I10"/>
  <c r="G10"/>
  <c r="F10"/>
  <c r="H9"/>
  <c r="L9" s="1"/>
  <c r="L8" i="8" s="1"/>
  <c r="M8" i="7"/>
  <c r="L8"/>
  <c r="L7" i="8" s="1"/>
  <c r="H8" i="7"/>
  <c r="H7"/>
  <c r="M7" s="1"/>
  <c r="H6"/>
  <c r="L6" s="1"/>
  <c r="L5" i="8" s="1"/>
  <c r="C3" i="7"/>
  <c r="K120" i="6"/>
  <c r="J120"/>
  <c r="I120"/>
  <c r="G42" i="8" s="1"/>
  <c r="I42" s="1"/>
  <c r="F120" i="6"/>
  <c r="L119"/>
  <c r="K41" i="8" s="1"/>
  <c r="H119" i="6"/>
  <c r="H118"/>
  <c r="L118" s="1"/>
  <c r="K40" i="8" s="1"/>
  <c r="H117" i="6"/>
  <c r="L117" s="1"/>
  <c r="K39" i="8" s="1"/>
  <c r="G116" i="6"/>
  <c r="H115"/>
  <c r="H114"/>
  <c r="L114" s="1"/>
  <c r="K36" i="8" s="1"/>
  <c r="H113" i="6"/>
  <c r="L113" s="1"/>
  <c r="K35" i="8" s="1"/>
  <c r="G120" i="6"/>
  <c r="H111"/>
  <c r="M111" s="1"/>
  <c r="H110"/>
  <c r="L110" s="1"/>
  <c r="K32" i="8" s="1"/>
  <c r="H109" i="6"/>
  <c r="L109" s="1"/>
  <c r="K31" i="8" s="1"/>
  <c r="K108" i="6"/>
  <c r="J108"/>
  <c r="I108"/>
  <c r="F108"/>
  <c r="A20" i="4" s="1"/>
  <c r="N107" i="6"/>
  <c r="H107"/>
  <c r="L107" s="1"/>
  <c r="K29" i="8" s="1"/>
  <c r="N106" i="6"/>
  <c r="H106"/>
  <c r="N105"/>
  <c r="H105"/>
  <c r="L105" s="1"/>
  <c r="K27" i="8" s="1"/>
  <c r="N104" i="6"/>
  <c r="H104"/>
  <c r="L104" s="1"/>
  <c r="K26" i="8" s="1"/>
  <c r="N103" i="6"/>
  <c r="H103"/>
  <c r="L103" s="1"/>
  <c r="K25" i="8" s="1"/>
  <c r="N102" i="6"/>
  <c r="H102"/>
  <c r="L102" s="1"/>
  <c r="K24" i="8" s="1"/>
  <c r="N101" i="6"/>
  <c r="H101"/>
  <c r="L101" s="1"/>
  <c r="K23" i="8" s="1"/>
  <c r="N100" i="6"/>
  <c r="H100"/>
  <c r="L100" s="1"/>
  <c r="K22" i="8" s="1"/>
  <c r="N99" i="6"/>
  <c r="H99"/>
  <c r="L99" s="1"/>
  <c r="K21" i="8" s="1"/>
  <c r="N98" i="6"/>
  <c r="H98"/>
  <c r="L98" s="1"/>
  <c r="K20" i="8" s="1"/>
  <c r="N97" i="6"/>
  <c r="H97"/>
  <c r="L97" s="1"/>
  <c r="K19" i="8" s="1"/>
  <c r="K96" i="6"/>
  <c r="J96"/>
  <c r="I96"/>
  <c r="G96"/>
  <c r="F96"/>
  <c r="N95"/>
  <c r="H95"/>
  <c r="L95" s="1"/>
  <c r="L96" s="1"/>
  <c r="K94"/>
  <c r="J94"/>
  <c r="F94"/>
  <c r="A18" i="4" s="1"/>
  <c r="N93" i="6"/>
  <c r="H93"/>
  <c r="M93" s="1"/>
  <c r="N92"/>
  <c r="N91"/>
  <c r="G91"/>
  <c r="H91" s="1"/>
  <c r="N90"/>
  <c r="G90"/>
  <c r="N89"/>
  <c r="H89"/>
  <c r="M89" s="1"/>
  <c r="N88"/>
  <c r="N87"/>
  <c r="H87"/>
  <c r="M87" s="1"/>
  <c r="N86"/>
  <c r="L86"/>
  <c r="K72" i="9" s="1"/>
  <c r="H86" i="6"/>
  <c r="E72" i="9" s="1"/>
  <c r="F72" s="1"/>
  <c r="N85" i="6"/>
  <c r="H85"/>
  <c r="N84"/>
  <c r="H84"/>
  <c r="L84" s="1"/>
  <c r="K70" i="9" s="1"/>
  <c r="N83" i="6"/>
  <c r="H83"/>
  <c r="L83" s="1"/>
  <c r="K69" i="9" s="1"/>
  <c r="N82" i="6"/>
  <c r="H82"/>
  <c r="L82" s="1"/>
  <c r="K68" i="9" s="1"/>
  <c r="N81" i="6"/>
  <c r="H81"/>
  <c r="M81" s="1"/>
  <c r="N80"/>
  <c r="H80"/>
  <c r="M80" s="1"/>
  <c r="N79"/>
  <c r="H79"/>
  <c r="L79" s="1"/>
  <c r="K65" i="9" s="1"/>
  <c r="N78" i="6"/>
  <c r="H78"/>
  <c r="M78" s="1"/>
  <c r="N77"/>
  <c r="H77"/>
  <c r="L77" s="1"/>
  <c r="K63" i="9" s="1"/>
  <c r="N76" i="6"/>
  <c r="M76"/>
  <c r="H76"/>
  <c r="L76" s="1"/>
  <c r="K62" i="9" s="1"/>
  <c r="N75" i="6"/>
  <c r="H75"/>
  <c r="L75" s="1"/>
  <c r="K61" i="9" s="1"/>
  <c r="N74" i="6"/>
  <c r="H74"/>
  <c r="M74" s="1"/>
  <c r="N73"/>
  <c r="H73"/>
  <c r="E59" i="9" s="1"/>
  <c r="F59" s="1"/>
  <c r="N72" i="6"/>
  <c r="H72"/>
  <c r="N71"/>
  <c r="H71"/>
  <c r="L71" s="1"/>
  <c r="K57" i="9" s="1"/>
  <c r="N70" i="6"/>
  <c r="N69"/>
  <c r="N68"/>
  <c r="N67"/>
  <c r="H67"/>
  <c r="E53" i="9" s="1"/>
  <c r="F53" s="1"/>
  <c r="N66" i="6"/>
  <c r="H66"/>
  <c r="L66" s="1"/>
  <c r="K52" i="9" s="1"/>
  <c r="N65" i="6"/>
  <c r="H65"/>
  <c r="M65" s="1"/>
  <c r="N64"/>
  <c r="M64"/>
  <c r="H64"/>
  <c r="L64" s="1"/>
  <c r="K50" i="9" s="1"/>
  <c r="N63" i="6"/>
  <c r="H63"/>
  <c r="E49" i="9" s="1"/>
  <c r="F49" s="1"/>
  <c r="N62" i="6"/>
  <c r="H62"/>
  <c r="L62" s="1"/>
  <c r="K48" i="9" s="1"/>
  <c r="N61" i="6"/>
  <c r="H61"/>
  <c r="M61" s="1"/>
  <c r="N60"/>
  <c r="M60"/>
  <c r="H60"/>
  <c r="L60" s="1"/>
  <c r="K46" i="9" s="1"/>
  <c r="N59" i="6"/>
  <c r="G59"/>
  <c r="N58"/>
  <c r="H58"/>
  <c r="M58" s="1"/>
  <c r="N57"/>
  <c r="M57"/>
  <c r="H57"/>
  <c r="L57" s="1"/>
  <c r="K43" i="9" s="1"/>
  <c r="N56" i="6"/>
  <c r="H56"/>
  <c r="M56" s="1"/>
  <c r="N55"/>
  <c r="H55"/>
  <c r="L55" s="1"/>
  <c r="K41" i="9" s="1"/>
  <c r="N54" i="6"/>
  <c r="H54"/>
  <c r="L54" s="1"/>
  <c r="K40" i="9" s="1"/>
  <c r="N53" i="6"/>
  <c r="M53"/>
  <c r="H53"/>
  <c r="L53" s="1"/>
  <c r="K39" i="9" s="1"/>
  <c r="N52" i="6"/>
  <c r="L52"/>
  <c r="K38" i="9" s="1"/>
  <c r="H52" i="6"/>
  <c r="M52" s="1"/>
  <c r="N51"/>
  <c r="H51"/>
  <c r="L51" s="1"/>
  <c r="K37" i="9" s="1"/>
  <c r="N50" i="6"/>
  <c r="H50"/>
  <c r="L50" s="1"/>
  <c r="K36" i="9" s="1"/>
  <c r="N49" i="6"/>
  <c r="H49"/>
  <c r="N48"/>
  <c r="H48"/>
  <c r="L48" s="1"/>
  <c r="K34" i="9" s="1"/>
  <c r="N47" i="6"/>
  <c r="L47"/>
  <c r="K33" i="9" s="1"/>
  <c r="H47" i="6"/>
  <c r="M47" s="1"/>
  <c r="N46"/>
  <c r="H46"/>
  <c r="L46" s="1"/>
  <c r="K32" i="9" s="1"/>
  <c r="N45" i="6"/>
  <c r="G45"/>
  <c r="N44"/>
  <c r="L44"/>
  <c r="K30" i="9" s="1"/>
  <c r="H44" i="6"/>
  <c r="E30" i="9" s="1"/>
  <c r="F30" s="1"/>
  <c r="N43" i="6"/>
  <c r="H43"/>
  <c r="L43" s="1"/>
  <c r="K29" i="9" s="1"/>
  <c r="N42" i="6"/>
  <c r="H42"/>
  <c r="M42" s="1"/>
  <c r="N41"/>
  <c r="H41"/>
  <c r="L41" s="1"/>
  <c r="K27" i="9" s="1"/>
  <c r="N40" i="6"/>
  <c r="H40"/>
  <c r="E26" i="9" s="1"/>
  <c r="F26" s="1"/>
  <c r="N39" i="6"/>
  <c r="M39"/>
  <c r="H39"/>
  <c r="L39" s="1"/>
  <c r="K25" i="9" s="1"/>
  <c r="N38" i="6"/>
  <c r="H38"/>
  <c r="M38" s="1"/>
  <c r="N37"/>
  <c r="H37"/>
  <c r="L37" s="1"/>
  <c r="K23" i="9" s="1"/>
  <c r="N36" i="6"/>
  <c r="L36"/>
  <c r="K22" i="9" s="1"/>
  <c r="H36" i="6"/>
  <c r="M36" s="1"/>
  <c r="N35"/>
  <c r="H35"/>
  <c r="L35" s="1"/>
  <c r="K21" i="9" s="1"/>
  <c r="N34" i="6"/>
  <c r="H34"/>
  <c r="M34" s="1"/>
  <c r="N33"/>
  <c r="H33"/>
  <c r="N32"/>
  <c r="M32"/>
  <c r="H32"/>
  <c r="L32" s="1"/>
  <c r="K18" i="9" s="1"/>
  <c r="N31" i="6"/>
  <c r="L31"/>
  <c r="K17" i="9" s="1"/>
  <c r="H31" i="6"/>
  <c r="M31" s="1"/>
  <c r="N30"/>
  <c r="H30"/>
  <c r="L30" s="1"/>
  <c r="K16" i="9" s="1"/>
  <c r="G30" i="6"/>
  <c r="N29"/>
  <c r="G29"/>
  <c r="H29" s="1"/>
  <c r="L29" s="1"/>
  <c r="K15" i="9" s="1"/>
  <c r="N15" s="1"/>
  <c r="N28" i="6"/>
  <c r="H28"/>
  <c r="L28" s="1"/>
  <c r="K14" i="9" s="1"/>
  <c r="N27" i="6"/>
  <c r="H27"/>
  <c r="L27" s="1"/>
  <c r="K13" i="9" s="1"/>
  <c r="N26" i="6"/>
  <c r="H26"/>
  <c r="L26" s="1"/>
  <c r="K12" i="9" s="1"/>
  <c r="N25" i="6"/>
  <c r="L25"/>
  <c r="K11" i="9" s="1"/>
  <c r="H25" i="6"/>
  <c r="M25" s="1"/>
  <c r="N24"/>
  <c r="H24"/>
  <c r="L24" s="1"/>
  <c r="K10" i="9" s="1"/>
  <c r="N23" i="6"/>
  <c r="H23"/>
  <c r="E9" i="9" s="1"/>
  <c r="F9" s="1"/>
  <c r="N22" i="6"/>
  <c r="H22"/>
  <c r="L22" s="1"/>
  <c r="K8" i="9" s="1"/>
  <c r="N21" i="6"/>
  <c r="H21"/>
  <c r="L21" s="1"/>
  <c r="K7" i="9" s="1"/>
  <c r="N20" i="6"/>
  <c r="H20"/>
  <c r="N19"/>
  <c r="H19"/>
  <c r="L19" s="1"/>
  <c r="K5" i="9" s="1"/>
  <c r="N18" i="6"/>
  <c r="K17"/>
  <c r="J17"/>
  <c r="I17"/>
  <c r="G17"/>
  <c r="F17"/>
  <c r="A17" i="4" s="1"/>
  <c r="J17" s="1"/>
  <c r="H16" i="6"/>
  <c r="L16" s="1"/>
  <c r="K14" i="8" s="1"/>
  <c r="H15" i="6"/>
  <c r="M15" s="1"/>
  <c r="H14"/>
  <c r="K13"/>
  <c r="J13"/>
  <c r="I13"/>
  <c r="G13"/>
  <c r="F13"/>
  <c r="H12"/>
  <c r="H13" s="1"/>
  <c r="K11"/>
  <c r="J11"/>
  <c r="I11"/>
  <c r="G11"/>
  <c r="F11"/>
  <c r="H10"/>
  <c r="M10" s="1"/>
  <c r="H9"/>
  <c r="L9" s="1"/>
  <c r="K7" i="8" s="1"/>
  <c r="H8" i="6"/>
  <c r="L8" s="1"/>
  <c r="K6" i="8" s="1"/>
  <c r="N6" s="1"/>
  <c r="H7" i="6"/>
  <c r="L7" s="1"/>
  <c r="K5" i="8" s="1"/>
  <c r="C2" i="6"/>
  <c r="I131" i="5"/>
  <c r="I130"/>
  <c r="I129"/>
  <c r="I128"/>
  <c r="I127"/>
  <c r="I126"/>
  <c r="I125"/>
  <c r="I124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H48"/>
  <c r="E48"/>
  <c r="D31" i="4" s="1"/>
  <c r="G47" i="5"/>
  <c r="J47" s="1"/>
  <c r="G46"/>
  <c r="I46" s="1"/>
  <c r="G45"/>
  <c r="I45" s="1"/>
  <c r="I44"/>
  <c r="G44"/>
  <c r="J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G34"/>
  <c r="G33"/>
  <c r="J33" s="1"/>
  <c r="G32"/>
  <c r="I32" s="1"/>
  <c r="F31"/>
  <c r="G31" s="1"/>
  <c r="G30"/>
  <c r="G29"/>
  <c r="G28"/>
  <c r="F27"/>
  <c r="G26"/>
  <c r="H24"/>
  <c r="E24"/>
  <c r="D12" i="4" s="1"/>
  <c r="G23" i="5"/>
  <c r="J23" s="1"/>
  <c r="G22"/>
  <c r="J22" s="1"/>
  <c r="G21"/>
  <c r="I21" s="1"/>
  <c r="G20"/>
  <c r="I20" s="1"/>
  <c r="G19"/>
  <c r="I19" s="1"/>
  <c r="G18"/>
  <c r="I18" s="1"/>
  <c r="F17"/>
  <c r="G17" s="1"/>
  <c r="G16"/>
  <c r="J16" s="1"/>
  <c r="G15"/>
  <c r="G14"/>
  <c r="J14" s="1"/>
  <c r="G13"/>
  <c r="I13" s="1"/>
  <c r="G12"/>
  <c r="I12" s="1"/>
  <c r="F12"/>
  <c r="G11"/>
  <c r="I11" s="1"/>
  <c r="B3"/>
  <c r="D52" i="4"/>
  <c r="D51"/>
  <c r="D50"/>
  <c r="D49"/>
  <c r="D48"/>
  <c r="D47"/>
  <c r="D46"/>
  <c r="D41"/>
  <c r="G40"/>
  <c r="E35"/>
  <c r="F35" s="1"/>
  <c r="G34"/>
  <c r="E34"/>
  <c r="F34" s="1"/>
  <c r="F33"/>
  <c r="H33" s="1"/>
  <c r="G31"/>
  <c r="F30"/>
  <c r="H30" s="1"/>
  <c r="H29"/>
  <c r="F29"/>
  <c r="I29" s="1"/>
  <c r="F28"/>
  <c r="H28" s="1"/>
  <c r="F27"/>
  <c r="H27" s="1"/>
  <c r="D22"/>
  <c r="D13" s="1"/>
  <c r="A21"/>
  <c r="G19"/>
  <c r="E19"/>
  <c r="F19" s="1"/>
  <c r="A19"/>
  <c r="E17"/>
  <c r="G16"/>
  <c r="F16"/>
  <c r="H16" s="1"/>
  <c r="E16"/>
  <c r="E15"/>
  <c r="F15" s="1"/>
  <c r="F46" s="1"/>
  <c r="H14"/>
  <c r="F14"/>
  <c r="G12"/>
  <c r="A12"/>
  <c r="F11"/>
  <c r="H11" s="1"/>
  <c r="H10"/>
  <c r="F10"/>
  <c r="F9"/>
  <c r="H9" s="1"/>
  <c r="I8"/>
  <c r="F8"/>
  <c r="H8" s="1"/>
  <c r="G27" i="5" l="1"/>
  <c r="I27" s="1"/>
  <c r="F48"/>
  <c r="I33"/>
  <c r="M36" i="7"/>
  <c r="E12" i="8"/>
  <c r="F12" s="1"/>
  <c r="L13" i="7"/>
  <c r="L12" i="8" s="1"/>
  <c r="A22" i="4"/>
  <c r="J22" s="1"/>
  <c r="J21"/>
  <c r="J38"/>
  <c r="A41"/>
  <c r="J41" s="1"/>
  <c r="O502" i="12"/>
  <c r="N502"/>
  <c r="O534"/>
  <c r="N534"/>
  <c r="O574"/>
  <c r="N574"/>
  <c r="O598"/>
  <c r="N598"/>
  <c r="O638"/>
  <c r="N638"/>
  <c r="O670"/>
  <c r="N670"/>
  <c r="O702"/>
  <c r="N702"/>
  <c r="O718"/>
  <c r="N718"/>
  <c r="O734"/>
  <c r="N734"/>
  <c r="O758"/>
  <c r="N758"/>
  <c r="O790"/>
  <c r="N790"/>
  <c r="O806"/>
  <c r="N806"/>
  <c r="O830"/>
  <c r="N830"/>
  <c r="O846"/>
  <c r="N846"/>
  <c r="O524"/>
  <c r="N524"/>
  <c r="O532"/>
  <c r="N532"/>
  <c r="O548"/>
  <c r="N548"/>
  <c r="O564"/>
  <c r="N564"/>
  <c r="O572"/>
  <c r="N572"/>
  <c r="O588"/>
  <c r="N588"/>
  <c r="O604"/>
  <c r="N604"/>
  <c r="O652"/>
  <c r="N652"/>
  <c r="O676"/>
  <c r="N676"/>
  <c r="O684"/>
  <c r="N684"/>
  <c r="O700"/>
  <c r="N700"/>
  <c r="O716"/>
  <c r="N716"/>
  <c r="O724"/>
  <c r="N724"/>
  <c r="O732"/>
  <c r="N732"/>
  <c r="O748"/>
  <c r="N748"/>
  <c r="O756"/>
  <c r="N756"/>
  <c r="O780"/>
  <c r="N780"/>
  <c r="O788"/>
  <c r="N788"/>
  <c r="O804"/>
  <c r="N804"/>
  <c r="O844"/>
  <c r="N844"/>
  <c r="O474"/>
  <c r="N474"/>
  <c r="O482"/>
  <c r="N482"/>
  <c r="O490"/>
  <c r="N490"/>
  <c r="O498"/>
  <c r="N498"/>
  <c r="O506"/>
  <c r="N506"/>
  <c r="O514"/>
  <c r="N514"/>
  <c r="O522"/>
  <c r="N522"/>
  <c r="O530"/>
  <c r="N530"/>
  <c r="O538"/>
  <c r="N538"/>
  <c r="O546"/>
  <c r="N546"/>
  <c r="O554"/>
  <c r="N554"/>
  <c r="O562"/>
  <c r="N562"/>
  <c r="O570"/>
  <c r="N570"/>
  <c r="O578"/>
  <c r="N578"/>
  <c r="O586"/>
  <c r="N586"/>
  <c r="O594"/>
  <c r="N594"/>
  <c r="O602"/>
  <c r="N602"/>
  <c r="O610"/>
  <c r="N610"/>
  <c r="O618"/>
  <c r="N618"/>
  <c r="O626"/>
  <c r="N626"/>
  <c r="O634"/>
  <c r="N634"/>
  <c r="O642"/>
  <c r="N642"/>
  <c r="O650"/>
  <c r="N650"/>
  <c r="O658"/>
  <c r="N658"/>
  <c r="O666"/>
  <c r="N666"/>
  <c r="O674"/>
  <c r="N674"/>
  <c r="O682"/>
  <c r="N682"/>
  <c r="O690"/>
  <c r="N690"/>
  <c r="O698"/>
  <c r="N698"/>
  <c r="O706"/>
  <c r="N706"/>
  <c r="O714"/>
  <c r="N714"/>
  <c r="O722"/>
  <c r="N722"/>
  <c r="O730"/>
  <c r="N730"/>
  <c r="O738"/>
  <c r="N738"/>
  <c r="O746"/>
  <c r="N746"/>
  <c r="O754"/>
  <c r="N754"/>
  <c r="O762"/>
  <c r="N762"/>
  <c r="O770"/>
  <c r="N770"/>
  <c r="O778"/>
  <c r="N778"/>
  <c r="O786"/>
  <c r="N786"/>
  <c r="O794"/>
  <c r="N794"/>
  <c r="O802"/>
  <c r="N802"/>
  <c r="O810"/>
  <c r="N810"/>
  <c r="O818"/>
  <c r="N818"/>
  <c r="O826"/>
  <c r="N826"/>
  <c r="O834"/>
  <c r="N834"/>
  <c r="O842"/>
  <c r="N842"/>
  <c r="O850"/>
  <c r="N850"/>
  <c r="O858"/>
  <c r="N858"/>
  <c r="O478"/>
  <c r="N478"/>
  <c r="O510"/>
  <c r="N510"/>
  <c r="O542"/>
  <c r="N542"/>
  <c r="O550"/>
  <c r="N550"/>
  <c r="O566"/>
  <c r="N566"/>
  <c r="O582"/>
  <c r="N582"/>
  <c r="O590"/>
  <c r="N590"/>
  <c r="O606"/>
  <c r="N606"/>
  <c r="O630"/>
  <c r="N630"/>
  <c r="O662"/>
  <c r="N662"/>
  <c r="O694"/>
  <c r="N694"/>
  <c r="O710"/>
  <c r="N710"/>
  <c r="O726"/>
  <c r="N726"/>
  <c r="O766"/>
  <c r="N766"/>
  <c r="O798"/>
  <c r="N798"/>
  <c r="O814"/>
  <c r="N814"/>
  <c r="O822"/>
  <c r="N822"/>
  <c r="O838"/>
  <c r="N838"/>
  <c r="O854"/>
  <c r="N854"/>
  <c r="O862"/>
  <c r="N862"/>
  <c r="O476"/>
  <c r="N476"/>
  <c r="O492"/>
  <c r="N492"/>
  <c r="O500"/>
  <c r="N500"/>
  <c r="O556"/>
  <c r="N556"/>
  <c r="O596"/>
  <c r="N596"/>
  <c r="O612"/>
  <c r="N612"/>
  <c r="O620"/>
  <c r="N620"/>
  <c r="O628"/>
  <c r="N628"/>
  <c r="O660"/>
  <c r="N660"/>
  <c r="O692"/>
  <c r="N692"/>
  <c r="O812"/>
  <c r="N812"/>
  <c r="O820"/>
  <c r="N820"/>
  <c r="O852"/>
  <c r="N852"/>
  <c r="O860"/>
  <c r="N860"/>
  <c r="G35" i="4"/>
  <c r="E39" i="9"/>
  <c r="F39" s="1"/>
  <c r="M25" i="7"/>
  <c r="L60"/>
  <c r="L47" i="9" s="1"/>
  <c r="L14" i="7"/>
  <c r="L13" i="8" s="1"/>
  <c r="L23" i="7"/>
  <c r="L10" i="9" s="1"/>
  <c r="L37" i="7"/>
  <c r="L24" i="9" s="1"/>
  <c r="M54" i="7"/>
  <c r="M70"/>
  <c r="G38" i="4"/>
  <c r="I38" s="1"/>
  <c r="M22" i="6"/>
  <c r="M27"/>
  <c r="L40"/>
  <c r="K26" i="9" s="1"/>
  <c r="N26" s="1"/>
  <c r="Q26" s="1"/>
  <c r="M43" i="6"/>
  <c r="M44"/>
  <c r="M63"/>
  <c r="M77"/>
  <c r="L93"/>
  <c r="K79" i="9" s="1"/>
  <c r="M79" s="1"/>
  <c r="J14" i="8"/>
  <c r="M40" i="6"/>
  <c r="M91"/>
  <c r="L91"/>
  <c r="K77" i="9" s="1"/>
  <c r="G17" i="4"/>
  <c r="L63" i="6"/>
  <c r="K49" i="9" s="1"/>
  <c r="M67" i="6"/>
  <c r="L78"/>
  <c r="K64" i="9" s="1"/>
  <c r="N64" s="1"/>
  <c r="H116" i="6"/>
  <c r="L116" s="1"/>
  <c r="K38" i="8" s="1"/>
  <c r="E12" i="9"/>
  <c r="F12" s="1"/>
  <c r="I16" i="4"/>
  <c r="M23" i="6"/>
  <c r="M26"/>
  <c r="M35"/>
  <c r="L42"/>
  <c r="K28" i="9" s="1"/>
  <c r="N28" s="1"/>
  <c r="M46" i="6"/>
  <c r="L67"/>
  <c r="K53" i="9" s="1"/>
  <c r="L81" i="6"/>
  <c r="K67" i="9" s="1"/>
  <c r="E21" i="4"/>
  <c r="F21" s="1"/>
  <c r="L66" i="7"/>
  <c r="L53" i="9" s="1"/>
  <c r="M53" s="1"/>
  <c r="L71" i="7"/>
  <c r="L58" i="9" s="1"/>
  <c r="E58"/>
  <c r="F58" s="1"/>
  <c r="L38" i="6"/>
  <c r="K24" i="9" s="1"/>
  <c r="N24" s="1"/>
  <c r="L55" i="7"/>
  <c r="L42" i="9" s="1"/>
  <c r="L56" i="6"/>
  <c r="K42" i="9" s="1"/>
  <c r="I13" i="8"/>
  <c r="J17" i="5"/>
  <c r="I17"/>
  <c r="I14"/>
  <c r="J18"/>
  <c r="J35"/>
  <c r="I35"/>
  <c r="J34"/>
  <c r="I34"/>
  <c r="J15"/>
  <c r="I15"/>
  <c r="I22"/>
  <c r="F24"/>
  <c r="E12" i="4" s="1"/>
  <c r="I16" i="5"/>
  <c r="J19"/>
  <c r="I23"/>
  <c r="I47"/>
  <c r="I23" i="8"/>
  <c r="L34" i="6"/>
  <c r="K20" i="9" s="1"/>
  <c r="E28" i="8"/>
  <c r="F28" s="1"/>
  <c r="L113" i="7"/>
  <c r="L36" i="8" s="1"/>
  <c r="M36" s="1"/>
  <c r="M113" i="6"/>
  <c r="L111"/>
  <c r="K33" i="8" s="1"/>
  <c r="N33" s="1"/>
  <c r="Q33" s="1"/>
  <c r="H90" i="7"/>
  <c r="L90" s="1"/>
  <c r="L77" i="9" s="1"/>
  <c r="H32" i="7"/>
  <c r="L32" s="1"/>
  <c r="L19" i="9" s="1"/>
  <c r="H48" i="7"/>
  <c r="L48" s="1"/>
  <c r="L35" i="9" s="1"/>
  <c r="E48" i="4"/>
  <c r="L35" i="7"/>
  <c r="L22" i="9" s="1"/>
  <c r="N22" s="1"/>
  <c r="L39" i="7"/>
  <c r="L26" i="9" s="1"/>
  <c r="L53" i="7"/>
  <c r="L40" i="9" s="1"/>
  <c r="M40" s="1"/>
  <c r="L57" i="7"/>
  <c r="L44" i="9" s="1"/>
  <c r="L62" i="7"/>
  <c r="L49" i="9" s="1"/>
  <c r="M76" i="7"/>
  <c r="L112"/>
  <c r="L35" i="8" s="1"/>
  <c r="M35" s="1"/>
  <c r="E79" i="9"/>
  <c r="F79" s="1"/>
  <c r="H33" i="7"/>
  <c r="E20" i="9" s="1"/>
  <c r="F20" s="1"/>
  <c r="H91" i="7"/>
  <c r="L91" s="1"/>
  <c r="L78" i="9" s="1"/>
  <c r="E42" i="8"/>
  <c r="F42" s="1"/>
  <c r="E63" i="9"/>
  <c r="F63" s="1"/>
  <c r="M9" i="7"/>
  <c r="M15"/>
  <c r="M34"/>
  <c r="M38"/>
  <c r="M52"/>
  <c r="M56"/>
  <c r="L64"/>
  <c r="L51" i="9" s="1"/>
  <c r="M72" i="7"/>
  <c r="L75"/>
  <c r="L62" i="9" s="1"/>
  <c r="M62" s="1"/>
  <c r="M85" i="7"/>
  <c r="E14" i="8"/>
  <c r="F14" s="1"/>
  <c r="E23" i="9"/>
  <c r="F23" s="1"/>
  <c r="E42"/>
  <c r="F42" s="1"/>
  <c r="L80" i="6"/>
  <c r="K66" i="9" s="1"/>
  <c r="L73" i="7"/>
  <c r="L60" i="9" s="1"/>
  <c r="I35" i="8"/>
  <c r="P35" s="1"/>
  <c r="G21" i="4"/>
  <c r="G52" s="1"/>
  <c r="M33" i="7"/>
  <c r="L33"/>
  <c r="L20" i="9" s="1"/>
  <c r="E46" i="4"/>
  <c r="E47"/>
  <c r="M14" i="7"/>
  <c r="M49"/>
  <c r="H69"/>
  <c r="L80"/>
  <c r="L67" i="9" s="1"/>
  <c r="M81" i="7"/>
  <c r="L82"/>
  <c r="L69" i="9" s="1"/>
  <c r="M69" s="1"/>
  <c r="M83" i="7"/>
  <c r="M92"/>
  <c r="M116"/>
  <c r="E40" i="4"/>
  <c r="F40" s="1"/>
  <c r="H40" s="1"/>
  <c r="E8" i="8"/>
  <c r="F8" s="1"/>
  <c r="E10"/>
  <c r="F10" s="1"/>
  <c r="E21" i="9"/>
  <c r="F21" s="1"/>
  <c r="E43"/>
  <c r="F43" s="1"/>
  <c r="E50"/>
  <c r="F50" s="1"/>
  <c r="E61"/>
  <c r="F61" s="1"/>
  <c r="I35" i="4"/>
  <c r="E34" i="9"/>
  <c r="F34" s="1"/>
  <c r="H10" i="7"/>
  <c r="L10" s="1"/>
  <c r="E6" i="9"/>
  <c r="F6" s="1"/>
  <c r="E33"/>
  <c r="F33" s="1"/>
  <c r="L7" i="7"/>
  <c r="L6" i="8" s="1"/>
  <c r="M6" s="1"/>
  <c r="H16" i="7"/>
  <c r="L16" s="1"/>
  <c r="L18"/>
  <c r="L5" i="9" s="1"/>
  <c r="M5" s="1"/>
  <c r="M19" i="7"/>
  <c r="L20"/>
  <c r="L7" i="9" s="1"/>
  <c r="M7" s="1"/>
  <c r="L27" i="7"/>
  <c r="L14" i="9" s="1"/>
  <c r="M14" s="1"/>
  <c r="L30" i="7"/>
  <c r="L17" i="9" s="1"/>
  <c r="M17" s="1"/>
  <c r="M31" i="7"/>
  <c r="L43"/>
  <c r="L30" i="9" s="1"/>
  <c r="M30" s="1"/>
  <c r="L46" i="7"/>
  <c r="L33" i="9" s="1"/>
  <c r="M33" s="1"/>
  <c r="M47" i="7"/>
  <c r="E14" i="9"/>
  <c r="F14" s="1"/>
  <c r="E22"/>
  <c r="F22" s="1"/>
  <c r="E27"/>
  <c r="F27" s="1"/>
  <c r="E46"/>
  <c r="F46" s="1"/>
  <c r="E62"/>
  <c r="F62" s="1"/>
  <c r="L33" i="6"/>
  <c r="K19" i="9" s="1"/>
  <c r="L85" i="6"/>
  <c r="K71" i="9" s="1"/>
  <c r="N71" s="1"/>
  <c r="E71"/>
  <c r="F71" s="1"/>
  <c r="L49" i="6"/>
  <c r="K35" i="9" s="1"/>
  <c r="M49" i="6"/>
  <c r="L10"/>
  <c r="K8" i="8" s="1"/>
  <c r="E7" i="9"/>
  <c r="F7" s="1"/>
  <c r="E65"/>
  <c r="F65" s="1"/>
  <c r="E69"/>
  <c r="F69" s="1"/>
  <c r="G15" i="4"/>
  <c r="G46" s="1"/>
  <c r="H46" s="1"/>
  <c r="H17" i="6"/>
  <c r="M17" s="1"/>
  <c r="E6" i="8"/>
  <c r="F6" s="1"/>
  <c r="E7"/>
  <c r="F7" s="1"/>
  <c r="E20"/>
  <c r="F20" s="1"/>
  <c r="E24" i="9"/>
  <c r="F24" s="1"/>
  <c r="E28"/>
  <c r="F28" s="1"/>
  <c r="E36"/>
  <c r="F36" s="1"/>
  <c r="E47"/>
  <c r="F47" s="1"/>
  <c r="E51"/>
  <c r="F51" s="1"/>
  <c r="E70"/>
  <c r="F70" s="1"/>
  <c r="F47" i="4"/>
  <c r="D53"/>
  <c r="M9" i="6"/>
  <c r="L13"/>
  <c r="M14"/>
  <c r="M19"/>
  <c r="M20"/>
  <c r="L23"/>
  <c r="K9" i="9" s="1"/>
  <c r="N9" s="1"/>
  <c r="Q9" s="1"/>
  <c r="M50" i="6"/>
  <c r="M54"/>
  <c r="M72"/>
  <c r="M73"/>
  <c r="M83"/>
  <c r="M84"/>
  <c r="E5" i="8"/>
  <c r="F5" s="1"/>
  <c r="I10"/>
  <c r="E13"/>
  <c r="F13" s="1"/>
  <c r="E5" i="9"/>
  <c r="F5" s="1"/>
  <c r="E17"/>
  <c r="F17" s="1"/>
  <c r="E18"/>
  <c r="F18" s="1"/>
  <c r="I21"/>
  <c r="E25"/>
  <c r="F25" s="1"/>
  <c r="E40"/>
  <c r="F40" s="1"/>
  <c r="E44"/>
  <c r="F44" s="1"/>
  <c r="E48"/>
  <c r="F48" s="1"/>
  <c r="E52"/>
  <c r="F52" s="1"/>
  <c r="E67"/>
  <c r="F67" s="1"/>
  <c r="E24" i="8"/>
  <c r="F24" s="1"/>
  <c r="L14" i="6"/>
  <c r="K12" i="8" s="1"/>
  <c r="L20" i="6"/>
  <c r="K6" i="9" s="1"/>
  <c r="M6" s="1"/>
  <c r="M29" i="6"/>
  <c r="L58"/>
  <c r="K44" i="9" s="1"/>
  <c r="L61" i="6"/>
  <c r="K47" i="9" s="1"/>
  <c r="M47" s="1"/>
  <c r="L65" i="6"/>
  <c r="K51" i="9" s="1"/>
  <c r="L72" i="6"/>
  <c r="K58" i="9" s="1"/>
  <c r="L73" i="6"/>
  <c r="K59" i="9" s="1"/>
  <c r="N59" s="1"/>
  <c r="Q59" s="1"/>
  <c r="L74" i="6"/>
  <c r="K60" i="9" s="1"/>
  <c r="M86" i="6"/>
  <c r="L87"/>
  <c r="K73" i="9" s="1"/>
  <c r="L89" i="6"/>
  <c r="K75" i="9" s="1"/>
  <c r="M75" s="1"/>
  <c r="G18" i="4"/>
  <c r="G20"/>
  <c r="M114" i="6"/>
  <c r="M117"/>
  <c r="N41" i="8"/>
  <c r="E10" i="9"/>
  <c r="F10" s="1"/>
  <c r="E11"/>
  <c r="F11" s="1"/>
  <c r="E41"/>
  <c r="F41" s="1"/>
  <c r="E60"/>
  <c r="F60" s="1"/>
  <c r="E64"/>
  <c r="F64" s="1"/>
  <c r="E68"/>
  <c r="F68" s="1"/>
  <c r="E57"/>
  <c r="F57" s="1"/>
  <c r="E75"/>
  <c r="F75" s="1"/>
  <c r="M88" i="7"/>
  <c r="E38" i="9"/>
  <c r="F38" s="1"/>
  <c r="L51" i="7"/>
  <c r="L38" i="9" s="1"/>
  <c r="M38" s="1"/>
  <c r="M42" i="7"/>
  <c r="E29" i="9"/>
  <c r="F29" s="1"/>
  <c r="O470" i="12"/>
  <c r="H9" i="10"/>
  <c r="H11"/>
  <c r="F11"/>
  <c r="O740" i="12"/>
  <c r="O516"/>
  <c r="O868"/>
  <c r="O484"/>
  <c r="O646"/>
  <c r="O782"/>
  <c r="O558"/>
  <c r="O654"/>
  <c r="O668"/>
  <c r="O772"/>
  <c r="O526"/>
  <c r="O678"/>
  <c r="O518"/>
  <c r="O644"/>
  <c r="O686"/>
  <c r="O774"/>
  <c r="O828"/>
  <c r="O540"/>
  <c r="O796"/>
  <c r="O486"/>
  <c r="O494"/>
  <c r="O508"/>
  <c r="O580"/>
  <c r="O614"/>
  <c r="O622"/>
  <c r="O636"/>
  <c r="O708"/>
  <c r="O742"/>
  <c r="O750"/>
  <c r="O764"/>
  <c r="O836"/>
  <c r="I39" i="9"/>
  <c r="G16" i="8"/>
  <c r="I32"/>
  <c r="P32" s="1"/>
  <c r="I33"/>
  <c r="P33" s="1"/>
  <c r="I37"/>
  <c r="P37" s="1"/>
  <c r="F31"/>
  <c r="F43" s="1"/>
  <c r="E43"/>
  <c r="I7"/>
  <c r="J30"/>
  <c r="K17"/>
  <c r="N17" s="1"/>
  <c r="I64" i="9"/>
  <c r="I19"/>
  <c r="I28"/>
  <c r="I10"/>
  <c r="P10" s="1"/>
  <c r="G39" i="4"/>
  <c r="J9" i="8"/>
  <c r="G36" i="4"/>
  <c r="G48" s="1"/>
  <c r="M109" i="7"/>
  <c r="L114"/>
  <c r="L37" i="8" s="1"/>
  <c r="M117" i="7"/>
  <c r="L111"/>
  <c r="L34" i="8" s="1"/>
  <c r="L115" i="7"/>
  <c r="L38" i="8" s="1"/>
  <c r="E27"/>
  <c r="F27" s="1"/>
  <c r="E22"/>
  <c r="F22" s="1"/>
  <c r="E26"/>
  <c r="F26" s="1"/>
  <c r="E19"/>
  <c r="F19" s="1"/>
  <c r="E23"/>
  <c r="F23" s="1"/>
  <c r="M106" i="7"/>
  <c r="E21" i="8"/>
  <c r="F21" s="1"/>
  <c r="E25"/>
  <c r="F25" s="1"/>
  <c r="E29"/>
  <c r="F29" s="1"/>
  <c r="H95" i="7"/>
  <c r="L95" s="1"/>
  <c r="E50" i="4"/>
  <c r="E17" i="8"/>
  <c r="F17" s="1"/>
  <c r="M39"/>
  <c r="M41"/>
  <c r="I31"/>
  <c r="P31" s="1"/>
  <c r="I34"/>
  <c r="P34" s="1"/>
  <c r="I36"/>
  <c r="P36" s="1"/>
  <c r="I38"/>
  <c r="P38" s="1"/>
  <c r="I21"/>
  <c r="I25"/>
  <c r="I19"/>
  <c r="I27"/>
  <c r="G47" i="4"/>
  <c r="L12" i="7"/>
  <c r="M19" i="8"/>
  <c r="M23"/>
  <c r="M27"/>
  <c r="M21"/>
  <c r="M25"/>
  <c r="I28"/>
  <c r="G9"/>
  <c r="I5"/>
  <c r="N32"/>
  <c r="Q32" s="1"/>
  <c r="G37" i="4"/>
  <c r="I6" i="9"/>
  <c r="I17"/>
  <c r="I24"/>
  <c r="I41"/>
  <c r="I67"/>
  <c r="M50"/>
  <c r="M65"/>
  <c r="I15"/>
  <c r="I26"/>
  <c r="P26" s="1"/>
  <c r="I70"/>
  <c r="I34"/>
  <c r="I47"/>
  <c r="I79"/>
  <c r="I31"/>
  <c r="I73"/>
  <c r="I78"/>
  <c r="M46"/>
  <c r="M48"/>
  <c r="M52"/>
  <c r="M63"/>
  <c r="M72"/>
  <c r="H80"/>
  <c r="I8"/>
  <c r="M10"/>
  <c r="I13"/>
  <c r="I18"/>
  <c r="I22"/>
  <c r="I33"/>
  <c r="I36"/>
  <c r="I42"/>
  <c r="I52"/>
  <c r="I56"/>
  <c r="I72"/>
  <c r="P72" s="1"/>
  <c r="I75"/>
  <c r="P75" s="1"/>
  <c r="M11"/>
  <c r="M18"/>
  <c r="M21"/>
  <c r="M39"/>
  <c r="M43"/>
  <c r="M57"/>
  <c r="M70"/>
  <c r="I14"/>
  <c r="I16"/>
  <c r="I23"/>
  <c r="I25"/>
  <c r="I27"/>
  <c r="M29"/>
  <c r="I30"/>
  <c r="P30" s="1"/>
  <c r="I32"/>
  <c r="I35"/>
  <c r="M36"/>
  <c r="I38"/>
  <c r="I45"/>
  <c r="I48"/>
  <c r="I51"/>
  <c r="I59"/>
  <c r="P59" s="1"/>
  <c r="I61"/>
  <c r="I68"/>
  <c r="I74"/>
  <c r="I77"/>
  <c r="M27"/>
  <c r="I5"/>
  <c r="I11"/>
  <c r="I20"/>
  <c r="I29"/>
  <c r="P29" s="1"/>
  <c r="M34"/>
  <c r="M41"/>
  <c r="I44"/>
  <c r="I46"/>
  <c r="I49"/>
  <c r="P49" s="1"/>
  <c r="I54"/>
  <c r="I58"/>
  <c r="I63"/>
  <c r="I66"/>
  <c r="I69"/>
  <c r="M12"/>
  <c r="M68"/>
  <c r="I7"/>
  <c r="I9"/>
  <c r="P9" s="1"/>
  <c r="I12"/>
  <c r="M23"/>
  <c r="M25"/>
  <c r="I37"/>
  <c r="I40"/>
  <c r="I43"/>
  <c r="I50"/>
  <c r="I53"/>
  <c r="P53" s="1"/>
  <c r="I55"/>
  <c r="I57"/>
  <c r="I60"/>
  <c r="M61"/>
  <c r="I62"/>
  <c r="I65"/>
  <c r="I71"/>
  <c r="I76"/>
  <c r="G80"/>
  <c r="M32" i="8"/>
  <c r="M40"/>
  <c r="N39"/>
  <c r="Q39" s="1"/>
  <c r="M14"/>
  <c r="G43"/>
  <c r="N40"/>
  <c r="Q40" s="1"/>
  <c r="J43"/>
  <c r="I17"/>
  <c r="I20"/>
  <c r="I24"/>
  <c r="I26"/>
  <c r="I6"/>
  <c r="I8"/>
  <c r="I12"/>
  <c r="P12" s="1"/>
  <c r="I14"/>
  <c r="I22"/>
  <c r="I29"/>
  <c r="M5"/>
  <c r="M7"/>
  <c r="J16"/>
  <c r="H30"/>
  <c r="M20"/>
  <c r="M22"/>
  <c r="M24"/>
  <c r="M26"/>
  <c r="M29"/>
  <c r="H43"/>
  <c r="I39"/>
  <c r="P39" s="1"/>
  <c r="I40"/>
  <c r="P40" s="1"/>
  <c r="I41"/>
  <c r="O472" i="12"/>
  <c r="O480"/>
  <c r="O488"/>
  <c r="O496"/>
  <c r="O504"/>
  <c r="O512"/>
  <c r="O520"/>
  <c r="O528"/>
  <c r="O536"/>
  <c r="O544"/>
  <c r="O552"/>
  <c r="O560"/>
  <c r="O568"/>
  <c r="O576"/>
  <c r="O584"/>
  <c r="O592"/>
  <c r="O600"/>
  <c r="O608"/>
  <c r="O616"/>
  <c r="O624"/>
  <c r="O632"/>
  <c r="O640"/>
  <c r="O648"/>
  <c r="O656"/>
  <c r="O664"/>
  <c r="O672"/>
  <c r="O680"/>
  <c r="O688"/>
  <c r="O696"/>
  <c r="O704"/>
  <c r="O712"/>
  <c r="O720"/>
  <c r="O728"/>
  <c r="O736"/>
  <c r="O744"/>
  <c r="O752"/>
  <c r="O760"/>
  <c r="O768"/>
  <c r="O776"/>
  <c r="O784"/>
  <c r="O792"/>
  <c r="O800"/>
  <c r="O808"/>
  <c r="O816"/>
  <c r="O824"/>
  <c r="O832"/>
  <c r="O840"/>
  <c r="O848"/>
  <c r="O856"/>
  <c r="O864"/>
  <c r="N7" i="9"/>
  <c r="N10"/>
  <c r="N11"/>
  <c r="N12"/>
  <c r="N13"/>
  <c r="N14"/>
  <c r="N17"/>
  <c r="N18"/>
  <c r="N21"/>
  <c r="N23"/>
  <c r="N25"/>
  <c r="N27"/>
  <c r="N29"/>
  <c r="N30"/>
  <c r="Q30" s="1"/>
  <c r="N32"/>
  <c r="N33"/>
  <c r="N34"/>
  <c r="N36"/>
  <c r="N38"/>
  <c r="N39"/>
  <c r="Q39" s="1"/>
  <c r="N41"/>
  <c r="N43"/>
  <c r="N46"/>
  <c r="N48"/>
  <c r="N50"/>
  <c r="N52"/>
  <c r="N53"/>
  <c r="Q53" s="1"/>
  <c r="N57"/>
  <c r="N61"/>
  <c r="N63"/>
  <c r="N65"/>
  <c r="N68"/>
  <c r="N69"/>
  <c r="N70"/>
  <c r="N72"/>
  <c r="Q72" s="1"/>
  <c r="N77"/>
  <c r="I4"/>
  <c r="H16" i="8"/>
  <c r="N19"/>
  <c r="N20"/>
  <c r="N21"/>
  <c r="N22"/>
  <c r="N23"/>
  <c r="N24"/>
  <c r="N25"/>
  <c r="N26"/>
  <c r="N27"/>
  <c r="N29"/>
  <c r="Q29" s="1"/>
  <c r="G30"/>
  <c r="N5"/>
  <c r="N7"/>
  <c r="H9"/>
  <c r="N14"/>
  <c r="L108" i="7"/>
  <c r="L31" i="8" s="1"/>
  <c r="M31" s="1"/>
  <c r="M108" i="7"/>
  <c r="M105"/>
  <c r="L105"/>
  <c r="L28" i="8" s="1"/>
  <c r="M12" i="7"/>
  <c r="M6"/>
  <c r="M11"/>
  <c r="H21"/>
  <c r="E8" i="9" s="1"/>
  <c r="F8" s="1"/>
  <c r="M22" i="7"/>
  <c r="M24"/>
  <c r="H28"/>
  <c r="E15" i="9" s="1"/>
  <c r="F15" s="1"/>
  <c r="M32" i="7"/>
  <c r="H44"/>
  <c r="H58"/>
  <c r="M59"/>
  <c r="M61"/>
  <c r="M63"/>
  <c r="M65"/>
  <c r="M68"/>
  <c r="M77"/>
  <c r="M84"/>
  <c r="M87"/>
  <c r="M94"/>
  <c r="M96"/>
  <c r="M97"/>
  <c r="M98"/>
  <c r="M99"/>
  <c r="M100"/>
  <c r="M101"/>
  <c r="M102"/>
  <c r="M103"/>
  <c r="M104"/>
  <c r="G107"/>
  <c r="M110"/>
  <c r="G93"/>
  <c r="L11"/>
  <c r="L10" i="8" s="1"/>
  <c r="H17" i="7"/>
  <c r="L17" s="1"/>
  <c r="H26"/>
  <c r="E13" i="9" s="1"/>
  <c r="F13" s="1"/>
  <c r="H29" i="7"/>
  <c r="E16" i="9" s="1"/>
  <c r="F16" s="1"/>
  <c r="H45" i="7"/>
  <c r="E32" i="9" s="1"/>
  <c r="F32" s="1"/>
  <c r="H50" i="7"/>
  <c r="E37" i="9" s="1"/>
  <c r="F37" s="1"/>
  <c r="H67" i="7"/>
  <c r="H79"/>
  <c r="E66" i="9" s="1"/>
  <c r="F66" s="1"/>
  <c r="H86" i="7"/>
  <c r="E73" i="9" s="1"/>
  <c r="F73" s="1"/>
  <c r="H89" i="7"/>
  <c r="L106" i="6"/>
  <c r="M106"/>
  <c r="M115"/>
  <c r="L115"/>
  <c r="K37" i="8" s="1"/>
  <c r="M7" i="6"/>
  <c r="H11"/>
  <c r="L11" s="1"/>
  <c r="M12"/>
  <c r="L15"/>
  <c r="K13" i="8" s="1"/>
  <c r="M16" i="6"/>
  <c r="H68"/>
  <c r="H70"/>
  <c r="E56" i="9" s="1"/>
  <c r="F56" s="1"/>
  <c r="M107" i="6"/>
  <c r="H108"/>
  <c r="M109"/>
  <c r="H112"/>
  <c r="G94"/>
  <c r="M8"/>
  <c r="L12"/>
  <c r="K10" i="8" s="1"/>
  <c r="M21" i="6"/>
  <c r="M24"/>
  <c r="M28"/>
  <c r="M30"/>
  <c r="M33"/>
  <c r="M37"/>
  <c r="M41"/>
  <c r="M48"/>
  <c r="M51"/>
  <c r="M55"/>
  <c r="M62"/>
  <c r="M66"/>
  <c r="M71"/>
  <c r="M75"/>
  <c r="M79"/>
  <c r="M82"/>
  <c r="M85"/>
  <c r="M95"/>
  <c r="M96" s="1"/>
  <c r="H96"/>
  <c r="M97"/>
  <c r="M98"/>
  <c r="M99"/>
  <c r="M100"/>
  <c r="M101"/>
  <c r="M102"/>
  <c r="M103"/>
  <c r="M104"/>
  <c r="M105"/>
  <c r="G108"/>
  <c r="E20" i="4" s="1"/>
  <c r="M110" i="6"/>
  <c r="M118"/>
  <c r="H18"/>
  <c r="H45"/>
  <c r="E31" i="9" s="1"/>
  <c r="F31" s="1"/>
  <c r="H59" i="6"/>
  <c r="E45" i="9" s="1"/>
  <c r="F45" s="1"/>
  <c r="H69" i="6"/>
  <c r="E55" i="9" s="1"/>
  <c r="F55" s="1"/>
  <c r="H88" i="6"/>
  <c r="E74" i="9" s="1"/>
  <c r="F74" s="1"/>
  <c r="H90" i="6"/>
  <c r="H92"/>
  <c r="E78" i="9" s="1"/>
  <c r="F78" s="1"/>
  <c r="J29" i="5"/>
  <c r="I29"/>
  <c r="J28"/>
  <c r="I28"/>
  <c r="J27"/>
  <c r="J31"/>
  <c r="I31"/>
  <c r="J26"/>
  <c r="I26"/>
  <c r="I30"/>
  <c r="J30"/>
  <c r="J11"/>
  <c r="J12"/>
  <c r="J13"/>
  <c r="J21"/>
  <c r="J32"/>
  <c r="J37"/>
  <c r="J38"/>
  <c r="J43"/>
  <c r="I34" i="4"/>
  <c r="I33" s="1"/>
  <c r="H34"/>
  <c r="F50"/>
  <c r="I19"/>
  <c r="H19"/>
  <c r="H35"/>
  <c r="U12" i="9" l="1"/>
  <c r="X12"/>
  <c r="U57"/>
  <c r="X57"/>
  <c r="U18"/>
  <c r="X18"/>
  <c r="U63"/>
  <c r="X63"/>
  <c r="U7"/>
  <c r="X7"/>
  <c r="U23"/>
  <c r="X23"/>
  <c r="U68"/>
  <c r="X68"/>
  <c r="U27"/>
  <c r="X27"/>
  <c r="U72"/>
  <c r="X72"/>
  <c r="U6"/>
  <c r="X6"/>
  <c r="U14"/>
  <c r="X14"/>
  <c r="U79"/>
  <c r="X79"/>
  <c r="U25"/>
  <c r="X25"/>
  <c r="U34"/>
  <c r="X34"/>
  <c r="U39"/>
  <c r="X39"/>
  <c r="U48"/>
  <c r="X48"/>
  <c r="U50"/>
  <c r="X50"/>
  <c r="U17"/>
  <c r="X17"/>
  <c r="U5"/>
  <c r="X5"/>
  <c r="U62"/>
  <c r="X62"/>
  <c r="U10"/>
  <c r="X10"/>
  <c r="U47"/>
  <c r="X47"/>
  <c r="U30"/>
  <c r="X30"/>
  <c r="U69"/>
  <c r="X69"/>
  <c r="U40"/>
  <c r="X40"/>
  <c r="U70"/>
  <c r="X70"/>
  <c r="U21"/>
  <c r="X21"/>
  <c r="U46"/>
  <c r="X46"/>
  <c r="U33"/>
  <c r="X33"/>
  <c r="U53"/>
  <c r="X53"/>
  <c r="U61"/>
  <c r="X61"/>
  <c r="U41"/>
  <c r="X41"/>
  <c r="U36"/>
  <c r="X36"/>
  <c r="U29"/>
  <c r="X29"/>
  <c r="U43"/>
  <c r="X43"/>
  <c r="U11"/>
  <c r="X11"/>
  <c r="U52"/>
  <c r="X52"/>
  <c r="U65"/>
  <c r="X65"/>
  <c r="U38"/>
  <c r="X38"/>
  <c r="U75"/>
  <c r="X75"/>
  <c r="E31" i="4"/>
  <c r="F31" s="1"/>
  <c r="H31" s="1"/>
  <c r="F51" i="5"/>
  <c r="F12" i="4"/>
  <c r="I12" s="1"/>
  <c r="E58"/>
  <c r="N79" i="9"/>
  <c r="M12" i="8"/>
  <c r="H120" i="6"/>
  <c r="M120" s="1"/>
  <c r="M13" i="8"/>
  <c r="P46" i="9"/>
  <c r="H38" i="4"/>
  <c r="G50"/>
  <c r="E54" i="9"/>
  <c r="F54" s="1"/>
  <c r="P39"/>
  <c r="Q12"/>
  <c r="P12"/>
  <c r="M28"/>
  <c r="M26"/>
  <c r="M67"/>
  <c r="N49"/>
  <c r="Q49" s="1"/>
  <c r="M64"/>
  <c r="M116" i="6"/>
  <c r="P50" i="9"/>
  <c r="M24"/>
  <c r="M77"/>
  <c r="P8" i="8"/>
  <c r="I47" i="4"/>
  <c r="H15"/>
  <c r="M71" i="9"/>
  <c r="M91" i="7"/>
  <c r="M58" i="9"/>
  <c r="P58"/>
  <c r="E19"/>
  <c r="F19" s="1"/>
  <c r="N42"/>
  <c r="Q42" s="1"/>
  <c r="Q69"/>
  <c r="M42"/>
  <c r="Q64"/>
  <c r="Q46"/>
  <c r="N6"/>
  <c r="Q6" s="1"/>
  <c r="Q10"/>
  <c r="N5"/>
  <c r="Q5" s="1"/>
  <c r="P47"/>
  <c r="P6"/>
  <c r="N20"/>
  <c r="Q20" s="1"/>
  <c r="Q29"/>
  <c r="Q63"/>
  <c r="P10" i="8"/>
  <c r="P42" i="9"/>
  <c r="P79"/>
  <c r="Q79"/>
  <c r="N62"/>
  <c r="Q62" s="1"/>
  <c r="M44"/>
  <c r="N19"/>
  <c r="Q19" s="1"/>
  <c r="N51"/>
  <c r="Q51" s="1"/>
  <c r="G24" i="5"/>
  <c r="F50"/>
  <c r="I31" i="4"/>
  <c r="M49" i="9"/>
  <c r="M22"/>
  <c r="M20"/>
  <c r="P27"/>
  <c r="P28" i="8"/>
  <c r="M16" i="7"/>
  <c r="N36" i="8"/>
  <c r="Q36" s="1"/>
  <c r="H119" i="7"/>
  <c r="L119" s="1"/>
  <c r="M33" i="8"/>
  <c r="M51" i="9"/>
  <c r="Q65"/>
  <c r="Q23"/>
  <c r="P14" i="8"/>
  <c r="P69" i="9"/>
  <c r="P13" i="8"/>
  <c r="P65" i="9"/>
  <c r="P44"/>
  <c r="P23"/>
  <c r="N35" i="8"/>
  <c r="Q35" s="1"/>
  <c r="Q33" i="9"/>
  <c r="Q14"/>
  <c r="Q24" i="8"/>
  <c r="N58" i="9"/>
  <c r="Q58" s="1"/>
  <c r="N40"/>
  <c r="Q40" s="1"/>
  <c r="Q34"/>
  <c r="Q25"/>
  <c r="Q21"/>
  <c r="Q11"/>
  <c r="P26" i="8"/>
  <c r="P43" i="9"/>
  <c r="P25"/>
  <c r="P24"/>
  <c r="E35"/>
  <c r="F35" s="1"/>
  <c r="M90" i="7"/>
  <c r="M35" i="9"/>
  <c r="E76"/>
  <c r="F76" s="1"/>
  <c r="M48" i="7"/>
  <c r="Q14" i="8"/>
  <c r="P63" i="9"/>
  <c r="E77"/>
  <c r="F77" s="1"/>
  <c r="P21"/>
  <c r="I15" i="4"/>
  <c r="I14" s="1"/>
  <c r="Q71" i="9"/>
  <c r="I40" i="4"/>
  <c r="E52"/>
  <c r="F52"/>
  <c r="H52" s="1"/>
  <c r="P60" i="9"/>
  <c r="M60"/>
  <c r="P48"/>
  <c r="P34"/>
  <c r="M10" i="8"/>
  <c r="Q27" i="9"/>
  <c r="Q13"/>
  <c r="P11"/>
  <c r="P56"/>
  <c r="P15"/>
  <c r="Q48"/>
  <c r="P5"/>
  <c r="P22"/>
  <c r="Q6" i="8"/>
  <c r="Q50" i="9"/>
  <c r="Q43"/>
  <c r="Q28"/>
  <c r="Q24"/>
  <c r="P6" i="8"/>
  <c r="P24"/>
  <c r="P51" i="9"/>
  <c r="P38"/>
  <c r="N67"/>
  <c r="Q67" s="1"/>
  <c r="G22" i="4"/>
  <c r="G13" s="1"/>
  <c r="G51"/>
  <c r="Q15" i="9"/>
  <c r="P62"/>
  <c r="P14"/>
  <c r="P33"/>
  <c r="M10" i="7"/>
  <c r="N12" i="8"/>
  <c r="Q12" s="1"/>
  <c r="Q5"/>
  <c r="Q26"/>
  <c r="N47" i="9"/>
  <c r="Q47" s="1"/>
  <c r="Q22"/>
  <c r="M59"/>
  <c r="P37"/>
  <c r="P66"/>
  <c r="P16"/>
  <c r="P36"/>
  <c r="P13"/>
  <c r="P31"/>
  <c r="P64"/>
  <c r="M69" i="7"/>
  <c r="L69"/>
  <c r="L56" i="9" s="1"/>
  <c r="E4"/>
  <c r="F4" s="1"/>
  <c r="N13" i="8"/>
  <c r="Q13" s="1"/>
  <c r="Q61" i="9"/>
  <c r="Q38"/>
  <c r="Q7"/>
  <c r="P7" i="8"/>
  <c r="P71" i="9"/>
  <c r="P20"/>
  <c r="M9"/>
  <c r="P61"/>
  <c r="P18"/>
  <c r="P67"/>
  <c r="P19" i="8"/>
  <c r="N8"/>
  <c r="R8" s="1"/>
  <c r="M8"/>
  <c r="L17" i="6"/>
  <c r="F17" i="4"/>
  <c r="Q68" i="9"/>
  <c r="Q52"/>
  <c r="Q17"/>
  <c r="P32"/>
  <c r="P73"/>
  <c r="P28"/>
  <c r="I21" i="4"/>
  <c r="Q7" i="8"/>
  <c r="Q20"/>
  <c r="I9"/>
  <c r="N75" i="9"/>
  <c r="Q75" s="1"/>
  <c r="N60"/>
  <c r="Q60" s="1"/>
  <c r="N44"/>
  <c r="Q44" s="1"/>
  <c r="N35"/>
  <c r="Q18"/>
  <c r="P40"/>
  <c r="P7"/>
  <c r="P45"/>
  <c r="M19"/>
  <c r="P78"/>
  <c r="P5" i="8"/>
  <c r="M38"/>
  <c r="N37"/>
  <c r="Q37" s="1"/>
  <c r="P68" i="9"/>
  <c r="P17"/>
  <c r="H21" i="4"/>
  <c r="Q70" i="9"/>
  <c r="Q41"/>
  <c r="Q36"/>
  <c r="Q32"/>
  <c r="P20" i="8"/>
  <c r="P52" i="9"/>
  <c r="P70"/>
  <c r="P41"/>
  <c r="Q57"/>
  <c r="P57"/>
  <c r="P74"/>
  <c r="P8"/>
  <c r="E37" i="4"/>
  <c r="F37" s="1"/>
  <c r="I37" s="1"/>
  <c r="E18"/>
  <c r="P55" i="9"/>
  <c r="P22" i="8"/>
  <c r="M108" i="6"/>
  <c r="F20" i="4"/>
  <c r="Q22" i="8"/>
  <c r="F30"/>
  <c r="P29"/>
  <c r="P17"/>
  <c r="Q27"/>
  <c r="Q23"/>
  <c r="E30"/>
  <c r="M17"/>
  <c r="H50" i="4"/>
  <c r="N10" i="8"/>
  <c r="Q10" s="1"/>
  <c r="I36" i="4"/>
  <c r="H36"/>
  <c r="N31" i="8"/>
  <c r="Q31" s="1"/>
  <c r="M37"/>
  <c r="N38"/>
  <c r="H107" i="7"/>
  <c r="L107" s="1"/>
  <c r="E39" i="4"/>
  <c r="Q19" i="8"/>
  <c r="P21"/>
  <c r="P23"/>
  <c r="P25"/>
  <c r="Q25"/>
  <c r="Q21"/>
  <c r="P27"/>
  <c r="M95" i="7"/>
  <c r="Q17" i="8"/>
  <c r="H47" i="4"/>
  <c r="L108" i="6"/>
  <c r="K28" i="8"/>
  <c r="I46" i="4"/>
  <c r="G41"/>
  <c r="G32" s="1"/>
  <c r="G49"/>
  <c r="I30" i="8"/>
  <c r="I43"/>
  <c r="I16"/>
  <c r="I80" i="9"/>
  <c r="L45" i="7"/>
  <c r="L32" i="9" s="1"/>
  <c r="M32" s="1"/>
  <c r="M45" i="7"/>
  <c r="M89"/>
  <c r="L89"/>
  <c r="L76" i="9" s="1"/>
  <c r="M50" i="7"/>
  <c r="L50"/>
  <c r="L37" i="9" s="1"/>
  <c r="M17" i="7"/>
  <c r="L4" i="9"/>
  <c r="L58" i="7"/>
  <c r="L45" i="9" s="1"/>
  <c r="M58" i="7"/>
  <c r="L44"/>
  <c r="L31" i="9" s="1"/>
  <c r="M44" i="7"/>
  <c r="L67"/>
  <c r="L54" i="9" s="1"/>
  <c r="M67" i="7"/>
  <c r="M26"/>
  <c r="L26"/>
  <c r="L13" i="9" s="1"/>
  <c r="M13" s="1"/>
  <c r="M28" i="7"/>
  <c r="L28"/>
  <c r="L15" i="9" s="1"/>
  <c r="M15" s="1"/>
  <c r="L21" i="7"/>
  <c r="L8" i="9" s="1"/>
  <c r="M21" i="7"/>
  <c r="M86"/>
  <c r="L86"/>
  <c r="L73" i="9" s="1"/>
  <c r="M79" i="7"/>
  <c r="L79"/>
  <c r="L66" i="9" s="1"/>
  <c r="M29" i="7"/>
  <c r="L29"/>
  <c r="L16" i="9" s="1"/>
  <c r="N16" s="1"/>
  <c r="H93" i="7"/>
  <c r="L92" i="6"/>
  <c r="K78" i="9" s="1"/>
  <c r="M92" i="6"/>
  <c r="L69"/>
  <c r="K55" i="9" s="1"/>
  <c r="M69" i="6"/>
  <c r="M68"/>
  <c r="L68"/>
  <c r="K54" i="9" s="1"/>
  <c r="M11" i="6"/>
  <c r="L88"/>
  <c r="K74" i="9" s="1"/>
  <c r="M88" i="6"/>
  <c r="H94"/>
  <c r="L18"/>
  <c r="K4" i="9" s="1"/>
  <c r="M18" i="6"/>
  <c r="M112"/>
  <c r="L112"/>
  <c r="M70"/>
  <c r="L70"/>
  <c r="K56" i="9" s="1"/>
  <c r="L59" i="6"/>
  <c r="K45" i="9" s="1"/>
  <c r="M59" i="6"/>
  <c r="L90"/>
  <c r="K76" i="9" s="1"/>
  <c r="M90" i="6"/>
  <c r="L45"/>
  <c r="K31" i="9" s="1"/>
  <c r="M45" i="6"/>
  <c r="G48" i="5"/>
  <c r="I50" i="4"/>
  <c r="U49" i="9" l="1"/>
  <c r="X49"/>
  <c r="U15"/>
  <c r="X15"/>
  <c r="U59"/>
  <c r="X59"/>
  <c r="U51"/>
  <c r="X51"/>
  <c r="U19"/>
  <c r="X19"/>
  <c r="U35"/>
  <c r="X35"/>
  <c r="U20"/>
  <c r="X20"/>
  <c r="U44"/>
  <c r="X44"/>
  <c r="U42"/>
  <c r="X42"/>
  <c r="U24"/>
  <c r="X24"/>
  <c r="U32"/>
  <c r="X32"/>
  <c r="U26"/>
  <c r="X26"/>
  <c r="U22"/>
  <c r="X22"/>
  <c r="U58"/>
  <c r="X58"/>
  <c r="U67"/>
  <c r="X67"/>
  <c r="U13"/>
  <c r="X13"/>
  <c r="U9"/>
  <c r="X9"/>
  <c r="U60"/>
  <c r="X60"/>
  <c r="U71"/>
  <c r="X71"/>
  <c r="U77"/>
  <c r="X77"/>
  <c r="U64"/>
  <c r="X64"/>
  <c r="U28"/>
  <c r="X28"/>
  <c r="H12" i="4"/>
  <c r="E41"/>
  <c r="P54" i="9"/>
  <c r="G53" i="4"/>
  <c r="P19" i="9"/>
  <c r="S8" i="8"/>
  <c r="Q8"/>
  <c r="J24" i="5"/>
  <c r="I24"/>
  <c r="F80" i="9"/>
  <c r="I52" i="4"/>
  <c r="M119" i="7"/>
  <c r="P35" i="9"/>
  <c r="P77"/>
  <c r="Q35"/>
  <c r="P76"/>
  <c r="Q77"/>
  <c r="P4"/>
  <c r="E80"/>
  <c r="P80" s="1"/>
  <c r="L120" i="6"/>
  <c r="K42" i="8" s="1"/>
  <c r="M42" s="1"/>
  <c r="K34"/>
  <c r="F48" i="4"/>
  <c r="H17"/>
  <c r="I17"/>
  <c r="E49"/>
  <c r="H37"/>
  <c r="E22"/>
  <c r="M94" i="6"/>
  <c r="F18" i="4"/>
  <c r="M107" i="7"/>
  <c r="H20" i="4"/>
  <c r="I20"/>
  <c r="F39"/>
  <c r="E32"/>
  <c r="E51"/>
  <c r="M28" i="8"/>
  <c r="N28"/>
  <c r="Q28" s="1"/>
  <c r="M66" i="9"/>
  <c r="N66"/>
  <c r="Q66" s="1"/>
  <c r="M37"/>
  <c r="N37"/>
  <c r="Q37" s="1"/>
  <c r="M16"/>
  <c r="Q16"/>
  <c r="M73"/>
  <c r="N73"/>
  <c r="Q73" s="1"/>
  <c r="N8"/>
  <c r="Q8" s="1"/>
  <c r="M8"/>
  <c r="L80"/>
  <c r="M31"/>
  <c r="N31"/>
  <c r="Q31" s="1"/>
  <c r="M45"/>
  <c r="N45"/>
  <c r="Q45" s="1"/>
  <c r="M78"/>
  <c r="N78"/>
  <c r="Q78" s="1"/>
  <c r="M54"/>
  <c r="N54"/>
  <c r="Q54" s="1"/>
  <c r="M76"/>
  <c r="N76"/>
  <c r="Q76" s="1"/>
  <c r="M4"/>
  <c r="K80"/>
  <c r="N4"/>
  <c r="Q4" s="1"/>
  <c r="M55"/>
  <c r="N55"/>
  <c r="Q55" s="1"/>
  <c r="M56"/>
  <c r="N56"/>
  <c r="Q56" s="1"/>
  <c r="M74"/>
  <c r="N74"/>
  <c r="Q74" s="1"/>
  <c r="L93" i="7"/>
  <c r="M93"/>
  <c r="L94" i="6"/>
  <c r="J48" i="5"/>
  <c r="I48"/>
  <c r="U78" i="9" l="1"/>
  <c r="X78"/>
  <c r="U31"/>
  <c r="X31"/>
  <c r="U74"/>
  <c r="X74"/>
  <c r="U16"/>
  <c r="X16"/>
  <c r="U4"/>
  <c r="X4"/>
  <c r="U54"/>
  <c r="X54"/>
  <c r="U45"/>
  <c r="X45"/>
  <c r="U8"/>
  <c r="X8"/>
  <c r="U76"/>
  <c r="X76"/>
  <c r="U55"/>
  <c r="X55"/>
  <c r="U66"/>
  <c r="X66"/>
  <c r="U56"/>
  <c r="X56"/>
  <c r="U73"/>
  <c r="X73"/>
  <c r="U37"/>
  <c r="X37"/>
  <c r="E53" i="4"/>
  <c r="F53" s="1"/>
  <c r="H53" s="1"/>
  <c r="N42" i="8"/>
  <c r="M34"/>
  <c r="N34"/>
  <c r="Q34" s="1"/>
  <c r="H48" i="4"/>
  <c r="I48"/>
  <c r="M80" i="9"/>
  <c r="N80" s="1"/>
  <c r="E13" i="4"/>
  <c r="F22"/>
  <c r="F49"/>
  <c r="I18"/>
  <c r="H18"/>
  <c r="F41"/>
  <c r="F51"/>
  <c r="I39"/>
  <c r="H39"/>
  <c r="I53" l="1"/>
  <c r="I22"/>
  <c r="I13" s="1"/>
  <c r="H22"/>
  <c r="H13" s="1"/>
  <c r="F13"/>
  <c r="I49"/>
  <c r="H49"/>
  <c r="F32"/>
  <c r="I32" s="1"/>
  <c r="I41"/>
  <c r="H41"/>
  <c r="H32" s="1"/>
  <c r="H51"/>
  <c r="I51"/>
</calcChain>
</file>

<file path=xl/comments1.xml><?xml version="1.0" encoding="utf-8"?>
<comments xmlns="http://schemas.openxmlformats.org/spreadsheetml/2006/main">
  <authors>
    <author>Autor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81347 a 120500 t)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813 a 1205 t)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813 a 1205 t) 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17506 a 25947 t)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 62065 a 91993 t) 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3852 a 5715 t)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25 a 36 t)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412 a 611 t)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49336 a 73228 t)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769 a 1141 t)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4635 a 6876 t)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2856 a 4236 t)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274406 a 335334 t) 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2744  a 3353 t) 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1513 / 23-04-19_Traspasa 999 ton de cuota imprevistos a la IX region 
R Ex 2356 / 28-06-19_Traspasa  1221 ton de cuota imprevistos a la IX region 
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2744 a 3353 t) 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59122  a 72258 t) 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209616  a 256190 t) 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2970 a 3631 t)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70 a 86 t)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1074 a 1313 t)
2355-2019 Modifica R Ex 4536-2018 Establece Distribución Fracciones Artesanales Anchovy SardinaComValparaíso a Los Lagos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167514 a 204760 t)
2355-2019 Modifica R Ex 4536-2018 Establece Distribución Fracciones Artesanales Anchovy SardinaComValparaíso a Los Lagos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2479 a 3030 t)
2355-2019 Modifica R Ex 4536-2018 Establece Distribución Fracciones Artesanales Anchovy SardinaComValparaíso a Los Lagos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1513 / 23-04-19_Incremento de 999 toneladas desde Cuota Imprevisto 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24001 a 29337 t)2355-2019 Modifica R Ex 4536-2018 Establece Distribución Fracciones Artesanales Anchovy SardinaComValparaíso a Los Lagos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11358 a 13883 t)
2355-2019 Modifica R Ex 4536-2018 Establece Distribución Fracciones Artesanales Anchovy SardinaComValparaíso a Los Lagos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823 Cesion de 892,476 ton de Alimar  a Grupo Emb_VIII region
R Ex 822 Cesion de 900 ton de Alimar  a Grupo Emb_VIII region
R Ex 1079 Cesion de 100 ton de Alimar  a Emb Mar de Liguria_VIII region
R Ex 1107 Cesion de 264,446 ton de Alimar  a Grupo Emb_VIII region
R Ex 1108 Cesion de 130 ton de Alimar  a Emb Florencia_VIII region
R Ex 1197 Cesion de 4 ton de Alimar  a Emb Adriana V_VIII region
R Ex 1198 Cesion de 1596 ton de Alimar  a Grupo Emb_VIII region
R Ex 2201 Cesion de 960,536 ton de Alimar  a Grupo Emb_VIII region
R Ex 2367 Cesion de 374 ton de Alimar  a Grupo Emb_VIII region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2590 ton en favor de embarcacines de la region de los rios (res n° 1080 del 27-03-2019)
cesion ind-art cede 300 ton en favor de embarcacines de la region de la araucania (res n° 1081 del 27-03-2019)
-------------------------------------------------------------------------------
R Ex 1196 Cesion de 40 ton de Blumar  a Emb Lago Ranco-VIII region
R Ex 1196 Cesion de 30 ton de Blumar  a Emb Nahum-VIII region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120 ton en favor de artesanales de la region del BIOBIO (RES N° 794 del 28-02-2019)
</t>
        </r>
        <r>
          <rPr>
            <strike/>
            <sz val="9"/>
            <color indexed="81"/>
            <rFont val="Tahoma"/>
            <family val="2"/>
          </rPr>
          <t>cesion ind-art cede 120 ton en favor de artesanales de la region del BIOBIO (RES N° 847 del 06-03-2019)</t>
        </r>
        <r>
          <rPr>
            <sz val="9"/>
            <color indexed="81"/>
            <rFont val="Tahoma"/>
            <family val="2"/>
          </rPr>
          <t xml:space="preserve">
Cesion art-ind cede 125 ton en favor de artesanales de la region del biobio (res n° 1110 del 29-03-2019)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1526 Cesion de 200 ton de Camanchaca PS  a Grupo Emb_VIII region
R Ex 1528 Cesion de 230 ton de Camanchaca PS  a Grupo Emb_VIII region
R Ex 1574 Cesion de 20 ton de Camanchaca PS  a Emb Domenica_VIII region
R Ex 1527 Modifica Res. Ex. N° 794 de 120 a 110 ton de anchoveta 
R Ex 2053 Cesion de 190 ton de Camanchaca PS  a Grupo Emb_VIII region
R Ex 2139 Cesion de 600 ton de Camanchaca PS  a Artesanal region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544 Cesion de 70,71 ton de Novamar  a Emb Niña Ximena_VIII region
R Ex 686 Cesion de 101,885 ton de Novamar  a Emb Paulina M_VIII region
R Ex 2197 Cesion de 11,417 ton de Novamar  a Grupo Emb_VIII region 
R Ex 2270 Cesion de 120,135 ton de Novamar  a Grupo Emb_VIII region
R Ex 2206 Cesion de 11,417 ton de Novamar  a Grupo Emb_VIII region
R Ex 2311 Cesion de 21,017 ton de Novamar  a Grupo Emb_VIII region
R Ex 2397 Cesion de 30,617 ton de Novamar  a Emb Paulina M_VIII region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543 Cesion de 104,336 ton de Pesq Litoral  a Grupo Emb_VIII region
R Ex 676 Cesion de 104,511 ton de Pesq Litoral  a Grupo Emb_VIII region
R Ex 825 Cesion de 81,236 ton de Pesq Litoral  a Emb Paulina M_VIII region
R Ex 971 Cesion de 106,787 ton de Pesq Litoral  a Emb Paulina M_VIII region
R Ex 2444 Cesion de 48,002 ton de Pesq Litoral   a Grupo Emb_VIII region
R Ex 2445 Cesion de 184,483 ton de Pesq Litoral   a Grupo Emb_VIII region
R Ex 2446 Cesion de 47,224 ton de Pesq Litoral   a Grupo Emb_VIII region
</t>
        </r>
      </text>
    </comment>
    <comment ref="F17" author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cede 131,838 ton en favor de inversiones pesqueros pedro irigoyen limitada (res n° 866 del 11-03-2019)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cesion ind-art cede 432,272 ton en favor de armadore artesanales de la region del biobio (res n° 1048 del 22-03-2019) 
Cesion ind-art cede 113 ton en favor de armadores artesanales de la region del biobio (res n° 1112 del 29-03-2019)
Cesion ind-art cede 16 ton en favor de la embarcacion SANTA RITA III (RES N° 1113 del 29-03-2019)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1594 Cesion de 1175 ton de Soc Landes  a Grupo Emb_VIII region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1638 Cesion de 266 ton de Lota Protein  a VIII region
R Ex 1460 Cesion de 2 ton de Lota Protein  a Emb Don Sixto_VIII region
R Ex 1460 Cesion de 2 ton de Lota Protein  a Emb Don Sixto Abraham I_VIII region
R Ex 2099 Cesion de -40 ton de Lota Protein  a Artesanal region 
R Ex 2122 Cesion de -97 ton de Lota Protein  a Artesanal region 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315 ton en favor de artesanales de la region del BIOBIO (RES N° 795 del 28-02-2019)
---------------------------------------------------------------------------------
R Ex 1462 Cesion de 3363 ton de Orizon  a Grupo Emb_VIII region
R Ex 2140 Cesion de 1800 ton de Orizon  a Artesanal region
</t>
        </r>
      </text>
    </comment>
    <comment ref="F23" author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incremento de 131,838 ton desde FOODCORP CHILE SA (RES N° 866 del 11-03-2019)</t>
        </r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-------------------------------------------------------------------------------------
R Ex 1188 Cesion de 131,8 ton de Inv Pesq Pedro Irigoyen  a Emb Don Luis Alberto-VIII region
R Ex 2105 Cesion de -63,6 ton de Pedro Irigoyen  a Artesanal region 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822 Cesion de 600 ton de Alimar  a Grupo Emb_VIII region
R Ex 823 Cesion de 3014,199 ton de Alimar  a Grupo Emb_VIII region
R Ex 1079 Cesion de 200 ton de Alimar  a Emb Mar de Liguria_VIII region
R Ex 1108 Cesion de 893,098 ton de Alimar  a Grupo Emb_VIII region
R Ex 1108 Cesion de 110 ton de Alimar  a Emb Florencia_VIII region
R Ex 1197 Cesion de 196 ton de Alimar  a Emb Adriana V_VIII region 
R Ex 1198 Cesion de 206 ton de Alimar  a Grupo Emb_VIII region
R Ex 2201 Cesion de 727,296 ton de Alimar  a Grupo Emb_VIII region
R Ex 2367 Cesion de 250 ton de Alimar  a Grupo Emb_VIII region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7860 ton en favor de embarcacines de la region de Los Rios  (res n° 1080 del 27-03-2019)
cesion ind-art cede 900 ton en favor de embarcacines de la region de la Araucania  (res n° 1081 del 27-03-2019)
-------------------------------------------------------------------------------------------------------
R Ex 1196 Cesion de 260 ton de Blumar  a Emb Lago Ranco-VIII region
R Ex 1196 Cesion de 170 ton de Blumar  a Emb Nahum-VIII region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trike/>
            <sz val="9"/>
            <color indexed="81"/>
            <rFont val="Tahoma"/>
            <family val="2"/>
          </rPr>
          <t>cesion art-art cede 1200 ton en favor de artesanales de la region del BIOBIO (RES N° 794 del 28-02-2019)</t>
        </r>
        <r>
          <rPr>
            <sz val="9"/>
            <color indexed="81"/>
            <rFont val="Tahoma"/>
            <family val="2"/>
          </rPr>
          <t xml:space="preserve">
cesion art-art cede 1310 ton en favor de artesanales de la region del BIOBIO (RES N° 847 del 06-03-2019)
Cesion art-ind cede 915 ton en favor de artesanales de la region del biobio (res n° 1110 del 29-03-2019)
---------------------------------------------------------------------------------------------------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1526 Cesion de 1000 ton de Camanchaca PS  a Grupo Emb_VIII region
R Ex 1528 Cesion de 2750 ton de Camanchaca PS  a Grupo Emb_VIII region
R Ex 1574 Cesion de 230 ton de Camanchaca PS  a Emb Domenica_VIII region
R Ex 1527 Modifica Res. Ex. N° 794 de 1200 a 1100 ton de sardina comun
R Ex 2053 Cesion de 2090 ton de Camanchaca PS  a Grupo Emb_VIII region
R Ex 2139 Cesion de 2740ton de Camanchaca PS  a Artesanal region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544 Cesion de 1929,753 ton de Novamar  a Emb Niña Ximena_VIII region
R Ex 686 Cesion de 2075,329 ton de Novamar  a Emb Paulina M_VIII region
R Ex 2197 Cesion de 164,748 ton de Novamar  a Grupo Emb_VIII region 
R Ex 2206 Cesion de 164,748 ton de Novamar  a Grupo Emb_VIII region
R Ex 2270 Cesion de 329,496 ton de Novamar  a Grupo Emb_VIII region
R Ex 2311 Cesion de 22,4 ton de Novamar  a Grupo Emb_VIII region
R Ex 2397 Cesion de 119,226 ton de Novamar  a Emb Paulina M_VIII region
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543 Cesion de 200,424 ton de Pesq Litoral  a Grupo Emb_VIII region 200,424
R Ex 676 Cesion de 200,424 ton de Pesq Litoral  a Grupo Emb_VIII region 200,424 
R Ex 825 Cesion de 74,664 ton de Pesq Litoral  a Emb Paulina M_VIII region 74,664 
R Ex 971 Cesion de 460,56 ton de Pesq Litoral  a Emb Paulina M_VIII region 460,56  
R Ex 2444 Cesion de 52,026 ton de Pesq Litoral   a Grupo Emb_VIII region 52,026 
R Ex 2445 Cesion de 116,335 ton de Pesq Litoral   a Grupo Emb_VIII region 116,335 
R Ex 2446 Cesion de 52,026 ton de Pesq Litoral   a Grupo Emb_VIII region 52,026 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C-V cede 254,88 ton en favor de INVERSIONES PESQUERAS PEDRO IRIGOYEN LIMITADA (RES N°864 del 11-03-2019)
cesion ind-art cede 915,076 ton en favor de armadore artesanales de la region del biobio (res n° 1048 del 22-03-2019) 
Cesion ind-art cede 237 ton en favor de armadores artesanales de la region del biobio (res n° 1112 del 29-03-2019)
Cesion ind-art cede 34 ton en favor de la embarcacion SANTA RITA III (RES N° 1113 del 29-03-2019)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1594 Cesion de 6585 ton de Soc Landes  a Grupo Emb_VIII region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1638 Cesion de 1726 ton de Lota Protein  a VIII region
R Ex 1460 Cesion de 198 ton de Lota Protein  a Emb Don Sixto_VIII region
R Ex 1460 Cesion de 198 ton de Lota Protein  a Emb Don Sixto Abraham I_VIII region
R Ex 2099 Cesion de -160 ton de Lota Protein  a Artesanal region
R Ex 2122 Cesion de -315 ton de Lota Protein  a Artesanal region 
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844 ton en favor de artesanales de la region del BIOBIO (RES N° 795 del 28-02-2019)
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1462 Cesion de 9146 ton de Orizon  a Grupo Emb_VIII region
R Ex 2140 Cesion de -2200 ton de Orizon  a Artesanal region 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798,147 ton en favor de la embarcacion AGUILA REAL (RES N° 1114 del 29-03-2019) 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1192 Cesion de 798,15 ton de Cristian Silva  a Emb Claudio I-VIII region</t>
        </r>
      </text>
    </comment>
    <comment ref="F38" author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incremento de 133,02455 ton desde Paola Poblete (res n° 1020 del 21-03-2019)
C-V incremento de 133,02455 ton desde Paola Poblete (res n° 1021 del 21-03-2019)
C-V incremento de 133,02455 ton desde Paola Poblete (res n° 1022 del 21-03-2019)</t>
        </r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1111 Cesion de 88,683 ton de Inv Tridente  a Emb Gianfranco_VIII region
R Ex 1352 Cesion de 266,05 ton de Inv Tridente  a Emb Gianluca_VIII region
R Ex 1459 rectifica 1352 Cesion de 0 ton de Inv Tridente  a Emb Gianluca_VIII region
R Ex 2398 Cesion de 108,372 ton de Inv Tridente  a Emb Gianfranco_VIII region
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532,1 ton en favor de la embarcacion MARGOT MARIA V (RES N° 980 del 20-03-2019)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1192 Cesion de 133,025 ton de Susan Monsalve  a Emb Alberto M -XIV region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1191 Cesion de 266,05 ton de Julio Saez  a Emb Ebenezer II-XIV region
R Ex 2199 Cesion de 59,112 ton de Julio Saez  a Grupo Emb_VIII region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677 Cesion de 199,833 ton de Proc Tec Bio Bio  a Grupo Emb_VIII region
R Ex 541 Cesion de 199,242 ton de Proc Tec Bio Bio  a Grupo Emb_VIII region
R Ex 2485 Cesion de 86,709 ton de Proc Tec Bio Bio  a Grupo Emb_VIII region
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1189 Cesion de 1634,723 ton de Pesq Lepe  a Grupo Emb -VIII region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1192 Cesion de 133,025 ton de Fabian Monsalve  a Emb Claudio I-XIV region</t>
        </r>
      </text>
    </comment>
    <comment ref="F46" author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cede 133,02455 ton en favor de INVERSIONES TRIDENTE SpA (RES N° 1020 del 21-03-2019) 
c-v cede 133,02455 ton en favor de INVERSIONES TRIDENTE SpA (RES N° 1021 del 21-03-2019)
c-v cede 133,0259 ton en favor de INVERSIONES TRIDENTE SpA (RES N° 1022 del 21-03-2019)</t>
        </r>
        <r>
          <rPr>
            <sz val="9"/>
            <color indexed="81"/>
            <rFont val="Tahoma"/>
            <family val="2"/>
          </rPr>
          <t xml:space="preserve">  </t>
        </r>
      </text>
    </comment>
    <comment ref="F47" authorId="0">
      <text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--------------------------------------------------------------------------------------------
R Ex 1188 Cesion de 254,8 ton de Inv Pesq Pedro Irigoyen  a Emb Don Luis Alberto-VIII region
R Ex 2105 Cesion de -56,7 ton de Pedro Irigoyen  a Artesanal region 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1527 Modifica Res. Ex. N° 794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1527 Modifica Res. Ex. N° 794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1017 Cesion de 205 de -130  ton
R Ex 2071 Cesion de -63 ton(205) de O 07.05.0193 a Org 5483-8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 15-02-2019 205 Desc -32,16 toneladas
R Ex 58 25-04-2019 205 Desc-15 toneladas
R Ex 73 16-05-2019 205 Desc -25 toneladas
R Ex 80 22-05-2019 205 Desc -40 toneladas
R Ex 85 23-05-2019 205 Desc -31 toneladas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17 Cesion de +6 ton(205)  de Org 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114 Cesion de -47,5 ton(205) de RAE-O 478-7 a Embarcaciones colectivas-VIII
R Ex 116/09-07-2019 RAE-O/3 Descuento -29 Toneladas 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  <r>
          <rPr>
            <sz val="9"/>
            <color indexed="81"/>
            <rFont val="Tahoma"/>
            <family val="2"/>
          </rPr>
          <t xml:space="preserve">cesion art-art cede 183,5 ton en favor de AG DE ARMADORES, PESCADORES ARTESANALES Y ACTIVIDADES AFINES DE LOTA (RES N° 19 del 05-03-2019)
cesion art-art cede 113,5 ton en favor de STI ARMADORES Y PESCADORES ARTESANALES Y RAMOS AFINES CALETA LA GLORIA COMUINA DE TALCAHUANO (RES N° 21 del 08-03-2019)
cesion art-art cede 113,5 ton en favor de  BAHIA CONCEPCION  (RES N° 22 del 08-03-2019)
cesion art-art cede 45 ton en favor de SIPAR GENTE DE MAR (RES N° 23 del 08-03-2019)
cesion art-art cede 45 ton en favor de SOCOROMA II (RES N° 24 del 08-03-2019)
cesion art-art cede 30 ton en favor de  STI SARPE (res n° 25 del 13-03-2019)
------------------------------------------------------------------------------------------
R Ex 95 Cesion de 205 de -30,5  ton
R Ex 96 Cesion de 205 de -22  ton
R Ex 97 Cesion de 205 de -30,5  ton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10 ton en favor de armadores de la region del biobio (res n° 5 del 18-02-2018)
cesion art-art cede 11 ton en favor de armadores artesanales de la region del biobio (res n° 26 del 13-03-2019)
cesion art-art cede 8 ton en favor de armadores artesanales de la region del biobio (res n° 27 del 13-03-2019)
cesion art-art cede 13 ton en favor de armadores artesanales de la region del biobio (res n° 28 del 13-03-2019)
cesion art-art cede 9 ton en favor de armadores artesanales de la region del biobio (res n° 29 del 13-03-2019)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183,5 ton desde ARPESCA AG (RES N° 19 del 05-03-2019)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14,39 ton en favor de la embarcacion YENNY (RES N° 14 del 27-02-2019)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/ 14-02-2019 ABO 205  de 11,94 ton
90 / 27-05-2019 ABO 205 de 28,7 ton
750 / 27-02-2019 ABO 205 de120 ton
2141 / 07-06-2019 ABO 205 de 100 ton
2107 /07-06-2019 ABO de 400 ton(205) de ORG-X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12 / 25-02-2019 DES 205 -18,55 toneladas
R Ex 105 / 06-06-2019 DES 205 -100 toneladas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incremento de 1 ton desde SIARPEMAR (RES N° 10 del 21-02-2019)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1017 Cesion de 205 de 130  toneladas
R Ex 2071 / 06-06-2019 ABO 205 de 63 toneladas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94 Cesion de 205 de -4,4  ton
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cede 13,20 ton en favor de armadores de la region del biobio (res n°4 del 15-02-2019)
------------------------------------------
R Ex 83 Cesion de 205 de -6,38  toneladas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39 27-03-2019 CES 205 de -1 toneladas
R Ex 43 05-04-2019 CES 205 de -0,5 toneladas
R Ex 45 10-04-2019 CES 205 de -0,5 toneladas
R Ex 86 23-05-2019 CES 205 de -0,5 toneladas
R Ex 92 27-05-2019 CES 205 de -0,5 toneladas
R Ex 111 20-06-2019 Cesion de -0,5 ton a Grupo-8
R Ex 118 10-07-2019 Cesion de -0,5 ton a Grupo-8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10 /21-02-2019 RAE-O id 34 DES -1 Toneladas
117 /09-07-2019 RAE-O id  34 DES  -1 Toneladas
119 /10-07-2019 RAE-O id 34 DES  -1 Toneladas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113,5 ton desde ARPESCA (RES N° 21 del 08-03-2019)
R Ex 95 Cesion de 205 de 30,5  ton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107 Cesion de -55 ton(205) de O a ORG ID 66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16,08 ton en favor de MAFMAR (RES N° 16 del 28-02-2019)
cesion art-art incremento de </t>
        </r>
        <r>
          <rPr>
            <b/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Tahoma"/>
            <family val="2"/>
          </rPr>
          <t xml:space="preserve"> ton desde  STI CAMINO CHINQUIHUE (RES N°968 del 19-03-2019)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cesiones art-art, cede 5,54 ton en favor de  DANA GLADYS II (RES N° 11 del 25-02-2019)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71 Cesion de 205 de -2  tonelada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112 Cesion de -5 ton(205) de RAE-43 a RAE-66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 / 14-02-2019 205 Cesion Descuento -11,94 toneladas 
R Ex 2 / 14-02-2019 205 Cesion Descuento -110,85 toneladas
R Ex 79 / 22-05-2019 205 Cesion Descuento -22,9 toneladas
R Ex 90 / 27-05-2019 205 Cesion Descuento -28,7 toneladas
R Ex 91 / 27-05-2019 205 Cesion Descuento -53,7 toneladas
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6 ton en favor de ISLA SANTA MARIA (RES N° 17 del 28-02-2019)
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1321 Cesion de 205 de +61  toneladas
R Ex 70 Cesion de 205 de -27,65  toneladas
R Ex 79 Cesion de 205 de +22,9  toneladas
R Ex 83 Cesion de 205 de -1  toneladas
R Ex 2024 Cesion de 205 de 50  ton
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47 Cesion de 205 de -15  toneladas a GRUPO EMBARCACIONES-8
R Ex 81 Cesion de 205 de -9  toneladas
R Ex 89 Cesion de 205 de -5  toneladas
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98 Cesion de 205 de -1  ton
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2109/ 07-06-2019 ABO 70,000 toneladas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61 Cesion de 205 de -80  toneladas</t>
        </r>
      </text>
    </comment>
    <comment ref="G7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2 ton en favor de SERGIO III (RES N° 20 del 08-03-2019)
-------------------------------------------------------
</t>
        </r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101 /  04-06-2019 RAE-O id 61, ABONO 131 Toneladas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 Cesion de 205 de -22  toneladas a  ODICEO II
R Ex 8 Cesion de 205 de -59  toneladas a DON COQUERA
R Ex 9 Cesion de 205 de -59  toneladas a GR UPO 
R Ex 18 Cesion de 205 de -233  toneladas a SIPAR GENTE DE MAR
R Ex 40 Cesion de 205 de -24  toneladas a  PROVEEDORES MARITIMOS DE QUILLAIPE 
R Ex 1018 Cesion de 205 de -80  toneladas a STI PROEV MARITIMOS DE QUILLAIPE
R Ex 76 Cesion de 205 de -30  toneladas a grupo 5 emb-VIII
R Ex 78 Cesion de 205 de -30  toneladas a grupo 5 emb-VIII
R Ex 87 Cesion de 205 de -40 toneladas a grupo emb-VIII
R Ex 101 Cesion de 205 de -131  ton a Org 68-VIII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107 Cesion de +55 ton(205) de ORG ID 39
R Ex 112 Cesion de +5 ton(205) de RAE-43 
R Ex 1 Cesion de +75 ton(205) de RAE
</t>
        </r>
      </text>
    </comment>
    <comment ref="G8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233 ton desde SIPARMAR CORONEL (RES N° 18 del 05-03-2019)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23 Cesion de +45  toneladas desde ARPESCA
R Ex 101 Cesion de 205 de +131  ton a Org 68-VIII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35 / 25-03-2019 205 Cesion Descuento -2 toneladas a GRUPO -VIII
R Ex 42 / 04-04-2019 205 Cesion Descuento -0,98 toneladas 
R Ex 46 / 10-04-2019 205 Cesion Descuento -1,1 toneladas 
R Ex 82 / 22-05-2019 205 Cesion Descuento -1,9 toneladas 
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66 Cesion de -43 toneladas a GRUPO 5 EMB -VIII
R Ex 68 Cesion de 205 de -40  toneladas
R EX 99 /28-05-2019 RAE-O id 71, DES -10,7 Toneladas
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22 Cesion de 205 de 113,5  toneladas
R Ex 96 Cesion de 205 de 22  ton
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25 Cesion de 205 de 30  toneladas
R Ex 1397 Cesion de 205 de 50  toneladas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10 ton en favor de armadores de la refgion del biobio (res n° 6 del 18-02-2019)
Cesion art-art cede 10 ton en favor de armadores de la region del biobio (res n° 30 del 13-03-2019)
Cesion art-art cede 10 ton en favor de armadores de la region del biobio (res n° 31  del 13-03-2019)
Cesion art-art cede 6 ton en favor de armadores de la region del biobio (res n° 32  del 13-03-2019)
Cesion art-art cede 10 ton en favor de armadores de la region del biobio (res n° 33  del 13-03-2019)
Cesion art-art cede 5 ton en favor de armadores de la region del biobio (res n° 34  del 13-03-2019)</t>
        </r>
      </text>
    </comment>
    <comment ref="G9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16 / 28-02-2019 205 Cesion Abono 16,08 toneladas
R Ex 796 / 28-02-2019 205 Cesion Abono 1  toneladas
R Ex 44 / 10-04-2019 205 Cesion Descuento -113,85 toneladas
R Ex 56 / 24-04-2019 205 Cesion Descuento -22,8 toneladas
R Ex 93 / 27-05-2019 205 Cesion Descuento -110,8 toneladas
</t>
        </r>
      </text>
    </comment>
    <comment ref="G10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2024 Cesion de 205 de -50  ton
R Ex 2025 Cesion de 205 de -50  ton
R Ex 2026 Cesion de 205 de -50  ton
R Ex 2027 Cesion de 205 de -25  ton
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1365 Cesion de 205 de -22  toneladas
R Ex 1396 Cesion de 205 de -134,23  toneladas
R Ex 2125 Cesion de -71 ton (205) de ORG 14.01.0514 a Emb-14
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2109 Cesion de -70 ton(205) de Org a Emb-VIII
R Ex 2141 Cesion de -100 ton(205) de Org a Emb-VIII
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1883 Cesion de 205 de -100 a Emb-VIII ton
R Ex 2107 Cesion de -400 ton(205) de O a Org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2079 Cesion de -660 ton(205) de Org 156-10 a Grupo emb-8
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750 Cesion de -120 ton(205) dde Org 326-10 a Grupo emb-8
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1397 Cesion de -50 ton(205) de Org 4266 a Org-8
R Ex 2100 Cesion de -100 ton(205) de Org 4266 a emb-8 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793 / 28-02-2019 Cesion de -1 ton(205) de O 270-10 a Emb 955660 MARIA BRISTELA-8
R Ex 796 / 28-02-2019  Cesion de -1 ton(205) de O 270-10 a Org 08.05.0645-8
R Ex 2108 / 07-06-2019 Cesion de -1 ton(205) de O 270-10 
R Ex 2256 Cesion de -10 ton(205) de RAE-O 270-10 a EMB COLECTIVAS-8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</t>
        </r>
        <r>
          <rPr>
            <b/>
            <sz val="9"/>
            <color indexed="81"/>
            <rFont val="Tahoma"/>
            <family val="2"/>
          </rPr>
          <t>-50</t>
        </r>
        <r>
          <rPr>
            <sz val="9"/>
            <color indexed="81"/>
            <rFont val="Tahoma"/>
            <family val="2"/>
          </rPr>
          <t xml:space="preserve"> ton en favor de la embarcacion ANGELA VALENTINA (RES N° 447 del  7-02-2019)
cesion art-art cede </t>
        </r>
        <r>
          <rPr>
            <b/>
            <sz val="9"/>
            <color indexed="81"/>
            <rFont val="Tahoma"/>
            <family val="2"/>
          </rPr>
          <t xml:space="preserve">20 </t>
        </r>
        <r>
          <rPr>
            <sz val="9"/>
            <color indexed="81"/>
            <rFont val="Tahoma"/>
            <family val="2"/>
          </rPr>
          <t>ton en favor de SITRAINPAR (RES N°968 del 19-03-2019)
-----------------------------------------------------------------------------
R Ex 2052 Cesion de -87 ton a Emb DOMENICA-VIII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1321 Cesion de 205 de -61  toneladas
R Ex 1411 Cesion de 205 de -25 toneladas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1018 Cesion de 205 de 80  toneladas DE  SIPARMAR CORONEL a STI PROV MARITIMOS DE QUILLAIPE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1017 Cesion de -340 ton (276)
R Ex 2071 Cesion de -76 ton(276) de Org 07.05.0193 a Org-5483-8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R Ex 3 Cesion de  -149,13  toneladas
R Ex 13 Cesion de  -30  toneladas
R Ex 73 Cesion de -5 ton de ORG a EMB
R Ex 80 Cesion de -2,2  toneladas
R Ex 84 Cesion de  -4,0 toneladas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194 ton desde SIPARBUMAR CORONEL (res n°17 del 28-02-2019)
116 / 09-07-2019 RAE-O 3 DES -76 Toneladas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114 Cesion de -47,5 ton(276) de RAE-O 478-7 a Embarcaciones colectivas-VIII
116 / 09-07-2019 RAE-O 3 DES -76 Toneladas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61 Cesion de 276 de +320  toneladas 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 xml:space="preserve">R Ex 19 05-03-2019 276 Cede -622,5 toneladas
R Ex 21 08-03-2019 276 Cede -386 toneladas
R Ex 22 08-03-2019 276 Cede -386 toneladas
R Ex 23 08-03-2019 276 Cede -155 toneladas
R Ex 24 08-03-2019 276 Cede -155 toneladas
R Ex 25 13-03-2019 276 Cede -120 toneladas
R Ex 88 23-05-2019 276 Cede 5 -170 toneladas
R Ex 95 29-05-2019 276 Cede -170 toneladas
R Ex 96 29-05-2019 276 Cede -90 toneladas
R Ex 97 29-05-2019 276 Cede -107 toneladas
R Ex 97 29-05-2019 276 Cede -107 toneladas
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57 Cesion desc de -80  toneladas a Grupo Emb-VIII
R Ex 65 Cesion desc de -130,8  toneladas a Grupo Emb-VIII
R Ex 67 Cesion desc de -137  toneladas a Grupo Emb-VIII
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90 ton en favor de armadores de la region del biobio (res n° 5 del 18-02-2018)
cesion art-art cede 21 ton en favor de armadores artesanales de la region del biobio (res n° 26 del 13-03-2019)
cesion art-art cede 18 ton en favor de armadores artesanales de la region del biobio (res n° 27 del 13-03-2019)
cesion art-art cede 25 ton en favor de armadores artesanales de la region del biobio (res n° 28 del 13-03-2019)
cesion art-art cede 16 ton en favor de armadores artesanales de la region del biobio (res n° 29 del 13-03-2019)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3, 4,6 y 34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</t>
        </r>
        <r>
          <rPr>
            <b/>
            <sz val="9"/>
            <color indexed="81"/>
            <rFont val="Tahoma"/>
            <family val="2"/>
          </rPr>
          <t>622,5</t>
        </r>
        <r>
          <rPr>
            <sz val="9"/>
            <color indexed="81"/>
            <rFont val="Tahoma"/>
            <family val="2"/>
          </rPr>
          <t xml:space="preserve"> ton desde ARPESCA AG (RES N° 19 del 05-03-2019)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88 Cesion de 276 de +170  ton
R Ex 110 /20-06-2019 Cesion de 299 ton(276) de O 577-8 (55)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14,39 ton en favor de la embarcacion YENNY (RES N° 14 del 27-02-2019)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 / 14-02-2019 ABO  40,520 toneladas
749 / 27-02-2019 ABO  2000,000 toneladas
750 / 27-02-2019 ABO  780,000 toneladas
845 / 06-03-2019 ABO  180,000 toneladas
90 /  27-05-2019 ABO 44,800 toneladas
2107 / 07-06-2019 ABO 400,000 toneladas
2141 / 07-06-2019 ABO 100,000 toneladas
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12 25-02-2018 Cede -72,94  toneladas
R Ex 63 08-05-2019 Cede -60 toneladas
R Ex 105 06-06-2019 Cede -110 toneladas
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incremento de 299  ton desde SIARPEMAR (RES N° 10 del 21-02-2019)
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300 ton desde ANCUD-ASOGPESCA AG (res n° 791 del 28-02-2019)
---------------------------------------------
115 /09-07-2019 RAE-O 21 ABO 500 Toneladas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---------------------------------------------
115 /09-07-2019 RAE-O 21 ABO 500 Toneladas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1017 Cesion Abono de +340  toneladas desde la VII 
R Ex 2071 / 06-06-2019 Cesion de Abono  de +76 toneladas desde la VII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94 Cesion de 276 de -12,4  ton
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cede 44,81 ton en favor de armadores de la region del biobio (res n°4 del 15-02-2019)
R Ex 83 Cesion de 276 de -9,96 toneladas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41 Cesion de 276 de 50  toneladas de SIARPEMAR-VIII
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39 27-03-2019 Cesion Descuento -49 toneladas
R Ex 43 05-04-2019 Cesion Descuento  -49 toneladas
R Ex 45 10-04-2019 Cesion Descuento  -20 toneladas
R Ex 86 23-05-2019 Cesion Descuento  -69 toneladas
R Ex 92 27-05-2019 Cesion Descuento  -100 toneladas
R Ex 111 20-06-2017 Cesion Descuento -25 ton a Grupo-8
118 /09-07-2019 RAE-O id 32 Descuento -20 Toneladas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---------------------------------------------
115 /09-07-2019 Decuento - 500 Toneladas a RAE-O 21 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cede 299 ton en favor de AG DE PESCADORES ARTESANALES DE SAN VICENTE (RES N° 10 del 21-02-2019)
------------------------------------------------------------
117 /09-07-2019 RAE-O DES id 34 -89 Toneladas
119 /10-07-2019 RAE-O DES id 34 -89 Toneladas
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386 ton desde ARPESCA (RES N° 21 del 08-03-2019)
-------------------------------------------
R Ex 95 Cesion de 276 de 170  ton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107 Cesion de -75 ton(276) de O a ORG ID 66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54,56 ton en favor de MAFMAR (RES N° 16 del 28-02-2019)
cesion art-art incremento de 100 ton desde  STI CAMINO CHINQUIHUE (RES N°968 del 19-03-2019)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Autor:
R Ex 112 Cesion de -53 ton de RAE-43 a RAE-66</t>
        </r>
      </text>
    </comment>
    <comment ref="G6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cesiones art-art, cede 18,46 ton en favor de  DANA GLADYS II (RES N° 11 del 25-02-2019)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71 Cesion de -228 toneladas
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60 /02-05-2019 RAE-O id 48 DES -226 Toneladas (corregido)
112/ 21-06-2019 RAE-O id 48 DES -53 Toneladas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104 06-06-2019 276 17 -90toneladas</t>
        </r>
      </text>
    </comment>
    <comment ref="G6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 / 14-02-2019 276 Cesion Descuento -40,52 toneladas
R Ex 2 / 14-02-2019 276 Cesion Descuento -376,14 toneladas
R Ex 79 / 22-05-2019 276 Cesion Descuento -35,8 toneladas
R Ex 90 / 27-05-2019 276 Cesion Descuento -44,8 toneladas
R Ex 91 / 27-05-2019 276 Cesion Descuento -51,3 toneladas
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rgarcia.</t>
        </r>
        <r>
          <rPr>
            <sz val="9"/>
            <color indexed="81"/>
            <rFont val="Tahoma"/>
            <family val="2"/>
          </rPr>
          <t xml:space="preserve">
R Ex 1321 Cesion de 276 de +1233  toneladas
R Ex 17 Cesion de 276 de -194  toneladas
R Ex 70 Cesion de 276 de -77,3  toneladas
R Ex 79 Cesion de 276 de +35,8  toneladas 
R Ex 83 Cesion de 276 de -24 toneladas
R Ex 2024 Cesion de 276 de 150  ton
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47 Cesion de 276 de -15  toneladas a GRUPO EMB-8
R Ex 81 Cesion de 276 de -10  toneladas
R Ex 89 Cesion de 276 de -7 toneladas
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98 Cesion de 276 de -2,7  ton
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110 Cesion de -299 ton(276) de O 08.06.0027 a 577-8-(13)
R Ex 113 Cesion de -204 ton(276) de RAE-55 a RAE 66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792 / 28-02-2019 ABO 200,000
2109/ 07-06-2019 ABO 130 toneladas</t>
        </r>
      </text>
    </comment>
    <comment ref="G7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61 Cesion de 276 de -320  toneladas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 Cesion de 276 de -98  toneladas
</t>
        </r>
      </text>
    </comment>
    <comment ref="G7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352 ton en favor de ODICEO II (RES N°7 del 21-02-2019)
Cesion art-art cede 205 ton en favor de DON COQUERA (RES N°8 del 21-02-2019)
Cesion art-art cede 205 ton en favor de  embarcaciones de la region del bionio (RES N°9 del 21-02-2019)
Cesion art-art cede 791 ton en favor de SIPAR GENTE DE MAR (RES N° 18 del 05-03-2019)
----------------------------------------------------------------------------------------------------------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 Cesion de 276 de -352  toneladas a  ODICEO II
R Ex 8 Cesion de 276 de -205  toneladas a DON COQUERA 
R Ex 9 Cesion de 276 de -205  toneladas a GRUPO EMBARCACIONES
R Ex 18 Cesion de 276 de -791  toneladas a SIPAR GENTE DE MAR
R Ex 76 Cesion de 276 de -62  toneladas
R Ex 78 Cesion de 276 de -70  toneladas
R Ex 87 Cesion de 276 de -60  ton
R Ex 101 Cesion de 276 de -222  ton a Org 68-VIII</t>
        </r>
      </text>
    </comment>
    <comment ref="G8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112 Cesion de 53 ton de RAE-43 
R Ex 113 Cesion de 204 ton de RAE-55 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791 ton desde SIPARMAR CORONEL (RES N° 18 del 05-03-2019)
cesion ar-art incremento de 155 ton desde ARPESCA (RES N°23 del  08-03-2019)
R Ex 101 Cesion de 205 de +222  ton a Org 68-VIII
</t>
        </r>
      </text>
    </comment>
    <comment ref="G8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35 / 25-03-2019 276 Cesion Descuento -7 toneladas 
R Ex 42 / 04-04-2019 276 Cesion Descuento -3,2 toneladas 
R Ex 46 / 10-04-2019 276 Cesion Descuento -3,8 toneladas 
R Ex 82 / 22-05-2019 276 Cesion Descuento -3,1 toneladas 
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 Cesion de 276 de +30  toneladas de AGRUPACION ARM GOLFO DE ARAUCO-VIII (1)
R Ex 66 Cesion de -10 toneladas de 276 a GRUPO EMB -VIII
R Ex 68 Cesion de 276 de -10,7  toneladas
R Ex 99 / 28-05-2019  DES -14 toneladas 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 incremento de 386 ton desde AEPESCA (RES N° 21 del 08-03-2019)
R Ex 96 Cesion de 276 de 90  ton
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120 ton desde ARPESCA AG (RES N°25 del 13-03-2019)
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1397 Cesion de 276 de 250  toneladas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 Cesion de 276 de -90  toneladas
R Ex 846 del 06-03-2019, +2335 tpon desde AGARMAR
R Ex 30 Cesion de 276 de -27  toneladas
R Ex 31 Cesion de 276 de -29  toneladas
R Ex 32 Cesion de 276 de -18  toneladas
R Ex 33 Cesion de 276 de -22  toneladas
R Ex 34 Cesion de 276 de -10  toneladas
</t>
        </r>
      </text>
    </comment>
    <comment ref="K9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G91" authorId="0">
      <text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16 / 28-02-2019 276 Cesion Abono 54,56 toneladas
R Ex 796 / 28-02-2019 276 Cesion Abono 299 toneladas
R Ex 44 / 10-04-2019 276 Cesion Descuento -386,35 toneladas
R Ex 56 / 24-04-2019 276 Cesion Descuento Dec -77,37 toneladas
R Ex 93 / 27-05-2019 276 Cesion Descuento -400,3 toneladas
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1513 / 23-04-19_Incremento de 999 toneladas desde Cuota Imprevisto
R Ex 2356 / 28-06-19_Increnento  1221 ton de cuota imprevistos a la IX region  </t>
        </r>
      </text>
    </comment>
    <comment ref="G9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2024 Cesion de 276 de -150  ton
R Ex 2025 Cesion de 276 de -150  ton
R Ex 2026 Cesion de 276 de -250  ton
R Ex 2027 Cesion de 276 de -75  ton
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1365 Cesion de -116 toneladas
R Ex 1396 Cesion de -695,07  toneladas
R Ex 2125 Cesion de -77 ton de Org 14.01.0514 a Emb-14
R Ex 2241 Rectifica R Ex 2125 Cesion de -77 ton(205) a 177 ton
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774 Cesion de -300 ton(276) de Org 320-10 a Grupo Emb-VIII
R Ex 845 Cesion de -180 ton(276) de Org 320-10 a Org ARMAR-X
R Ex 2109 Cesion de -130 ton(276) de Org 320-10 a Grupo Emb-VIII
R Ex 2141 Cesion de -100 ton(276) de Org 320-10 a Org-VIII
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749 Cesion de 276 de -2000  ton A Org-VIII 
R Ex 1883 Cesion de 276 de -300  ton a Emb-VIII 
R Ex 2107 Cesion de -400 ton(276) de Org a Org VIII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R Ex 846 Cesion de -2335 ton(276) de Org 156-10 a Org-VI</t>
        </r>
        <r>
          <rPr>
            <b/>
            <sz val="9"/>
            <color indexed="81"/>
            <rFont val="Tahoma"/>
            <family val="2"/>
          </rPr>
          <t>II</t>
        </r>
        <r>
          <rPr>
            <sz val="9"/>
            <color indexed="81"/>
            <rFont val="Tahoma"/>
            <family val="2"/>
          </rPr>
          <t xml:space="preserve">
R Ex 2079 Cesion de -820 ton(276) de Org 156-10 a Grupo 5 emb-8
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750 Cesion de -120 ton(205) dde Org 326-10 a Grupo emb-8
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791 Cesion de -300 ton(276) de Org 4266 a Org 450-8 AG PESCA MAR
R Ex 792 Cesion de -200 ton(276) de Org 4266 a Org 08.07.0510 EPES LOTA
R Ex 1397 Cesion de -250 ton(276) de Org 4266 a ORG 08.05.0398
R Ex 2100 Cesion de -200 ton(276) de Org 4266 a Embarcaciones-8
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793 Cesion de -119 ton(276) de O 270-10 a Emb 955660 MARIA BRISTELA-8
R Ex 796 Cesion de -299 ton(276) de O 270-10 a Org 08.05.0645-8
R Ex 2108 Cesion de -119 ton(276) de O 270-10 a Org 08.05.0424-8
R Ex 2256 Cesion de -90 ton(276) de RAE-O 270-10 a CC EMBARCACIONES-8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300 ton en favor de la embarcacion ANGELA VALENTINA (RES N° 447 del  7-02-2019)
cesion art-art cede 100 ton en favor de SITRAINPAR (RES N°968 del 19-03-2019)
-------------------------------------------------------------------------------------------------------
R Ex 2052 Cesion de -128 ton a Emb DOMENICA-VIII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1321 Cesion de 276 de -1233 toneladas
R Ex 1411 Cesion de 276 de -575 toneladas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330 ton en favor de la embarcacion ODISEO II (RES N° 35 del 21-03-2019)
</t>
        </r>
        <r>
          <rPr>
            <b/>
            <sz val="9"/>
            <color indexed="81"/>
            <rFont val="Tahoma"/>
            <family val="2"/>
          </rPr>
          <t>Rgarcia</t>
        </r>
        <r>
          <rPr>
            <sz val="9"/>
            <color indexed="81"/>
            <rFont val="Tahoma"/>
            <family val="2"/>
          </rPr>
          <t xml:space="preserve">
R Ex 2255 Cesion de -114 ton(276) de RAE-O 10010835 a CI-967484-8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Corresponden a las Toneladas que se pasa respecto al monto de la cuota efectiva de cada especie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Corresponden al monto excedido de una u otra especie respecto al monto  permitido  para la IC (40%)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 xml:space="preserve">rgarcia </t>
        </r>
        <r>
          <rPr>
            <sz val="9"/>
            <color indexed="81"/>
            <rFont val="Tahoma"/>
            <family val="2"/>
          </rPr>
          <t xml:space="preserve">
03-06-2019_R Ex 704_Cierre de Cuota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06-05-2019_Ord 10775_Cierre de Cuota
15-05-2019_R Ex 292_Apertura de cuota 
23-05-2019_R Ex 305_Cierre de Cuota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29-03-2019_Ord 10518_Cierre de Cuota
13-05-2019_R Ex 289_Apertura de cuota 
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 xml:space="preserve">rgarcia </t>
        </r>
        <r>
          <rPr>
            <sz val="9"/>
            <color indexed="81"/>
            <rFont val="Tahoma"/>
            <family val="2"/>
          </rPr>
          <t xml:space="preserve">
14-06-2019_R Ex 386_Cierre de Cuota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26-04-2019_Ord 10767_Cierre de Cuota
13-05-2019_R Ex 290_Apertura de cuota 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M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Corresponde al saldo cinjunto de las dos pesquerías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Corresponden a las Toneladas que se exceden  de una pesquería u otra, respecto a su cuota efectiva 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25-06-2019_Cierre R Ex 1113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rgarcia.</t>
        </r>
        <r>
          <rPr>
            <sz val="9"/>
            <color indexed="81"/>
            <rFont val="Tahoma"/>
            <family val="2"/>
          </rPr>
          <t xml:space="preserve">
12-06-2019_Cierre R Ex 1063</t>
        </r>
      </text>
    </comment>
    <comment ref="O34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O5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12-06-2019_Cierre R Ex 1064</t>
        </r>
      </text>
    </comment>
    <comment ref="O5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25-06-2019_Cierre R Ex 1112</t>
        </r>
      </text>
    </comment>
    <comment ref="O5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25-06-2019_Cierre R Ex 1113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25-03-2019_Cierre Ord 51854
13-05-2019_Apertuta R Ex 916</t>
        </r>
      </text>
    </comment>
    <comment ref="O6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25-03-2019_Cierre Ord 51854
13-05-2019_Apertuta R Ex 916</t>
        </r>
      </text>
    </comment>
    <comment ref="O6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08-05-2019_Cierre R Ex N° 869 
13-05-2019_Apertuta R Ex 916</t>
        </r>
      </text>
    </comment>
    <comment ref="O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08-05-2019_Cierre R Ex N° 870
13-05-2019_Apertuta R Ex 916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rgarcia:
Los excesos se cargaran a las Organizaciones hasta completar la cuota RAE o a las posteriores cesiones adquiridas según corresponda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25-06-2019_R Ex N° 1114 Cierre 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28-06-2019 _ Cierre_R Ex N° 1125</t>
        </r>
      </text>
    </comment>
  </commentList>
</comments>
</file>

<file path=xl/sharedStrings.xml><?xml version="1.0" encoding="utf-8"?>
<sst xmlns="http://schemas.openxmlformats.org/spreadsheetml/2006/main" count="5942" uniqueCount="580">
  <si>
    <t>RESUMEN CONTROL DE CUOTA ANCHOVETA Y SARDINA COMUN AÑO 2019</t>
  </si>
  <si>
    <t xml:space="preserve"> Cuota Anchoveta V-X Regiones Año 2019</t>
  </si>
  <si>
    <t>Fraccionamientos</t>
  </si>
  <si>
    <t>Distribucion</t>
  </si>
  <si>
    <t>Cuota asignada (t)</t>
  </si>
  <si>
    <t>Movimientos</t>
  </si>
  <si>
    <t>Cuota Efectiva</t>
  </si>
  <si>
    <t>Captura</t>
  </si>
  <si>
    <t>Saldo</t>
  </si>
  <si>
    <t>% Consumido</t>
  </si>
  <si>
    <t>CUOTA GLOBAL</t>
  </si>
  <si>
    <t>Reserva Investigacion</t>
  </si>
  <si>
    <t>Cuota Imprevistos</t>
  </si>
  <si>
    <t>Cuota Consumo Humano</t>
  </si>
  <si>
    <t>FRACCION INDUSTRIAL</t>
  </si>
  <si>
    <t>FRACCION ARTESANAL</t>
  </si>
  <si>
    <t>Fauna Acompañante Artesanal</t>
  </si>
  <si>
    <t>V-X</t>
  </si>
  <si>
    <t>Objetivo Artesanal</t>
  </si>
  <si>
    <t>V</t>
  </si>
  <si>
    <t>VI</t>
  </si>
  <si>
    <t>VII</t>
  </si>
  <si>
    <t>VIII</t>
  </si>
  <si>
    <t>IX</t>
  </si>
  <si>
    <t>XIV</t>
  </si>
  <si>
    <t>X</t>
  </si>
  <si>
    <t>Total Objetivo Artesanal</t>
  </si>
  <si>
    <t xml:space="preserve"> Cuota Sardina Comun V-X Regiones Año 2019</t>
  </si>
  <si>
    <t>Captura+cargo exceso</t>
  </si>
  <si>
    <t>Ene-Dic</t>
  </si>
  <si>
    <t xml:space="preserve"> Cuota Conjunta Anchoveta y Sardina Comun Artesanal V-X Regiones Año 2019</t>
  </si>
  <si>
    <t xml:space="preserve">CONTROL DE CUOTA PELAGICOS LTP POR TITULAR 2019 </t>
  </si>
  <si>
    <t>CUOTA (TONELADAS)</t>
  </si>
  <si>
    <t>OPERACIÓN</t>
  </si>
  <si>
    <t xml:space="preserve">Unidad de pesquería </t>
  </si>
  <si>
    <t>Titular de cuota LTP</t>
  </si>
  <si>
    <t>Periodo</t>
  </si>
  <si>
    <t>Cuota Asignada por R. Ex N°</t>
  </si>
  <si>
    <t>Traspaso, Cesión, Arriendo, etc.)</t>
  </si>
  <si>
    <t>Captura (t)</t>
  </si>
  <si>
    <t>Saldo (t)</t>
  </si>
  <si>
    <t>% consumido</t>
  </si>
  <si>
    <t>Anchoveta V-X</t>
  </si>
  <si>
    <t xml:space="preserve">ALIMENTOS MARINOS S.A.         </t>
  </si>
  <si>
    <t>Ene-Dic.</t>
  </si>
  <si>
    <t xml:space="preserve">BLUMAR S.A.                                     </t>
  </si>
  <si>
    <t xml:space="preserve">CAMANCHACA PESCA SUR S.A.  </t>
  </si>
  <si>
    <t xml:space="preserve">CAMANCHACA S.A. CIA. PESQ    </t>
  </si>
  <si>
    <t>NOVAMAR SpA</t>
  </si>
  <si>
    <t>LITORAL SpA PESQ</t>
  </si>
  <si>
    <t>FOODCORP CHILE S.A.</t>
  </si>
  <si>
    <t>ISLA QUIHUA S.A. PESQ</t>
  </si>
  <si>
    <t>LANDES S.A. SOC. PESQ.</t>
  </si>
  <si>
    <t>LOTA PROTEIN S.A.</t>
  </si>
  <si>
    <t xml:space="preserve">ORIZON S.A.                                      </t>
  </si>
  <si>
    <t>SAN LAZARO LTDA. COM. Y CONS.</t>
  </si>
  <si>
    <t>INVERSIONES PESQUERA PEDRO IRIGOYEN LIMITADA</t>
  </si>
  <si>
    <t>Sardina Común V-X</t>
  </si>
  <si>
    <t>ISLA QUIHUA S.A. PESQ.</t>
  </si>
  <si>
    <t>LANDES S.A. PESQ</t>
  </si>
  <si>
    <t xml:space="preserve">LOTA PROTEIN </t>
  </si>
  <si>
    <t xml:space="preserve">ORIZON S.A.                                     </t>
  </si>
  <si>
    <t xml:space="preserve">SOCIEDAD PESQUERA MEHUIN REY LIMITADA  </t>
  </si>
  <si>
    <t xml:space="preserve">CRISTIAN SILVA LORCA                  </t>
  </si>
  <si>
    <t>INVERSIONES TRIDENTE SpA</t>
  </si>
  <si>
    <t xml:space="preserve">GONZALO GALDAMEZ SANTIBAÑEZ </t>
  </si>
  <si>
    <t xml:space="preserve">SUSANA MONSALVE SALAS         </t>
  </si>
  <si>
    <t xml:space="preserve">JULIO SAEZ MUÑOZ                          </t>
  </si>
  <si>
    <t>PROCESOS TECNOLOGICOS DEL BIO-BIO S.A.</t>
  </si>
  <si>
    <t>COMERCIAL Y CONSERVERA SAN LAZARO LTDA.</t>
  </si>
  <si>
    <t xml:space="preserve">PESQUERA LEPE LIMITADA </t>
  </si>
  <si>
    <t>FABIAN MONSALVE SALAS</t>
  </si>
  <si>
    <t>PAOLA POBLETE</t>
  </si>
  <si>
    <t>INVERSIONES PESQUERAS PEDRO IRIGOYEN LIMITADA</t>
  </si>
  <si>
    <t>Tp art_Cesion</t>
  </si>
  <si>
    <t>Res Ex</t>
  </si>
  <si>
    <t>Fecha</t>
  </si>
  <si>
    <t>Descuento (-)</t>
  </si>
  <si>
    <t>Abono (+)</t>
  </si>
  <si>
    <t>Especie</t>
  </si>
  <si>
    <t>Cantidad</t>
  </si>
  <si>
    <t>Descripcion</t>
  </si>
  <si>
    <t>55T</t>
  </si>
  <si>
    <t>Proc Tec Bio Bio</t>
  </si>
  <si>
    <t>Grupo Emb_VIII</t>
  </si>
  <si>
    <t>Sardina comun</t>
  </si>
  <si>
    <t>Pesq Litoral</t>
  </si>
  <si>
    <t>Anchoveta</t>
  </si>
  <si>
    <t>Novamar</t>
  </si>
  <si>
    <t>Emb Niña Ximena_VIII</t>
  </si>
  <si>
    <t>Emb Paulina M_VIII</t>
  </si>
  <si>
    <t>Camanchaca PS</t>
  </si>
  <si>
    <t>Orizon</t>
  </si>
  <si>
    <t>Alimar</t>
  </si>
  <si>
    <t>Grupo Emb_VIII y Emb XIV</t>
  </si>
  <si>
    <t>Gonzalo galdamez</t>
  </si>
  <si>
    <t>Emb Margot Maria IV_XIV</t>
  </si>
  <si>
    <t>Foodcorp</t>
  </si>
  <si>
    <t>Emb Mar de Liguria_VIII</t>
  </si>
  <si>
    <t>Blumar</t>
  </si>
  <si>
    <t>Grupo Emb_XIV</t>
  </si>
  <si>
    <t>Emb Florencia_VIII</t>
  </si>
  <si>
    <t>Inv Tridente</t>
  </si>
  <si>
    <t>Emb Gianfranco_VIII</t>
  </si>
  <si>
    <t>Emb Santa Rita III_VIII</t>
  </si>
  <si>
    <t>Soc Mehuin Rey</t>
  </si>
  <si>
    <t>Emb Aguila Real_XIV</t>
  </si>
  <si>
    <t>Inv Pesq Pedro Irigoyen</t>
  </si>
  <si>
    <t>Emb Don Luis Alberto-VIII</t>
  </si>
  <si>
    <t>Pesq Lepe</t>
  </si>
  <si>
    <t>Grupo Emb -VIII</t>
  </si>
  <si>
    <t>Julio Saez</t>
  </si>
  <si>
    <t>Emb Ebenezer II-XIV</t>
  </si>
  <si>
    <t>Cristian Silva</t>
  </si>
  <si>
    <t>Emb Claudio I-XIV</t>
  </si>
  <si>
    <t>Fabian Monsalve</t>
  </si>
  <si>
    <t>Susan Monsalve</t>
  </si>
  <si>
    <t>Emb Alberto M-XIV</t>
  </si>
  <si>
    <t>Emb Lago Ranco-VIII</t>
  </si>
  <si>
    <t>Emb Lago Ranco_VIII</t>
  </si>
  <si>
    <t>Emb Nahum VIII</t>
  </si>
  <si>
    <t>Emb Nahum-VII</t>
  </si>
  <si>
    <t>Emb Adriana V_VIII</t>
  </si>
  <si>
    <t>Emb Gianluca_VIII</t>
  </si>
  <si>
    <t>1459 rectifica 1352</t>
  </si>
  <si>
    <t>Lota protein</t>
  </si>
  <si>
    <t>Emb Don Sixto_VIII</t>
  </si>
  <si>
    <t>Emb Don Sixto Abraham I_VIII</t>
  </si>
  <si>
    <t>Emb Domenica_VIII</t>
  </si>
  <si>
    <t>Soc Landes</t>
  </si>
  <si>
    <t>Lota Protein</t>
  </si>
  <si>
    <t>Grupo Emb VIII</t>
  </si>
  <si>
    <t>CONTROL DE CUOTA ANCHOVETA AÑO 2019</t>
  </si>
  <si>
    <t>RESUMEN ANUAL</t>
  </si>
  <si>
    <t>Región</t>
  </si>
  <si>
    <t xml:space="preserve"> Asignatarios </t>
  </si>
  <si>
    <t>Cesiones Org</t>
  </si>
  <si>
    <t>Cargos por Excesos Cesiones (Indv-Grupal)</t>
  </si>
  <si>
    <t>% Consumo</t>
  </si>
  <si>
    <t>Cierre</t>
  </si>
  <si>
    <t xml:space="preserve">V Región de Valparaíso </t>
  </si>
  <si>
    <t>AG DEL PUERTO DE SAN ANTONIO. RAG 2510</t>
  </si>
  <si>
    <t>-</t>
  </si>
  <si>
    <t>ASOCIACION GREMIAL AGRAPES DE SAN ANTONIO "AG AGRAPESCA" RAG 4399</t>
  </si>
  <si>
    <t>STI MUELLE SUD AMERICANA. RSU 05.01.0462</t>
  </si>
  <si>
    <t>BOLSON RESIDUAL</t>
  </si>
  <si>
    <t>VI Región O´Higgins</t>
  </si>
  <si>
    <t>Cuota Regional</t>
  </si>
  <si>
    <t>VII Región del Maule</t>
  </si>
  <si>
    <t>Sindicato de Pescadores "Pelágicos del Maule" Constitución, Registro Sindical Único 07.05.0150</t>
  </si>
  <si>
    <t>STI Pescadores Artesanales de Constitución SIPARCON, RSU 07.05.0193</t>
  </si>
  <si>
    <t>Cuota Residual</t>
  </si>
  <si>
    <t xml:space="preserve">VIII Región del Bio Bio </t>
  </si>
  <si>
    <t>Agrupación de Armadores Golfo de Arauco, Personalidad Jurídica N° 621</t>
  </si>
  <si>
    <t>02-Agrupación de Armadores y Pescadores Artesanales Pelágicos Puerto Sur Isla Santa María. Personalidad Jurídica N° 1728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</si>
  <si>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</si>
  <si>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RAG N° 468-8</t>
  </si>
  <si>
    <t>Asociación de Armadores, Pescadores Artesanales y Actividades Afines de la Octava Región, Asociación Gremial ARPESCA A.G., RAG 429-8</t>
  </si>
  <si>
    <t>Asociación Gremial Armadores Artesanales Pelágico Coronel-Lota del Bío Bío, ARPES BIO BIO A.G., RAG 445-8</t>
  </si>
  <si>
    <t>Asociación Gremial de Armadores Artesanales "ARMAR A.G.". RAG 384-8</t>
  </si>
  <si>
    <t xml:space="preserve">Asociación Gremial de Armadores Artesanales VALLEMAR LOTA, RAG 548-8 </t>
  </si>
  <si>
    <t>09-Asociación Gremial de Armadores Artesanales y Productores Pelágicos de la Caleta el Morro de Talcahuano - AGEMAPAR, RAG 376-8</t>
  </si>
  <si>
    <t>10-Asociación Gremial de Armadores Embarcaciones Menores "AG MENOR COLIUMO". RAG 507-8</t>
  </si>
  <si>
    <t>Asociación Gremial de Armadores y Pescadores Artesanales miramar biobío MIRAMAR BIOBIO AG. RAG 633-8</t>
  </si>
  <si>
    <t>Asociacion Gremial, Pescadores Artesanales y Actividades afines ARMAPESCA AG. RAG 635-8</t>
  </si>
  <si>
    <t>Asociación Gremial de Armadores, Pescadores Artesanales y Actividades Afines de Lota, Octava región, RAG 577-8</t>
  </si>
  <si>
    <t>AG de Pequeños Armadores, Pescadores Artesanales, Buzos mariscadores, Recolectores de orilla y ramos a fines "AG ESCAFANDRAS CON HISTORIA DE TALCAHUANO" RAG 62-8</t>
  </si>
  <si>
    <t>Asociación Gremial de Pescadores Artesanales de caleta INFIERNILLO, RAG 98-8</t>
  </si>
  <si>
    <t>Asociación Gremial de Pescadores Artesanales de Coronel, Registro de Asociaciones Gremiales 5-8</t>
  </si>
  <si>
    <t>Asociación Gremial de Pescadores Artesanales de Lota - A.G. APESCA Lota, RAG 428-8</t>
  </si>
  <si>
    <t>16-Asociación Gremial de Pescadores Artesanales de San Vicente – Talcahuano, Registro de Asociaciones Gremiales 18-8</t>
  </si>
  <si>
    <t>17-Asociación Gremial de Pescadores Artesanales, Armadores Artesanales Pelágicos y actividades Afines de la Caleta de LOTA VIII Región A.G.-SIERRA AZUL A.G., RAG 576-8</t>
  </si>
  <si>
    <t>Asociación Gremial de Pescadores y Armadores Artesanales Pelágicos de la Región del Bío Bío, "PESCA MAR A.G.", RAG 450-8</t>
  </si>
  <si>
    <t>Asociación Gremial de Pescadores y Armadores Artesanales Pelágicos Región Bío Bío A.G. ALTAMAR, RAG 555-8</t>
  </si>
  <si>
    <t>Asociación Gremial de Productores Pelágicos Artesanales de las Caletas de Talcahuano y San Vicente de la VIII Región GEMAR A.G., Registro de Asociaciones Gremiales 464-8</t>
  </si>
  <si>
    <t>Asociación Gremial Productores Pelágicos, Armadores Artesanales de la Comuna de Coronel, VIII Región, ARPESCA A.G., Registro de Asociaciones Gremiales 447-8</t>
  </si>
  <si>
    <t>Cooperativa de Pescadores Sol de Israel Limitada COOPES LTDA</t>
  </si>
  <si>
    <t>Cooperativa de Pescadores y Armadores Artesanales de Lota "GEVIMAR". Registro de Cooperativa Rol 4465</t>
  </si>
  <si>
    <t>Cooperativa Pesquera Artesanal de Coronel Limitada ROL 5472</t>
  </si>
  <si>
    <t>Sindicato de  Pescadores Artesanales, Armadores Pelágicos y Actividades Conexas de la Caleta Vegas de Coliumo. RSU 08.06.0113</t>
  </si>
  <si>
    <t>Sindicato de Armadores y Pescadores Mares Profundo RSU 08.04.0179</t>
  </si>
  <si>
    <t>Sindicato de Pescadores Artesanales y Armadores Artesanales de la Octava Región "SPAADA SD". RSU 08.05.0339</t>
  </si>
  <si>
    <t>25-Sindicato de Pescadores y Armadores Artesanales del Mar "SIPARMAR - Talcahuano". Registro Sindical Único 08.05.0399</t>
  </si>
  <si>
    <t>Sindicato de Trabajadores Independientes "Brisas del Mar". Registro Sindical Único 08.04.0115</t>
  </si>
  <si>
    <t>STI Armadores  y Pescadores Artesanales, Buzos Mariscadores, Algueros acuicultores y Actividades conexas de la Región del Bio Bio (BIO BIO PESCA), Registro Sindical Único 08.05.0555</t>
  </si>
  <si>
    <t>STI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</si>
  <si>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</si>
  <si>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>STI Armadores y Pescadores Artesanales y Ramos Afines 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</si>
  <si>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</si>
  <si>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STI Armadores, Pescadores y Ramos Afines de la Pesca Artesanal de la Región del 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</si>
  <si>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</si>
  <si>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Península de Hualpen. Registro Sindical Único 08.05.0502</t>
  </si>
  <si>
    <t>STI de la Pesca Artesanal, Armadores Artesanales Pelágicos Actividades Afines y Actividades Conexas de la Comuna de Talcahuano, "MAR AZUL".  Registro Sindical Único 08.05.0434</t>
  </si>
  <si>
    <t>STI de la Pesca Artesanal, Armadores Artesanales Pelágicos, Pescadores Artesanales propiamente tales y actividades Conexas de Caleta San Vicente "Sindicato Tsunami", RSU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</si>
  <si>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</si>
  <si>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</si>
  <si>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</si>
  <si>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STI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</si>
  <si>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</si>
  <si>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</si>
  <si>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</si>
  <si>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</si>
  <si>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>Sindicato de Trabajadores Independientes Pescadores Artesanales, Armadores y Actividades Conexas de la Caleta Coliumo, Registro Sindical Único 08.06.0150</t>
  </si>
  <si>
    <t>STI Pescadores Artesanales, Armadores, Patrones y Tripulantes de Pesca Artesanal y Actividades Conexas de la Caleta Cocholgüe de la Comuna de Tomé VIII Región, RSU 08.06.0106</t>
  </si>
  <si>
    <t>STI Pescadores Artesanales, Buzos Mariscadores, Armadores Artesanales y Actividades Conexas de Coronel y del Golfo de Arauco VIII Región "SIPARBUMAR CORONEL". RSU 08.07.0183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</si>
  <si>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</si>
  <si>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Cocholgüe, Registro Sindical Único 08.06.0023</t>
  </si>
  <si>
    <t>Sindicato de Trabajadores Independientes Pescadores de la Caleta Coliumo, Registro Sindical Único 08.06.0027</t>
  </si>
  <si>
    <t>Sindicato de Trabajadores Independientes Pescadores y  Armadores y   ramos a fines de la pesca artesanal EPES LOTA  RSU 08.07.0510</t>
  </si>
  <si>
    <t>Sindicato de trabajadores independientes y armadores y ramos a fines de la pesca artesanal LOTA PESCA RSU 08.07.0495</t>
  </si>
  <si>
    <t>Sindicato de trabajadores independientes, armadores y buzos mariscadores y actividades conexas de Talcahuano SIPARBUN RSU 08.08.0424</t>
  </si>
  <si>
    <t>STI Pescadores , Armadores y ramas a fines de la Pesca Artesanal "JUANOVOAARCE-LOTA" RSU 08.07.0485</t>
  </si>
  <si>
    <t>STI Pescadores, Armadores Artesanales, Buzos, Acuicultores y Ramos Afines de la Pesca Artesanal, Comuna de Talcahuano "SIPEARTAL". Registro Sindical Único 08.05.0487.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</si>
  <si>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</si>
  <si>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</si>
  <si>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</si>
  <si>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STI Pescadores y Armadores artesanales de embarcaciones menores de la Caleta de Tumbes "SIPEAREM" Comuna Talcahuano, Registro Sindical Único 08.05.0569</t>
  </si>
  <si>
    <t>STI, Ayudantes de Buzos, Pescadores Artesanales y Algueras y Actividades Conexas de las Caletas Tomé y Quichiuto, Registro Sindical Único 08.06.0043</t>
  </si>
  <si>
    <t>STI,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</si>
  <si>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Sta. Maria Comuna de Talcahuano, " SIPASMA". Registro Sindical Único 08.05.0602</t>
  </si>
  <si>
    <t>STI, Pescadores Artesanales, Armadores Artesanales y Actividades Conexas de la Caleta de Lota VIII Región "SIPAR GENTE DE MAR". Registros Sindical Único 08.07.0326</t>
  </si>
  <si>
    <t>STI, Pescadores Artesanales, Armadores Artesanales, "Rio Maipo" de la Caleta de San Vicente de la Comuna de Talcahuano; Registro Sindical Único 08.05.0488.</t>
  </si>
  <si>
    <t>STI, Pescadores Artesanales, Armadores Artesanales, Buzos Mariscadores y Recolectores de Orilla Isla Santa Maria Puerto Sur, Registro Sindical Único 08.07.0364.</t>
  </si>
  <si>
    <t>STI, Tripulantes y Armadores de Botes, Pescadores Artesanales, Algueros, Mariscadores y Actividades conexas de la caleta Tumbes de la comuna de Talcahuano. RSU 08.05.0495</t>
  </si>
  <si>
    <t>Sindicato Independiente de Armadores Pescadores Artesanales Tripulantes y Ramas Similares "Bahía Concepción RSI 08.05.0648</t>
  </si>
  <si>
    <t>Sindicato Independiente de Armadores y Pescadores Artesanales Afines "SARPE". Registro Sindical Único 08.05.0398</t>
  </si>
  <si>
    <t>Sindicato Independiente de Pequeños Armadores Artesanales de Cerco y otras actividades Afines de Coronel y Lota, Registro Sindical Único 08.07.0373</t>
  </si>
  <si>
    <t>STI Armadores y Pescadores artesanales, Acuicultores, Algueros (as) y Ramos afines "MAFMAR", RSU 08.05.0645</t>
  </si>
  <si>
    <t xml:space="preserve">IX Región de la Araucanía </t>
  </si>
  <si>
    <t xml:space="preserve">XIV Región de Los Ríos </t>
  </si>
  <si>
    <t>AG APEVAL. RAG 29-14</t>
  </si>
  <si>
    <t>AG ACERVAL. RAG 207-10</t>
  </si>
  <si>
    <t>AG ACERMAR. RAG 4205</t>
  </si>
  <si>
    <t>AG ACER. RAG 3793</t>
  </si>
  <si>
    <t>AG SIPACERVAL RAG 44-14</t>
  </si>
  <si>
    <t>AG ARMAPES. RAG 264-10</t>
  </si>
  <si>
    <t>AG APACER. RAG 46-14</t>
  </si>
  <si>
    <t>STI DE AMARGO. RSU 14.01.0105</t>
  </si>
  <si>
    <t>STI DEL BALNEARIO DE NIEBLA. RSU 14.01.0127</t>
  </si>
  <si>
    <t>STI ARPAVAL. RSU 14.01.0514</t>
  </si>
  <si>
    <t>CUOTA RESIDUAL</t>
  </si>
  <si>
    <t xml:space="preserve">X Región de Los Lagos </t>
  </si>
  <si>
    <t>ARMAR AG. RAG 320-10</t>
  </si>
  <si>
    <t>ASOGFER AG. RAG 310-10</t>
  </si>
  <si>
    <t>AGAMAR.  RAG 156-10</t>
  </si>
  <si>
    <t>PESCA AUSTRAL A.G. RAG 326-10</t>
  </si>
  <si>
    <t>ASOGPESCA ANCUD. AG 4266</t>
  </si>
  <si>
    <t>AQUEPESCA. AG 270-10</t>
  </si>
  <si>
    <t>STI CAMINO CHINQUIHUE. RSU 10.01.0942</t>
  </si>
  <si>
    <t xml:space="preserve">STI PECERCAL RSU 10.01.0948 </t>
  </si>
  <si>
    <t>STI PROVEEDORES MARITIMOS DE QUILLAIPE. RSU 10.01.0835</t>
  </si>
  <si>
    <t>RESIDUAL BOLSON</t>
  </si>
  <si>
    <t>STI ESTRELLA SUR DE CALBUCO. RSU 10.01.0571</t>
  </si>
  <si>
    <t>CONTROL DE CUOTA SARDINA COMÚN AÑO 2019</t>
  </si>
  <si>
    <t>Cierres</t>
  </si>
  <si>
    <t>V Región de Valparaíso</t>
  </si>
  <si>
    <t xml:space="preserve">TOTAL REGION </t>
  </si>
  <si>
    <t>Ene-DIC</t>
  </si>
  <si>
    <t>VIII Región del Bio Bio</t>
  </si>
  <si>
    <t>Agrupación de Armadores y Pescadores Artesanales Pelágicos Puerto Sur Isla Santa María. Personalidad Jurídica N° 1728</t>
  </si>
  <si>
    <t>Asociación Gremial de Armadores Artesanales y Productores Pelágicos de la Caleta el Morro de Talcahuano - AGEMAPAR, RAG 376-8</t>
  </si>
  <si>
    <t>Asociación Gremial de Armadores Embarcaciones Menores "AG MENOR COLIUMO". RAG 507-8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</si>
  <si>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</si>
  <si>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RAG 576-8</t>
  </si>
  <si>
    <t>Cuota Regional IX</t>
  </si>
  <si>
    <t>XIV Región de Los Ríos</t>
  </si>
  <si>
    <t>STI DEL BALNEARIO DE NIEBLA. RSU14.01.0127</t>
  </si>
  <si>
    <t>X Región de los Lagos</t>
  </si>
  <si>
    <t>PESCA AUSTRAL. RAG 326-10</t>
  </si>
  <si>
    <t xml:space="preserve">Organización </t>
  </si>
  <si>
    <t xml:space="preserve">Cuota Efectiva </t>
  </si>
  <si>
    <t>IC 40% periodo</t>
  </si>
  <si>
    <t>Captura Anchoveta</t>
  </si>
  <si>
    <t>Captura Sardina</t>
  </si>
  <si>
    <t xml:space="preserve">Captura mixta </t>
  </si>
  <si>
    <t>Cargos por Excesos mixtos</t>
  </si>
  <si>
    <t>Saldo Anchoveta</t>
  </si>
  <si>
    <t>Saldo Sardina</t>
  </si>
  <si>
    <t>Saldo Mixto</t>
  </si>
  <si>
    <t>Imputacion mixta</t>
  </si>
  <si>
    <t>Cierres Conjuntos</t>
  </si>
  <si>
    <t>% consumo mixto</t>
  </si>
  <si>
    <t>% IC</t>
  </si>
  <si>
    <t>V Región Valparaíso</t>
  </si>
  <si>
    <t>AG AGRAPESCA A.G RAG 4399</t>
  </si>
  <si>
    <t>Cuota Efectiva mixta</t>
  </si>
  <si>
    <t>Captura anchoveta</t>
  </si>
  <si>
    <t>% consumo</t>
  </si>
  <si>
    <t>Sindicato de trabajadores independientes, armadores y buzos mariscadores y actividades conexas de Talcahuano SIPARBUM RSU 08.08.0424</t>
  </si>
  <si>
    <t>Sindicato Independiente de Armadores Pescadores Artesanales Tripulantes y Ramas Similares "Bahia Concepcion RSI 08.05.0648</t>
  </si>
  <si>
    <t>Totales</t>
  </si>
  <si>
    <t>CONSUMO CUOTA CONSUMO HUMANO</t>
  </si>
  <si>
    <t>Empresa</t>
  </si>
  <si>
    <t>ESPECIE</t>
  </si>
  <si>
    <t>Toneladas Asignadas</t>
  </si>
  <si>
    <t>Toneladas Desembarcadas</t>
  </si>
  <si>
    <t>Saldo por Especie</t>
  </si>
  <si>
    <t>Consumo%</t>
  </si>
  <si>
    <t>INCOMAR</t>
  </si>
  <si>
    <t>ANCHOVETA</t>
  </si>
  <si>
    <t>SARDINA COMUN</t>
  </si>
  <si>
    <t>LOTA SEAFOOD</t>
  </si>
  <si>
    <t xml:space="preserve">C </t>
  </si>
  <si>
    <t>Artesanal</t>
  </si>
  <si>
    <t>Industrial (CESION LTP)</t>
  </si>
  <si>
    <t>Total general</t>
  </si>
  <si>
    <t>Nm_Nave</t>
  </si>
  <si>
    <t>RPA NAVE</t>
  </si>
  <si>
    <t>Cantidad Asignada</t>
  </si>
  <si>
    <t>Colectiva</t>
  </si>
  <si>
    <t>IGNACIO S</t>
  </si>
  <si>
    <t>JEAN CARLOS</t>
  </si>
  <si>
    <t>GAVIOTA I</t>
  </si>
  <si>
    <t>SILOE</t>
  </si>
  <si>
    <t>SUSANA II</t>
  </si>
  <si>
    <t>DON DEMETRIO III</t>
  </si>
  <si>
    <t>SOTILEZA</t>
  </si>
  <si>
    <t>CATALINA M</t>
  </si>
  <si>
    <t>CLAUDIO</t>
  </si>
  <si>
    <t>DON LUCHO III</t>
  </si>
  <si>
    <t>FLORINA I</t>
  </si>
  <si>
    <t>GIANLUCA</t>
  </si>
  <si>
    <t>MAURICIO IGNACIO</t>
  </si>
  <si>
    <t>NIÑA XIMENA</t>
  </si>
  <si>
    <t>PAOLA I</t>
  </si>
  <si>
    <t>PAOLA II</t>
  </si>
  <si>
    <t>DON CLAUDIO</t>
  </si>
  <si>
    <t>DON ENRI</t>
  </si>
  <si>
    <t>DON LUIS ALBERTO II</t>
  </si>
  <si>
    <t>DOÑA CHITA</t>
  </si>
  <si>
    <t>GIANFRANCO</t>
  </si>
  <si>
    <t>JOHANA I</t>
  </si>
  <si>
    <t xml:space="preserve">PAULINA M </t>
  </si>
  <si>
    <t>DOMENICA</t>
  </si>
  <si>
    <t>JOAQUIN ISAAC</t>
  </si>
  <si>
    <t>RUELI</t>
  </si>
  <si>
    <t>DON KAKO</t>
  </si>
  <si>
    <t>DOÑA LETICIA</t>
  </si>
  <si>
    <t>PEDRO L</t>
  </si>
  <si>
    <t>Invididual</t>
  </si>
  <si>
    <t xml:space="preserve">LASTENIA I </t>
  </si>
  <si>
    <t>NAHUM</t>
  </si>
  <si>
    <t>FENIX I</t>
  </si>
  <si>
    <t>PUNTA VERDE</t>
  </si>
  <si>
    <t>JORGE HERNAN M</t>
  </si>
  <si>
    <t>DON HUGO</t>
  </si>
  <si>
    <t>MASTER I</t>
  </si>
  <si>
    <t>BIO BIO</t>
  </si>
  <si>
    <t>JUAN MARCELO</t>
  </si>
  <si>
    <t>PAULINA M II</t>
  </si>
  <si>
    <t>DON BRUNO</t>
  </si>
  <si>
    <t>MATILDA</t>
  </si>
  <si>
    <t>RIO JORDAN IV</t>
  </si>
  <si>
    <t xml:space="preserve">MATIAS R </t>
  </si>
  <si>
    <t xml:space="preserve">RIO JORDAN X </t>
  </si>
  <si>
    <t>GALEON II</t>
  </si>
  <si>
    <t>ESTRELLA DE DAVID</t>
  </si>
  <si>
    <t>OVNIS</t>
  </si>
  <si>
    <t>JUANITA</t>
  </si>
  <si>
    <t>ANGELINA</t>
  </si>
  <si>
    <t>CHANGO</t>
  </si>
  <si>
    <t>DON MAÑE</t>
  </si>
  <si>
    <t>RIMALFREDAN II</t>
  </si>
  <si>
    <t>DON EMILIO IV</t>
  </si>
  <si>
    <t>DON MATEO</t>
  </si>
  <si>
    <t>JACOB-ISRAEL</t>
  </si>
  <si>
    <t>DON JORGE LUIS M</t>
  </si>
  <si>
    <t>JOSEFA ANTONIA</t>
  </si>
  <si>
    <t>DON ADOLFO II</t>
  </si>
  <si>
    <t>FRANCISCO JAVIER</t>
  </si>
  <si>
    <t>GLORIA I</t>
  </si>
  <si>
    <t>JOSE SEBASTIAN</t>
  </si>
  <si>
    <t>PUNTA MAULE II</t>
  </si>
  <si>
    <t>DON GOYO</t>
  </si>
  <si>
    <t>DOÑA GLADYS II</t>
  </si>
  <si>
    <t>AIDA ROSA</t>
  </si>
  <si>
    <t>REINA DEL MAR II</t>
  </si>
  <si>
    <t>DON COQUERA</t>
  </si>
  <si>
    <t>DELIA ROSA</t>
  </si>
  <si>
    <t>GALILEA I</t>
  </si>
  <si>
    <t>SEBASTIAN II</t>
  </si>
  <si>
    <t>ERNESTO II</t>
  </si>
  <si>
    <t>RICARDO JESUS</t>
  </si>
  <si>
    <t>DON BETO IV</t>
  </si>
  <si>
    <t>DOÑA JOVA 2DA</t>
  </si>
  <si>
    <t>CELINA I</t>
  </si>
  <si>
    <t>SIXTO ABRAHAM</t>
  </si>
  <si>
    <t>EL NIEGO I</t>
  </si>
  <si>
    <t>NELY NICOLE II</t>
  </si>
  <si>
    <t>MAMA EDITH</t>
  </si>
  <si>
    <t>DON FERNANDO I</t>
  </si>
  <si>
    <t>DON RUBEN</t>
  </si>
  <si>
    <t>DOÑA COCA</t>
  </si>
  <si>
    <t>HALCON I</t>
  </si>
  <si>
    <t>DON ERNESTO I</t>
  </si>
  <si>
    <t>DON SIXTO</t>
  </si>
  <si>
    <t>SIXTO ABRAHAM I</t>
  </si>
  <si>
    <t>EDEN I</t>
  </si>
  <si>
    <t>AZARIEL</t>
  </si>
  <si>
    <t>DOÑA MARGARITA C</t>
  </si>
  <si>
    <t>RAUL M</t>
  </si>
  <si>
    <t>CANOPUS III</t>
  </si>
  <si>
    <t>QUIMERA</t>
  </si>
  <si>
    <t>DON LOLO</t>
  </si>
  <si>
    <t>MARVENTO</t>
  </si>
  <si>
    <t>DON DANIEL I</t>
  </si>
  <si>
    <t>CECILIA III</t>
  </si>
  <si>
    <t>SANDRITA I</t>
  </si>
  <si>
    <t>MARBELLA II</t>
  </si>
  <si>
    <t>INTREPIDA II</t>
  </si>
  <si>
    <t>YEYA I</t>
  </si>
  <si>
    <t>FLORENCIA</t>
  </si>
  <si>
    <t>KORMORAN 2DO</t>
  </si>
  <si>
    <t>ARMANDO S</t>
  </si>
  <si>
    <t>EMELINDA</t>
  </si>
  <si>
    <t>TIO CHITO</t>
  </si>
  <si>
    <t>YENNY</t>
  </si>
  <si>
    <t>CAPELLO</t>
  </si>
  <si>
    <t>HURACAN I</t>
  </si>
  <si>
    <t>SOCOROMA II</t>
  </si>
  <si>
    <t>CANDELARIA</t>
  </si>
  <si>
    <t>LA VICTORIA</t>
  </si>
  <si>
    <t>LAUCA</t>
  </si>
  <si>
    <t>YAGAN</t>
  </si>
  <si>
    <t>TAMARUGAL</t>
  </si>
  <si>
    <t>KIPPERNES</t>
  </si>
  <si>
    <t>SOFIA-A</t>
  </si>
  <si>
    <t>RIO MAIPO II</t>
  </si>
  <si>
    <t>CAYUMANQUI</t>
  </si>
  <si>
    <t>DON PEDRO I</t>
  </si>
  <si>
    <t>CAMILA DAVID</t>
  </si>
  <si>
    <t>PATRICK JOAQUIN</t>
  </si>
  <si>
    <t>ANSELMO I</t>
  </si>
  <si>
    <t>DON LUIS ALBERTO</t>
  </si>
  <si>
    <t>DOÑA SOFIA I</t>
  </si>
  <si>
    <t>NAGASAKI</t>
  </si>
  <si>
    <t>ANDREA C</t>
  </si>
  <si>
    <t>TSUNAMI S</t>
  </si>
  <si>
    <t>ENZO NICOLAS I</t>
  </si>
  <si>
    <t>YOLANDA S</t>
  </si>
  <si>
    <t>TURIMAR II</t>
  </si>
  <si>
    <t>BLANCA ESTELA</t>
  </si>
  <si>
    <t>TURIMAR III</t>
  </si>
  <si>
    <t>MARICIA</t>
  </si>
  <si>
    <t>DON ARMANDO</t>
  </si>
  <si>
    <t>DONCELLA II</t>
  </si>
  <si>
    <t>PEDRO JOSÉ</t>
  </si>
  <si>
    <t>DON MIGUEL</t>
  </si>
  <si>
    <t>DON MIGUEL II</t>
  </si>
  <si>
    <t>PITUCO</t>
  </si>
  <si>
    <t>ESTURION</t>
  </si>
  <si>
    <t xml:space="preserve">ISABEL V </t>
  </si>
  <si>
    <t>POSEIDON II</t>
  </si>
  <si>
    <t>PUERTO BALLARTA</t>
  </si>
  <si>
    <t>ADONAI</t>
  </si>
  <si>
    <t>NAZARETH II</t>
  </si>
  <si>
    <t>CARPINTERO</t>
  </si>
  <si>
    <t>MAR DE LIGURIA</t>
  </si>
  <si>
    <t>CARMEN LORETO</t>
  </si>
  <si>
    <t>TOME II</t>
  </si>
  <si>
    <t>AMPARITO I</t>
  </si>
  <si>
    <t>JUANITA I</t>
  </si>
  <si>
    <t>DON KEVIN</t>
  </si>
  <si>
    <t>DON GUILLERMO I</t>
  </si>
  <si>
    <t>LAGO RANCO</t>
  </si>
  <si>
    <t>RIO LOA I</t>
  </si>
  <si>
    <t>HABACUC</t>
  </si>
  <si>
    <t>FLOR MARLENE</t>
  </si>
  <si>
    <t>YENNY VALESKA II</t>
  </si>
  <si>
    <t xml:space="preserve">JOSEFA I </t>
  </si>
  <si>
    <t>DON MANUEL R</t>
  </si>
  <si>
    <t>DON EMILIO</t>
  </si>
  <si>
    <t>HERMINIA I</t>
  </si>
  <si>
    <t>DON RICARDO II</t>
  </si>
  <si>
    <t>SERGIO III</t>
  </si>
  <si>
    <t xml:space="preserve">DON MATI I </t>
  </si>
  <si>
    <t>MARIA BRISTELA</t>
  </si>
  <si>
    <t>MATIAS</t>
  </si>
  <si>
    <t>SHIMANE</t>
  </si>
  <si>
    <t>DON PATRICIO I</t>
  </si>
  <si>
    <t>DON DIONISIO II</t>
  </si>
  <si>
    <t>JAIRO ELI</t>
  </si>
  <si>
    <t>SANTA RITA III</t>
  </si>
  <si>
    <t>ANA BELEN I</t>
  </si>
  <si>
    <t>DON ARNALDO</t>
  </si>
  <si>
    <t>ABRAHAM</t>
  </si>
  <si>
    <t>MATIAS NICOLAS</t>
  </si>
  <si>
    <t>ANGELA VALENTINA</t>
  </si>
  <si>
    <t>ISAAC</t>
  </si>
  <si>
    <t>DON ANSELMO II</t>
  </si>
  <si>
    <t>EBEN EZER III</t>
  </si>
  <si>
    <t>MAR PRIMERO</t>
  </si>
  <si>
    <t>MAR SEGUNDO</t>
  </si>
  <si>
    <t>ADRIANA V</t>
  </si>
  <si>
    <t>LERITO</t>
  </si>
  <si>
    <t>OMEGA</t>
  </si>
  <si>
    <t>RAYO II</t>
  </si>
  <si>
    <t>VICTOR RENE</t>
  </si>
  <si>
    <t>MISIONERA III</t>
  </si>
  <si>
    <t>ANTARES V</t>
  </si>
  <si>
    <t>ODISEO II</t>
  </si>
  <si>
    <t>Pesca de Investigación</t>
  </si>
  <si>
    <t>Pesca Investigacion</t>
  </si>
  <si>
    <t>Sardina Comun</t>
  </si>
  <si>
    <t>Res. 395 Pesca de Investigación IFOP, Sardina común y Anchoveta</t>
  </si>
  <si>
    <t>Res. 998 Aurtoriza Pesca Inv. a IFOP</t>
  </si>
  <si>
    <t>TOTAL ASIGNATARIOS LTP</t>
  </si>
  <si>
    <t>Total</t>
  </si>
  <si>
    <t>TOTAL MIXTO</t>
  </si>
  <si>
    <t>Exceso IC</t>
  </si>
  <si>
    <t>Exceso Ton IC</t>
  </si>
  <si>
    <t>Cesiones y Traspasos</t>
  </si>
  <si>
    <t>1365 Cesión art. ARPAVAL a armador de la "Orka" RPA 925451, XIV Reg.</t>
  </si>
  <si>
    <t>Res 847 Cesión Ind-Art Sardina común armadores VIII y XIV Reg.</t>
  </si>
  <si>
    <t>Res.1080.cesión anchoveta, ind-art XIV región.</t>
  </si>
  <si>
    <t>Res.1080.cesión sardina común, ind-art XIV región.</t>
  </si>
  <si>
    <t>Res.1191.cesión sardina común V-X, ind-art XIV región.</t>
  </si>
  <si>
    <t>Res.1192.cesión anchoveta V-X, ind-art XIV región.</t>
  </si>
  <si>
    <t>Res.1192.cesión sardina común V-X, ind-art XIV región.</t>
  </si>
  <si>
    <t>Res.1526.cesión anchoveta V-X, ind-art XIV región</t>
  </si>
  <si>
    <t>Res.1526.cesión sardina común V-X, ind-art XIV región</t>
  </si>
  <si>
    <t>Res.980.cesión sardina común V-X, ind-art XIV región.</t>
  </si>
  <si>
    <t>RES.N° 1396/2019. CESIÓN ANCHOVETA  ARTESANAL, REG XIV, ARPAVAL A ARMADOR PUNTA BRAVA RPA 956926</t>
  </si>
  <si>
    <t>RES.N° 1396/2019. CESIÓN SARDINA COMUN ARTESANAL, REG XIV, ARPAVAL A ARMADOR PUNTA BRAVA RPA 956926</t>
  </si>
  <si>
    <t>CONSUMO CESIONES  ANCHOVETA Y SARDINA COMUN XIV, ARTESANAL</t>
  </si>
  <si>
    <t>Res.1081.cesión sardina común, ind-art IX región.</t>
  </si>
  <si>
    <t>MAULINA V</t>
  </si>
  <si>
    <t>VERONICA ALEJANDRA</t>
  </si>
  <si>
    <t>JACOB MOISES</t>
  </si>
  <si>
    <t>CONSUMO CESIONES  ANCHOVETA Y SARDINA COMUN VIII, EMBARCACIONES ARTESANALES 2019 (Individual o Grupo Colectivo)</t>
  </si>
  <si>
    <t>Tipo asignatario_cesion</t>
  </si>
  <si>
    <t>1527 Modifica Res. Ex. N° 794</t>
  </si>
  <si>
    <t>DON PEDRO M</t>
  </si>
  <si>
    <t>MESANA</t>
  </si>
  <si>
    <t>CRISTIAN GUILLERMO</t>
  </si>
  <si>
    <t>DON MATIAS J</t>
  </si>
  <si>
    <t>YOSHIRA</t>
  </si>
  <si>
    <t>MACEDONIA I</t>
  </si>
  <si>
    <t>DOÑA CANDELARIA</t>
  </si>
  <si>
    <t>BILL</t>
  </si>
  <si>
    <t>Consumo Cesiones_Sardina Comun y Anchoveta VIII Region (individual y Grupos)</t>
  </si>
  <si>
    <t>Res.1194.cesión sardina común V-X, ind-art XIV región.</t>
  </si>
  <si>
    <t>N° RES</t>
  </si>
  <si>
    <t>Tipo de Cesion</t>
  </si>
  <si>
    <t>N° ORG</t>
  </si>
  <si>
    <t>CESIÓN</t>
  </si>
  <si>
    <t>cantidad (Ton)</t>
  </si>
  <si>
    <t>Desembarque (Ton)</t>
  </si>
  <si>
    <t>Desembarque Colectivo</t>
  </si>
  <si>
    <t>DON AGUSTIN</t>
  </si>
  <si>
    <t>ABRAHAM ANTONIO</t>
  </si>
  <si>
    <t>%consumo</t>
  </si>
  <si>
    <t>Suma de cantidad (Ton)</t>
  </si>
  <si>
    <t>Suma de Desembarque (Ton)</t>
  </si>
  <si>
    <t>Pedro Irigoyen</t>
  </si>
  <si>
    <t>IMPUTACION CONJUNTA CUOTA ANCHOVETA Y SARDINA COMÚN AÑO 2019</t>
  </si>
  <si>
    <t>IMPUTACION CONJUNTA CUOTA ANCHOVETA Y SARDINA COMÚN VIII REGION AÑO 2019</t>
  </si>
  <si>
    <t>IC 40%</t>
  </si>
  <si>
    <t>Captura Imputacion mixta</t>
  </si>
  <si>
    <t>43-78-80-81-85-86-89-91-92</t>
  </si>
  <si>
    <t>CONSUMO CESIONES  ANCHOVETA Y SARDINA COMUN IX y XIV, ARTESANAL</t>
  </si>
  <si>
    <t>Res.2025 Cesión Org. RAE de S.común y anchoveta a favor de arm.emb. PALMI II (RPA N° 965369)</t>
  </si>
  <si>
    <r>
      <rPr>
        <sz val="9"/>
        <color rgb="FFFF0000"/>
        <rFont val="Calibri"/>
        <family val="2"/>
        <scheme val="minor"/>
      </rPr>
      <t>STI Armadores y Pescadores artesanales,</t>
    </r>
    <r>
      <rPr>
        <sz val="9"/>
        <color theme="1"/>
        <rFont val="Calibri"/>
        <family val="2"/>
        <scheme val="minor"/>
      </rPr>
      <t xml:space="preserve"> Acuicultores, Algueros (as) y Ramos afines "MAFMAR", RSU 08.05.0645</t>
    </r>
  </si>
  <si>
    <t>Fecha Cierre</t>
  </si>
  <si>
    <t xml:space="preserve">Res.1114.cesión sardina común, ind-art XIV región.
</t>
  </si>
  <si>
    <t>CAMILA ANTONELLA</t>
  </si>
  <si>
    <t>MAR DE BERING</t>
  </si>
  <si>
    <t>SRA. MARIOLY</t>
  </si>
  <si>
    <t>YANIRA</t>
  </si>
  <si>
    <t>RAUL CESAR</t>
  </si>
  <si>
    <t>RIEKA I</t>
  </si>
  <si>
    <t>CARLOS PATRICIO</t>
  </si>
  <si>
    <t>CARLOS EMILIO</t>
  </si>
  <si>
    <t>DON RICARDO</t>
  </si>
  <si>
    <t>DON VALENTIN</t>
  </si>
  <si>
    <t>ACHERNAR</t>
  </si>
  <si>
    <t>MATEO ABDON</t>
  </si>
  <si>
    <t>%asignacion</t>
  </si>
  <si>
    <t xml:space="preserve">Pesq Litoral </t>
  </si>
  <si>
    <t>VENTISQUERO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</si>
</sst>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[Red]\-0.00\ "/>
    <numFmt numFmtId="166" formatCode="0.0%"/>
    <numFmt numFmtId="167" formatCode="_-* #,##0.00\ _p_t_a_-;\-* #,##0.00\ _p_t_a_-;_-* \-??\ _p_t_a_-;_-@_-"/>
    <numFmt numFmtId="168" formatCode="0.000"/>
    <numFmt numFmtId="169" formatCode="yyyy/mm/dd;@"/>
    <numFmt numFmtId="170" formatCode="0.0"/>
    <numFmt numFmtId="171" formatCode="0.000_ ;[Red]\-0.000\ "/>
    <numFmt numFmtId="172" formatCode="0_ ;[Red]\-0\ "/>
    <numFmt numFmtId="173" formatCode="0.000%"/>
    <numFmt numFmtId="174" formatCode="0.0000%"/>
    <numFmt numFmtId="175" formatCode="0.00000%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11"/>
      <color theme="0"/>
      <name val="Calibri"/>
      <family val="2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strike/>
      <sz val="9"/>
      <color indexed="81"/>
      <name val="Tahoma"/>
      <family val="2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trike/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1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5E17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6A2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rgb="FFFF00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98E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4208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0" fillId="28" borderId="13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1" fillId="29" borderId="14" applyNumberFormat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24" fillId="19" borderId="13" applyNumberFormat="0" applyAlignment="0" applyProtection="0"/>
    <xf numFmtId="0" fontId="1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0" fontId="29" fillId="35" borderId="16" applyNumberFormat="0" applyFont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7" fillId="28" borderId="17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</cellStyleXfs>
  <cellXfs count="839">
    <xf numFmtId="0" fontId="0" fillId="0" borderId="0" xfId="0"/>
    <xf numFmtId="0" fontId="6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 wrapText="1"/>
    </xf>
    <xf numFmtId="1" fontId="4" fillId="6" borderId="7" xfId="1" applyNumberFormat="1" applyFont="1" applyFill="1" applyBorder="1" applyAlignment="1">
      <alignment horizontal="center" vertical="center"/>
    </xf>
    <xf numFmtId="9" fontId="4" fillId="6" borderId="7" xfId="2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1" fillId="2" borderId="7" xfId="1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/>
    </xf>
    <xf numFmtId="9" fontId="10" fillId="2" borderId="7" xfId="2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/>
    </xf>
    <xf numFmtId="1" fontId="3" fillId="6" borderId="7" xfId="1" applyNumberFormat="1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right" vertical="center" wrapText="1"/>
    </xf>
    <xf numFmtId="0" fontId="11" fillId="8" borderId="7" xfId="0" applyFont="1" applyFill="1" applyBorder="1" applyAlignment="1">
      <alignment horizontal="center" vertical="center"/>
    </xf>
    <xf numFmtId="1" fontId="11" fillId="8" borderId="10" xfId="1" applyNumberFormat="1" applyFont="1" applyFill="1" applyBorder="1" applyAlignment="1">
      <alignment horizontal="center" vertical="center"/>
    </xf>
    <xf numFmtId="9" fontId="4" fillId="2" borderId="7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7" xfId="0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1" fontId="0" fillId="2" borderId="7" xfId="1" applyNumberFormat="1" applyFont="1" applyFill="1" applyBorder="1" applyAlignment="1">
      <alignment horizontal="center" vertical="center"/>
    </xf>
    <xf numFmtId="9" fontId="0" fillId="2" borderId="7" xfId="2" applyFont="1" applyFill="1" applyBorder="1" applyAlignment="1">
      <alignment horizontal="center" vertical="center"/>
    </xf>
    <xf numFmtId="1" fontId="3" fillId="2" borderId="7" xfId="1" applyNumberFormat="1" applyFont="1" applyFill="1" applyBorder="1" applyAlignment="1">
      <alignment horizontal="center" vertical="center"/>
    </xf>
    <xf numFmtId="1" fontId="10" fillId="2" borderId="7" xfId="1" applyNumberFormat="1" applyFont="1" applyFill="1" applyBorder="1" applyAlignment="1">
      <alignment horizontal="center" vertical="center"/>
    </xf>
    <xf numFmtId="1" fontId="12" fillId="8" borderId="10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165" fontId="8" fillId="9" borderId="7" xfId="0" applyNumberFormat="1" applyFont="1" applyFill="1" applyBorder="1" applyAlignment="1">
      <alignment horizontal="center" vertical="center" wrapText="1"/>
    </xf>
    <xf numFmtId="2" fontId="11" fillId="10" borderId="7" xfId="1" applyNumberFormat="1" applyFont="1" applyFill="1" applyBorder="1" applyAlignment="1">
      <alignment horizontal="center" vertical="center"/>
    </xf>
    <xf numFmtId="9" fontId="11" fillId="10" borderId="7" xfId="2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/>
    </xf>
    <xf numFmtId="1" fontId="11" fillId="10" borderId="7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9" fontId="0" fillId="2" borderId="10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9" fontId="3" fillId="11" borderId="7" xfId="2" applyFont="1" applyFill="1" applyBorder="1" applyAlignment="1">
      <alignment horizontal="center" vertical="center"/>
    </xf>
    <xf numFmtId="165" fontId="8" fillId="13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right" vertical="center"/>
    </xf>
    <xf numFmtId="165" fontId="0" fillId="2" borderId="7" xfId="0" applyNumberFormat="1" applyFont="1" applyFill="1" applyBorder="1" applyAlignment="1">
      <alignment horizontal="right" vertical="center"/>
    </xf>
    <xf numFmtId="1" fontId="14" fillId="2" borderId="7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right" vertical="center"/>
    </xf>
    <xf numFmtId="0" fontId="0" fillId="5" borderId="12" xfId="0" applyFont="1" applyFill="1" applyBorder="1" applyAlignment="1">
      <alignment horizontal="center" vertical="center"/>
    </xf>
    <xf numFmtId="1" fontId="0" fillId="5" borderId="7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right" vertical="center"/>
    </xf>
    <xf numFmtId="166" fontId="10" fillId="5" borderId="7" xfId="2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5" fillId="36" borderId="7" xfId="27590" applyFont="1" applyFill="1" applyBorder="1" applyAlignment="1">
      <alignment horizontal="center" vertical="center" wrapText="1"/>
    </xf>
    <xf numFmtId="0" fontId="45" fillId="36" borderId="7" xfId="27985" applyFont="1" applyFill="1" applyBorder="1" applyAlignment="1">
      <alignment horizontal="center" vertical="center" wrapText="1"/>
    </xf>
    <xf numFmtId="0" fontId="45" fillId="36" borderId="7" xfId="0" applyFont="1" applyFill="1" applyBorder="1" applyAlignment="1">
      <alignment horizontal="center" vertical="center" wrapText="1"/>
    </xf>
    <xf numFmtId="0" fontId="45" fillId="36" borderId="7" xfId="30477" applyFont="1" applyFill="1" applyBorder="1" applyAlignment="1">
      <alignment horizontal="center" vertical="center" wrapText="1"/>
    </xf>
    <xf numFmtId="165" fontId="45" fillId="36" borderId="7" xfId="30477" applyNumberFormat="1" applyFont="1" applyFill="1" applyBorder="1" applyAlignment="1">
      <alignment horizontal="center" vertical="center" wrapText="1"/>
    </xf>
    <xf numFmtId="10" fontId="45" fillId="36" borderId="7" xfId="2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/>
    </xf>
    <xf numFmtId="10" fontId="0" fillId="2" borderId="7" xfId="2" applyNumberFormat="1" applyFont="1" applyFill="1" applyBorder="1" applyAlignment="1">
      <alignment horizontal="center" vertical="center"/>
    </xf>
    <xf numFmtId="0" fontId="47" fillId="13" borderId="7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168" fontId="0" fillId="5" borderId="7" xfId="0" applyNumberFormat="1" applyFill="1" applyBorder="1" applyAlignment="1">
      <alignment horizontal="center" vertical="center"/>
    </xf>
    <xf numFmtId="168" fontId="48" fillId="2" borderId="7" xfId="0" applyNumberFormat="1" applyFont="1" applyFill="1" applyBorder="1" applyAlignment="1">
      <alignment horizontal="center" vertical="center"/>
    </xf>
    <xf numFmtId="168" fontId="0" fillId="2" borderId="7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8" fontId="10" fillId="2" borderId="7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0" fontId="0" fillId="5" borderId="7" xfId="2" applyNumberFormat="1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 wrapText="1"/>
    </xf>
    <xf numFmtId="168" fontId="0" fillId="2" borderId="0" xfId="0" applyNumberFormat="1" applyFill="1" applyAlignment="1">
      <alignment horizontal="center" vertical="center"/>
    </xf>
    <xf numFmtId="0" fontId="0" fillId="38" borderId="7" xfId="0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168" fontId="3" fillId="2" borderId="7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168" fontId="10" fillId="5" borderId="7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0" fontId="0" fillId="2" borderId="0" xfId="2" applyNumberFormat="1" applyFont="1" applyFill="1" applyAlignment="1">
      <alignment horizontal="center" vertical="center"/>
    </xf>
    <xf numFmtId="1" fontId="49" fillId="5" borderId="7" xfId="0" applyNumberFormat="1" applyFont="1" applyFill="1" applyBorder="1" applyAlignment="1">
      <alignment horizontal="center" vertical="center" wrapText="1"/>
    </xf>
    <xf numFmtId="1" fontId="49" fillId="2" borderId="7" xfId="0" applyNumberFormat="1" applyFont="1" applyFill="1" applyBorder="1" applyAlignment="1">
      <alignment horizontal="center" vertical="center" wrapText="1"/>
    </xf>
    <xf numFmtId="14" fontId="50" fillId="2" borderId="12" xfId="0" applyNumberFormat="1" applyFont="1" applyFill="1" applyBorder="1" applyAlignment="1">
      <alignment horizontal="center" vertical="center"/>
    </xf>
    <xf numFmtId="1" fontId="49" fillId="2" borderId="7" xfId="0" applyNumberFormat="1" applyFont="1" applyFill="1" applyBorder="1" applyAlignment="1">
      <alignment horizontal="left" vertical="center" wrapText="1"/>
    </xf>
    <xf numFmtId="168" fontId="49" fillId="2" borderId="7" xfId="0" applyNumberFormat="1" applyFont="1" applyFill="1" applyBorder="1" applyAlignment="1">
      <alignment horizontal="center" vertical="center" wrapText="1"/>
    </xf>
    <xf numFmtId="14" fontId="50" fillId="2" borderId="7" xfId="0" applyNumberFormat="1" applyFont="1" applyFill="1" applyBorder="1" applyAlignment="1">
      <alignment horizontal="center" vertical="center"/>
    </xf>
    <xf numFmtId="1" fontId="51" fillId="2" borderId="7" xfId="0" applyNumberFormat="1" applyFont="1" applyFill="1" applyBorder="1" applyAlignment="1">
      <alignment horizontal="left" vertical="center" wrapText="1"/>
    </xf>
    <xf numFmtId="0" fontId="53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horizontal="left" vertical="center" wrapText="1"/>
    </xf>
    <xf numFmtId="14" fontId="53" fillId="2" borderId="0" xfId="0" applyNumberFormat="1" applyFont="1" applyFill="1" applyAlignment="1">
      <alignment horizontal="center" vertical="center" wrapText="1"/>
    </xf>
    <xf numFmtId="169" fontId="53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53" fillId="2" borderId="0" xfId="0" applyNumberFormat="1" applyFont="1" applyFill="1" applyBorder="1" applyAlignment="1">
      <alignment horizontal="left" vertical="center" wrapText="1"/>
    </xf>
    <xf numFmtId="1" fontId="53" fillId="2" borderId="0" xfId="0" applyNumberFormat="1" applyFont="1" applyFill="1" applyBorder="1" applyAlignment="1">
      <alignment horizontal="center" vertical="center" wrapText="1"/>
    </xf>
    <xf numFmtId="169" fontId="8" fillId="42" borderId="26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43" borderId="8" xfId="0" applyFont="1" applyFill="1" applyBorder="1" applyAlignment="1">
      <alignment horizontal="center" vertical="center" wrapText="1"/>
    </xf>
    <xf numFmtId="0" fontId="8" fillId="43" borderId="7" xfId="0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horizontal="center" vertical="center" wrapText="1"/>
    </xf>
    <xf numFmtId="0" fontId="55" fillId="43" borderId="7" xfId="0" applyFont="1" applyFill="1" applyBorder="1" applyAlignment="1">
      <alignment horizontal="center" vertical="center" wrapText="1"/>
    </xf>
    <xf numFmtId="169" fontId="8" fillId="43" borderId="9" xfId="0" applyNumberFormat="1" applyFont="1" applyFill="1" applyBorder="1" applyAlignment="1">
      <alignment horizontal="center" vertical="center" wrapText="1"/>
    </xf>
    <xf numFmtId="9" fontId="53" fillId="2" borderId="0" xfId="0" applyNumberFormat="1" applyFont="1" applyFill="1" applyAlignment="1">
      <alignment horizontal="center" vertical="center" wrapText="1"/>
    </xf>
    <xf numFmtId="0" fontId="53" fillId="10" borderId="7" xfId="0" applyFont="1" applyFill="1" applyBorder="1" applyAlignment="1">
      <alignment horizontal="left" vertical="center" wrapText="1"/>
    </xf>
    <xf numFmtId="0" fontId="53" fillId="10" borderId="7" xfId="0" applyFont="1" applyFill="1" applyBorder="1" applyAlignment="1">
      <alignment horizontal="right" vertical="center" wrapText="1"/>
    </xf>
    <xf numFmtId="168" fontId="53" fillId="10" borderId="8" xfId="1" applyNumberFormat="1" applyFont="1" applyFill="1" applyBorder="1" applyAlignment="1">
      <alignment horizontal="right" vertical="center" wrapText="1"/>
    </xf>
    <xf numFmtId="2" fontId="53" fillId="2" borderId="7" xfId="1" applyNumberFormat="1" applyFont="1" applyFill="1" applyBorder="1" applyAlignment="1">
      <alignment horizontal="right" vertical="center" wrapText="1"/>
    </xf>
    <xf numFmtId="2" fontId="53" fillId="2" borderId="11" xfId="1" applyNumberFormat="1" applyFont="1" applyFill="1" applyBorder="1" applyAlignment="1">
      <alignment horizontal="right" vertical="center" wrapText="1"/>
    </xf>
    <xf numFmtId="2" fontId="53" fillId="44" borderId="7" xfId="0" applyNumberFormat="1" applyFont="1" applyFill="1" applyBorder="1" applyAlignment="1">
      <alignment horizontal="right" vertical="center" wrapText="1"/>
    </xf>
    <xf numFmtId="2" fontId="53" fillId="44" borderId="9" xfId="0" applyNumberFormat="1" applyFont="1" applyFill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horizontal="right" vertical="center"/>
    </xf>
    <xf numFmtId="9" fontId="53" fillId="2" borderId="7" xfId="2" applyFont="1" applyFill="1" applyBorder="1" applyAlignment="1">
      <alignment horizontal="right" vertical="center" wrapText="1"/>
    </xf>
    <xf numFmtId="169" fontId="53" fillId="43" borderId="7" xfId="2" applyNumberFormat="1" applyFont="1" applyFill="1" applyBorder="1" applyAlignment="1">
      <alignment horizontal="right" vertical="center" wrapText="1"/>
    </xf>
    <xf numFmtId="168" fontId="53" fillId="10" borderId="4" xfId="1" applyNumberFormat="1" applyFont="1" applyFill="1" applyBorder="1" applyAlignment="1">
      <alignment horizontal="right" vertical="center" wrapText="1"/>
    </xf>
    <xf numFmtId="2" fontId="53" fillId="2" borderId="10" xfId="1" applyNumberFormat="1" applyFont="1" applyFill="1" applyBorder="1" applyAlignment="1">
      <alignment horizontal="right" vertical="center" wrapText="1"/>
    </xf>
    <xf numFmtId="2" fontId="53" fillId="2" borderId="0" xfId="1" applyNumberFormat="1" applyFont="1" applyFill="1" applyBorder="1" applyAlignment="1">
      <alignment horizontal="right" vertical="center" wrapText="1"/>
    </xf>
    <xf numFmtId="2" fontId="53" fillId="44" borderId="10" xfId="0" applyNumberFormat="1" applyFont="1" applyFill="1" applyBorder="1" applyAlignment="1">
      <alignment horizontal="right" vertical="center" wrapText="1"/>
    </xf>
    <xf numFmtId="2" fontId="53" fillId="44" borderId="6" xfId="0" applyNumberFormat="1" applyFont="1" applyFill="1" applyBorder="1" applyAlignment="1">
      <alignment horizontal="right" vertical="center" wrapText="1"/>
    </xf>
    <xf numFmtId="168" fontId="53" fillId="10" borderId="22" xfId="1" applyNumberFormat="1" applyFont="1" applyFill="1" applyBorder="1" applyAlignment="1">
      <alignment horizontal="right" vertical="center" wrapText="1"/>
    </xf>
    <xf numFmtId="2" fontId="53" fillId="2" borderId="31" xfId="1" applyNumberFormat="1" applyFont="1" applyFill="1" applyBorder="1" applyAlignment="1">
      <alignment horizontal="right" vertical="center" wrapText="1"/>
    </xf>
    <xf numFmtId="2" fontId="53" fillId="2" borderId="23" xfId="1" applyNumberFormat="1" applyFont="1" applyFill="1" applyBorder="1" applyAlignment="1">
      <alignment horizontal="right" vertical="center" wrapText="1"/>
    </xf>
    <xf numFmtId="2" fontId="53" fillId="10" borderId="8" xfId="1" applyNumberFormat="1" applyFont="1" applyFill="1" applyBorder="1" applyAlignment="1">
      <alignment horizontal="right" vertical="center" wrapText="1"/>
    </xf>
    <xf numFmtId="0" fontId="53" fillId="2" borderId="0" xfId="0" applyFont="1" applyFill="1" applyAlignment="1">
      <alignment horizontal="right" vertical="center" wrapText="1"/>
    </xf>
    <xf numFmtId="0" fontId="56" fillId="2" borderId="0" xfId="0" applyFont="1" applyFill="1" applyAlignment="1">
      <alignment horizontal="right" vertical="center" wrapText="1"/>
    </xf>
    <xf numFmtId="168" fontId="56" fillId="2" borderId="0" xfId="0" applyNumberFormat="1" applyFont="1" applyFill="1" applyAlignment="1">
      <alignment horizontal="right" vertical="center" wrapText="1"/>
    </xf>
    <xf numFmtId="170" fontId="56" fillId="2" borderId="7" xfId="0" applyNumberFormat="1" applyFont="1" applyFill="1" applyBorder="1" applyAlignment="1">
      <alignment horizontal="right" vertical="center" wrapText="1"/>
    </xf>
    <xf numFmtId="9" fontId="56" fillId="2" borderId="7" xfId="2" applyFont="1" applyFill="1" applyBorder="1" applyAlignment="1">
      <alignment horizontal="right" vertical="center" wrapText="1"/>
    </xf>
    <xf numFmtId="169" fontId="56" fillId="2" borderId="0" xfId="2" applyNumberFormat="1" applyFont="1" applyFill="1" applyAlignment="1">
      <alignment horizontal="right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53" fillId="6" borderId="7" xfId="0" applyFont="1" applyFill="1" applyBorder="1" applyAlignment="1">
      <alignment horizontal="left" vertical="center" wrapText="1"/>
    </xf>
    <xf numFmtId="0" fontId="53" fillId="6" borderId="7" xfId="0" applyFont="1" applyFill="1" applyBorder="1" applyAlignment="1">
      <alignment horizontal="right" vertical="center" wrapText="1"/>
    </xf>
    <xf numFmtId="2" fontId="53" fillId="6" borderId="7" xfId="1" applyNumberFormat="1" applyFont="1" applyFill="1" applyBorder="1" applyAlignment="1">
      <alignment horizontal="right" vertical="center" wrapText="1"/>
    </xf>
    <xf numFmtId="2" fontId="53" fillId="2" borderId="8" xfId="1" applyNumberFormat="1" applyFont="1" applyFill="1" applyBorder="1" applyAlignment="1">
      <alignment horizontal="right" vertical="center" wrapText="1"/>
    </xf>
    <xf numFmtId="2" fontId="53" fillId="6" borderId="7" xfId="0" applyNumberFormat="1" applyFont="1" applyFill="1" applyBorder="1" applyAlignment="1">
      <alignment horizontal="right" vertical="center" wrapText="1"/>
    </xf>
    <xf numFmtId="2" fontId="53" fillId="6" borderId="9" xfId="0" applyNumberFormat="1" applyFont="1" applyFill="1" applyBorder="1" applyAlignment="1">
      <alignment horizontal="right" vertical="center" wrapText="1"/>
    </xf>
    <xf numFmtId="170" fontId="53" fillId="2" borderId="7" xfId="0" applyNumberFormat="1" applyFont="1" applyFill="1" applyBorder="1" applyAlignment="1">
      <alignment horizontal="right" vertical="center" wrapText="1"/>
    </xf>
    <xf numFmtId="169" fontId="53" fillId="43" borderId="7" xfId="0" applyNumberFormat="1" applyFont="1" applyFill="1" applyBorder="1" applyAlignment="1">
      <alignment horizontal="right" vertical="center" wrapText="1"/>
    </xf>
    <xf numFmtId="0" fontId="57" fillId="2" borderId="0" xfId="0" applyFont="1" applyFill="1" applyAlignment="1">
      <alignment horizontal="right" vertical="center" wrapText="1"/>
    </xf>
    <xf numFmtId="0" fontId="57" fillId="2" borderId="0" xfId="0" applyFont="1" applyFill="1" applyAlignment="1">
      <alignment horizontal="left" vertical="center" wrapText="1"/>
    </xf>
    <xf numFmtId="2" fontId="57" fillId="2" borderId="0" xfId="0" applyNumberFormat="1" applyFont="1" applyFill="1" applyAlignment="1">
      <alignment horizontal="right" vertical="center" wrapText="1"/>
    </xf>
    <xf numFmtId="170" fontId="57" fillId="2" borderId="7" xfId="0" applyNumberFormat="1" applyFont="1" applyFill="1" applyBorder="1" applyAlignment="1">
      <alignment horizontal="right" vertical="center" wrapText="1"/>
    </xf>
    <xf numFmtId="9" fontId="57" fillId="2" borderId="7" xfId="2" applyFont="1" applyFill="1" applyBorder="1" applyAlignment="1">
      <alignment horizontal="right" vertical="center" wrapText="1"/>
    </xf>
    <xf numFmtId="169" fontId="57" fillId="2" borderId="0" xfId="0" applyNumberFormat="1" applyFont="1" applyFill="1" applyAlignment="1">
      <alignment horizontal="right" vertical="center" wrapText="1"/>
    </xf>
    <xf numFmtId="0" fontId="57" fillId="2" borderId="0" xfId="0" applyFont="1" applyFill="1" applyAlignment="1">
      <alignment horizontal="center" vertical="center" wrapText="1"/>
    </xf>
    <xf numFmtId="168" fontId="53" fillId="10" borderId="7" xfId="0" applyNumberFormat="1" applyFont="1" applyFill="1" applyBorder="1" applyAlignment="1">
      <alignment horizontal="right" vertical="center" wrapText="1"/>
    </xf>
    <xf numFmtId="168" fontId="53" fillId="44" borderId="31" xfId="0" applyNumberFormat="1" applyFont="1" applyFill="1" applyBorder="1" applyAlignment="1">
      <alignment horizontal="right" vertical="center" wrapText="1"/>
    </xf>
    <xf numFmtId="2" fontId="58" fillId="2" borderId="7" xfId="1" applyNumberFormat="1" applyFont="1" applyFill="1" applyBorder="1" applyAlignment="1">
      <alignment horizontal="right" vertical="center" wrapText="1"/>
    </xf>
    <xf numFmtId="168" fontId="53" fillId="10" borderId="7" xfId="1" applyNumberFormat="1" applyFont="1" applyFill="1" applyBorder="1" applyAlignment="1">
      <alignment horizontal="right" vertical="center" wrapText="1"/>
    </xf>
    <xf numFmtId="168" fontId="53" fillId="44" borderId="7" xfId="0" applyNumberFormat="1" applyFont="1" applyFill="1" applyBorder="1" applyAlignment="1">
      <alignment horizontal="right" vertical="center" wrapText="1"/>
    </xf>
    <xf numFmtId="0" fontId="53" fillId="2" borderId="0" xfId="31630" applyFont="1" applyFill="1" applyBorder="1" applyAlignment="1">
      <alignment horizontal="center" vertical="center" wrapText="1"/>
    </xf>
    <xf numFmtId="0" fontId="53" fillId="6" borderId="31" xfId="0" applyFont="1" applyFill="1" applyBorder="1" applyAlignment="1">
      <alignment horizontal="left" vertical="center" wrapText="1"/>
    </xf>
    <xf numFmtId="168" fontId="53" fillId="6" borderId="31" xfId="1" applyNumberFormat="1" applyFont="1" applyFill="1" applyBorder="1" applyAlignment="1">
      <alignment horizontal="right" vertical="center" wrapText="1"/>
    </xf>
    <xf numFmtId="168" fontId="53" fillId="6" borderId="31" xfId="0" applyNumberFormat="1" applyFont="1" applyFill="1" applyBorder="1" applyAlignment="1">
      <alignment horizontal="right" vertical="center" wrapText="1"/>
    </xf>
    <xf numFmtId="168" fontId="53" fillId="6" borderId="7" xfId="1" applyNumberFormat="1" applyFont="1" applyFill="1" applyBorder="1" applyAlignment="1">
      <alignment horizontal="right" vertical="center" wrapText="1"/>
    </xf>
    <xf numFmtId="165" fontId="6" fillId="2" borderId="31" xfId="31630" applyNumberFormat="1" applyFont="1" applyFill="1" applyBorder="1" applyAlignment="1">
      <alignment horizontal="right" vertical="center" wrapText="1"/>
    </xf>
    <xf numFmtId="165" fontId="6" fillId="2" borderId="31" xfId="0" applyNumberFormat="1" applyFont="1" applyFill="1" applyBorder="1" applyAlignment="1">
      <alignment horizontal="right" vertical="center"/>
    </xf>
    <xf numFmtId="169" fontId="53" fillId="47" borderId="7" xfId="2" applyNumberFormat="1" applyFont="1" applyFill="1" applyBorder="1" applyAlignment="1">
      <alignment horizontal="right" vertical="center" wrapText="1"/>
    </xf>
    <xf numFmtId="165" fontId="6" fillId="2" borderId="32" xfId="0" applyNumberFormat="1" applyFont="1" applyFill="1" applyBorder="1" applyAlignment="1">
      <alignment horizontal="right" vertical="center"/>
    </xf>
    <xf numFmtId="0" fontId="53" fillId="2" borderId="16" xfId="31627" applyFont="1" applyFill="1" applyBorder="1" applyAlignment="1">
      <alignment horizontal="center" vertical="center" wrapText="1"/>
    </xf>
    <xf numFmtId="165" fontId="53" fillId="2" borderId="31" xfId="0" applyNumberFormat="1" applyFont="1" applyFill="1" applyBorder="1" applyAlignment="1">
      <alignment horizontal="right" vertical="center" wrapText="1"/>
    </xf>
    <xf numFmtId="168" fontId="53" fillId="6" borderId="7" xfId="0" applyNumberFormat="1" applyFont="1" applyFill="1" applyBorder="1" applyAlignment="1">
      <alignment horizontal="right" vertical="center" wrapText="1"/>
    </xf>
    <xf numFmtId="0" fontId="53" fillId="2" borderId="31" xfId="0" applyFont="1" applyFill="1" applyBorder="1" applyAlignment="1">
      <alignment horizontal="left" vertical="center" wrapText="1"/>
    </xf>
    <xf numFmtId="0" fontId="53" fillId="2" borderId="7" xfId="0" applyFont="1" applyFill="1" applyBorder="1" applyAlignment="1">
      <alignment horizontal="right" vertical="center" wrapText="1"/>
    </xf>
    <xf numFmtId="168" fontId="53" fillId="2" borderId="7" xfId="1" applyNumberFormat="1" applyFont="1" applyFill="1" applyBorder="1" applyAlignment="1">
      <alignment horizontal="right" vertical="center" wrapText="1"/>
    </xf>
    <xf numFmtId="168" fontId="53" fillId="2" borderId="31" xfId="0" applyNumberFormat="1" applyFont="1" applyFill="1" applyBorder="1" applyAlignment="1">
      <alignment horizontal="right" vertical="center" wrapText="1"/>
    </xf>
    <xf numFmtId="169" fontId="53" fillId="2" borderId="7" xfId="2" applyNumberFormat="1" applyFont="1" applyFill="1" applyBorder="1" applyAlignment="1">
      <alignment horizontal="right" vertical="center" wrapText="1"/>
    </xf>
    <xf numFmtId="0" fontId="58" fillId="6" borderId="31" xfId="0" applyFont="1" applyFill="1" applyBorder="1" applyAlignment="1">
      <alignment horizontal="left" vertical="center" wrapText="1"/>
    </xf>
    <xf numFmtId="0" fontId="53" fillId="2" borderId="0" xfId="0" applyNumberFormat="1" applyFont="1" applyFill="1" applyAlignment="1">
      <alignment horizontal="center" vertical="center" wrapText="1"/>
    </xf>
    <xf numFmtId="2" fontId="53" fillId="0" borderId="7" xfId="1" applyNumberFormat="1" applyFont="1" applyFill="1" applyBorder="1" applyAlignment="1">
      <alignment horizontal="right" vertical="center" wrapText="1"/>
    </xf>
    <xf numFmtId="2" fontId="57" fillId="2" borderId="0" xfId="0" applyNumberFormat="1" applyFont="1" applyFill="1" applyAlignment="1">
      <alignment horizontal="left" vertical="center" wrapText="1"/>
    </xf>
    <xf numFmtId="168" fontId="57" fillId="2" borderId="0" xfId="0" applyNumberFormat="1" applyFont="1" applyFill="1" applyAlignment="1">
      <alignment horizontal="right" vertical="center" wrapText="1"/>
    </xf>
    <xf numFmtId="169" fontId="57" fillId="2" borderId="7" xfId="2" applyNumberFormat="1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right" vertical="center" wrapText="1"/>
    </xf>
    <xf numFmtId="0" fontId="53" fillId="48" borderId="7" xfId="0" applyFont="1" applyFill="1" applyBorder="1" applyAlignment="1">
      <alignment horizontal="right" vertical="center" wrapText="1"/>
    </xf>
    <xf numFmtId="168" fontId="53" fillId="44" borderId="11" xfId="0" applyNumberFormat="1" applyFont="1" applyFill="1" applyBorder="1" applyAlignment="1">
      <alignment horizontal="right" vertical="center" wrapText="1"/>
    </xf>
    <xf numFmtId="169" fontId="53" fillId="47" borderId="7" xfId="2" applyNumberFormat="1" applyFont="1" applyFill="1" applyBorder="1" applyAlignment="1">
      <alignment horizontal="right" vertical="center"/>
    </xf>
    <xf numFmtId="2" fontId="53" fillId="10" borderId="7" xfId="0" applyNumberFormat="1" applyFont="1" applyFill="1" applyBorder="1" applyAlignment="1">
      <alignment horizontal="left" vertical="center" wrapText="1"/>
    </xf>
    <xf numFmtId="0" fontId="53" fillId="44" borderId="7" xfId="0" applyFont="1" applyFill="1" applyBorder="1" applyAlignment="1">
      <alignment horizontal="right" vertical="center" wrapText="1"/>
    </xf>
    <xf numFmtId="0" fontId="57" fillId="2" borderId="0" xfId="0" applyFont="1" applyFill="1" applyBorder="1" applyAlignment="1">
      <alignment horizontal="right" vertical="center" wrapText="1"/>
    </xf>
    <xf numFmtId="169" fontId="57" fillId="2" borderId="0" xfId="0" applyNumberFormat="1" applyFont="1" applyFill="1" applyBorder="1" applyAlignment="1">
      <alignment horizontal="right" vertical="center" wrapText="1"/>
    </xf>
    <xf numFmtId="169" fontId="53" fillId="2" borderId="7" xfId="2" quotePrefix="1" applyNumberFormat="1" applyFont="1" applyFill="1" applyBorder="1" applyAlignment="1">
      <alignment horizontal="right" vertical="center" wrapText="1"/>
    </xf>
    <xf numFmtId="0" fontId="53" fillId="44" borderId="7" xfId="0" applyNumberFormat="1" applyFont="1" applyFill="1" applyBorder="1" applyAlignment="1">
      <alignment horizontal="right" vertical="center" wrapText="1"/>
    </xf>
    <xf numFmtId="2" fontId="53" fillId="12" borderId="7" xfId="0" applyNumberFormat="1" applyFont="1" applyFill="1" applyBorder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0" fontId="58" fillId="10" borderId="7" xfId="0" applyFont="1" applyFill="1" applyBorder="1" applyAlignment="1">
      <alignment horizontal="left" vertical="center" wrapText="1"/>
    </xf>
    <xf numFmtId="168" fontId="58" fillId="10" borderId="7" xfId="1" applyNumberFormat="1" applyFont="1" applyFill="1" applyBorder="1" applyAlignment="1">
      <alignment horizontal="right" vertical="center" wrapText="1"/>
    </xf>
    <xf numFmtId="165" fontId="58" fillId="2" borderId="7" xfId="0" applyNumberFormat="1" applyFont="1" applyFill="1" applyBorder="1" applyAlignment="1">
      <alignment horizontal="right" vertical="center"/>
    </xf>
    <xf numFmtId="168" fontId="58" fillId="44" borderId="7" xfId="0" applyNumberFormat="1" applyFont="1" applyFill="1" applyBorder="1" applyAlignment="1">
      <alignment horizontal="right" vertical="center" wrapText="1"/>
    </xf>
    <xf numFmtId="2" fontId="58" fillId="44" borderId="7" xfId="0" applyNumberFormat="1" applyFont="1" applyFill="1" applyBorder="1" applyAlignment="1">
      <alignment horizontal="right" vertical="center" wrapText="1"/>
    </xf>
    <xf numFmtId="169" fontId="58" fillId="2" borderId="7" xfId="2" applyNumberFormat="1" applyFont="1" applyFill="1" applyBorder="1" applyAlignment="1">
      <alignment horizontal="right" vertical="center" wrapText="1"/>
    </xf>
    <xf numFmtId="0" fontId="53" fillId="2" borderId="0" xfId="0" applyFont="1" applyFill="1" applyBorder="1" applyAlignment="1">
      <alignment horizontal="center" vertical="center" wrapText="1"/>
    </xf>
    <xf numFmtId="168" fontId="57" fillId="2" borderId="0" xfId="0" applyNumberFormat="1" applyFont="1" applyFill="1" applyBorder="1" applyAlignment="1">
      <alignment horizontal="right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right" vertical="center" wrapText="1"/>
    </xf>
    <xf numFmtId="2" fontId="53" fillId="2" borderId="0" xfId="0" applyNumberFormat="1" applyFont="1" applyFill="1" applyBorder="1" applyAlignment="1">
      <alignment horizontal="right" vertical="center" wrapText="1"/>
    </xf>
    <xf numFmtId="14" fontId="53" fillId="2" borderId="0" xfId="0" applyNumberFormat="1" applyFont="1" applyFill="1" applyBorder="1" applyAlignment="1">
      <alignment horizontal="right" vertical="center" wrapText="1"/>
    </xf>
    <xf numFmtId="169" fontId="53" fillId="2" borderId="0" xfId="0" applyNumberFormat="1" applyFont="1" applyFill="1" applyBorder="1" applyAlignment="1">
      <alignment horizontal="center" vertical="center" wrapText="1"/>
    </xf>
    <xf numFmtId="169" fontId="53" fillId="2" borderId="0" xfId="0" applyNumberFormat="1" applyFont="1" applyFill="1" applyBorder="1" applyAlignment="1">
      <alignment horizontal="right" vertical="center" wrapText="1"/>
    </xf>
    <xf numFmtId="2" fontId="57" fillId="2" borderId="0" xfId="0" applyNumberFormat="1" applyFont="1" applyFill="1" applyBorder="1" applyAlignment="1">
      <alignment horizontal="right" vertical="center" wrapText="1"/>
    </xf>
    <xf numFmtId="0" fontId="53" fillId="2" borderId="0" xfId="0" applyFont="1" applyFill="1" applyBorder="1" applyAlignment="1">
      <alignment horizontal="left" vertical="center" wrapText="1"/>
    </xf>
    <xf numFmtId="2" fontId="53" fillId="2" borderId="0" xfId="0" applyNumberFormat="1" applyFont="1" applyFill="1" applyBorder="1" applyAlignment="1">
      <alignment horizontal="center" vertical="center" wrapText="1"/>
    </xf>
    <xf numFmtId="14" fontId="53" fillId="2" borderId="0" xfId="0" applyNumberFormat="1" applyFont="1" applyFill="1" applyBorder="1" applyAlignment="1">
      <alignment horizontal="center" vertical="center" wrapText="1"/>
    </xf>
    <xf numFmtId="165" fontId="59" fillId="50" borderId="0" xfId="0" applyNumberFormat="1" applyFont="1" applyFill="1" applyAlignment="1">
      <alignment horizontal="right" vertical="center"/>
    </xf>
    <xf numFmtId="1" fontId="60" fillId="2" borderId="0" xfId="0" applyNumberFormat="1" applyFont="1" applyFill="1" applyAlignment="1">
      <alignment horizontal="right" vertical="center"/>
    </xf>
    <xf numFmtId="165" fontId="61" fillId="50" borderId="0" xfId="0" applyNumberFormat="1" applyFont="1" applyFill="1" applyAlignment="1">
      <alignment horizontal="center" vertical="center"/>
    </xf>
    <xf numFmtId="165" fontId="0" fillId="50" borderId="0" xfId="0" applyNumberFormat="1" applyFont="1" applyFill="1" applyAlignment="1">
      <alignment horizontal="right" vertical="center"/>
    </xf>
    <xf numFmtId="165" fontId="62" fillId="50" borderId="0" xfId="0" applyNumberFormat="1" applyFont="1" applyFill="1" applyAlignment="1">
      <alignment horizontal="right" vertical="center"/>
    </xf>
    <xf numFmtId="14" fontId="62" fillId="50" borderId="0" xfId="0" applyNumberFormat="1" applyFont="1" applyFill="1" applyAlignment="1">
      <alignment horizontal="right" vertical="center"/>
    </xf>
    <xf numFmtId="169" fontId="62" fillId="2" borderId="0" xfId="0" applyNumberFormat="1" applyFont="1" applyFill="1" applyAlignment="1">
      <alignment horizontal="right" vertical="center"/>
    </xf>
    <xf numFmtId="165" fontId="62" fillId="2" borderId="0" xfId="0" applyNumberFormat="1" applyFont="1" applyFill="1" applyAlignment="1">
      <alignment horizontal="right" vertical="center"/>
    </xf>
    <xf numFmtId="165" fontId="62" fillId="52" borderId="0" xfId="0" applyNumberFormat="1" applyFont="1" applyFill="1" applyAlignment="1">
      <alignment horizontal="right" vertical="center"/>
    </xf>
    <xf numFmtId="165" fontId="62" fillId="49" borderId="0" xfId="0" applyNumberFormat="1" applyFont="1" applyFill="1" applyAlignment="1">
      <alignment horizontal="right" vertical="center"/>
    </xf>
    <xf numFmtId="165" fontId="62" fillId="0" borderId="0" xfId="0" applyNumberFormat="1" applyFont="1" applyAlignment="1">
      <alignment horizontal="right" vertical="center"/>
    </xf>
    <xf numFmtId="165" fontId="63" fillId="50" borderId="0" xfId="0" applyNumberFormat="1" applyFont="1" applyFill="1" applyAlignment="1">
      <alignment horizontal="right" vertical="center"/>
    </xf>
    <xf numFmtId="1" fontId="10" fillId="2" borderId="0" xfId="0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0" fontId="64" fillId="53" borderId="8" xfId="0" applyFont="1" applyFill="1" applyBorder="1" applyAlignment="1">
      <alignment horizontal="center" vertical="center" wrapText="1"/>
    </xf>
    <xf numFmtId="169" fontId="64" fillId="53" borderId="7" xfId="0" applyNumberFormat="1" applyFont="1" applyFill="1" applyBorder="1" applyAlignment="1">
      <alignment horizontal="center" vertical="center" wrapText="1"/>
    </xf>
    <xf numFmtId="165" fontId="65" fillId="50" borderId="0" xfId="0" applyNumberFormat="1" applyFont="1" applyFill="1" applyAlignment="1">
      <alignment horizontal="right" vertical="center"/>
    </xf>
    <xf numFmtId="1" fontId="53" fillId="2" borderId="0" xfId="0" applyNumberFormat="1" applyFont="1" applyFill="1" applyAlignment="1">
      <alignment horizontal="right" vertical="center"/>
    </xf>
    <xf numFmtId="165" fontId="6" fillId="10" borderId="7" xfId="0" applyNumberFormat="1" applyFont="1" applyFill="1" applyBorder="1" applyAlignment="1">
      <alignment horizontal="right" vertical="center"/>
    </xf>
    <xf numFmtId="165" fontId="6" fillId="6" borderId="7" xfId="0" applyNumberFormat="1" applyFont="1" applyFill="1" applyBorder="1" applyAlignment="1">
      <alignment horizontal="right" vertical="center"/>
    </xf>
    <xf numFmtId="9" fontId="6" fillId="2" borderId="7" xfId="2" applyFont="1" applyFill="1" applyBorder="1" applyAlignment="1">
      <alignment horizontal="right" vertical="center"/>
    </xf>
    <xf numFmtId="169" fontId="6" fillId="43" borderId="7" xfId="2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6" fillId="50" borderId="0" xfId="0" applyNumberFormat="1" applyFont="1" applyFill="1" applyAlignment="1">
      <alignment horizontal="right" vertical="center"/>
    </xf>
    <xf numFmtId="165" fontId="6" fillId="52" borderId="0" xfId="0" applyNumberFormat="1" applyFont="1" applyFill="1" applyAlignment="1">
      <alignment horizontal="right" vertical="center"/>
    </xf>
    <xf numFmtId="165" fontId="6" fillId="49" borderId="0" xfId="0" applyNumberFormat="1" applyFont="1" applyFill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53" fillId="10" borderId="10" xfId="0" applyFont="1" applyFill="1" applyBorder="1" applyAlignment="1">
      <alignment horizontal="left" vertical="center" wrapText="1"/>
    </xf>
    <xf numFmtId="0" fontId="53" fillId="10" borderId="31" xfId="0" applyFont="1" applyFill="1" applyBorder="1" applyAlignment="1">
      <alignment horizontal="left" vertical="center" wrapText="1"/>
    </xf>
    <xf numFmtId="165" fontId="57" fillId="2" borderId="0" xfId="0" applyNumberFormat="1" applyFont="1" applyFill="1" applyAlignment="1">
      <alignment horizontal="right" vertical="center"/>
    </xf>
    <xf numFmtId="165" fontId="66" fillId="2" borderId="0" xfId="0" applyNumberFormat="1" applyFont="1" applyFill="1" applyBorder="1" applyAlignment="1">
      <alignment horizontal="center" vertical="center" wrapText="1"/>
    </xf>
    <xf numFmtId="0" fontId="66" fillId="2" borderId="7" xfId="0" applyFont="1" applyFill="1" applyBorder="1" applyAlignment="1">
      <alignment vertical="center"/>
    </xf>
    <xf numFmtId="165" fontId="57" fillId="2" borderId="0" xfId="0" applyNumberFormat="1" applyFont="1" applyFill="1" applyBorder="1" applyAlignment="1">
      <alignment horizontal="right" vertical="center"/>
    </xf>
    <xf numFmtId="165" fontId="57" fillId="2" borderId="7" xfId="1" applyNumberFormat="1" applyFont="1" applyFill="1" applyBorder="1" applyAlignment="1">
      <alignment horizontal="right" vertical="center"/>
    </xf>
    <xf numFmtId="9" fontId="57" fillId="2" borderId="7" xfId="2" applyFont="1" applyFill="1" applyBorder="1" applyAlignment="1">
      <alignment horizontal="right" vertical="center"/>
    </xf>
    <xf numFmtId="169" fontId="57" fillId="2" borderId="7" xfId="1" applyNumberFormat="1" applyFont="1" applyFill="1" applyBorder="1" applyAlignment="1">
      <alignment horizontal="right" vertical="center"/>
    </xf>
    <xf numFmtId="165" fontId="55" fillId="51" borderId="8" xfId="0" applyNumberFormat="1" applyFont="1" applyFill="1" applyBorder="1" applyAlignment="1">
      <alignment horizontal="center" vertical="center" wrapText="1"/>
    </xf>
    <xf numFmtId="165" fontId="6" fillId="10" borderId="7" xfId="0" applyNumberFormat="1" applyFont="1" applyFill="1" applyBorder="1" applyAlignment="1">
      <alignment horizontal="left" vertical="center"/>
    </xf>
    <xf numFmtId="165" fontId="6" fillId="2" borderId="11" xfId="0" applyNumberFormat="1" applyFont="1" applyFill="1" applyBorder="1" applyAlignment="1">
      <alignment horizontal="right" vertical="center"/>
    </xf>
    <xf numFmtId="165" fontId="65" fillId="2" borderId="0" xfId="0" applyNumberFormat="1" applyFont="1" applyFill="1" applyAlignment="1">
      <alignment horizontal="right" vertical="center"/>
    </xf>
    <xf numFmtId="165" fontId="67" fillId="2" borderId="0" xfId="0" applyNumberFormat="1" applyFont="1" applyFill="1" applyBorder="1" applyAlignment="1">
      <alignment horizontal="center" vertical="center" wrapText="1"/>
    </xf>
    <xf numFmtId="165" fontId="65" fillId="2" borderId="0" xfId="0" applyNumberFormat="1" applyFont="1" applyFill="1" applyBorder="1" applyAlignment="1">
      <alignment horizontal="right" vertical="center"/>
    </xf>
    <xf numFmtId="165" fontId="65" fillId="2" borderId="7" xfId="1" applyNumberFormat="1" applyFont="1" applyFill="1" applyBorder="1" applyAlignment="1">
      <alignment horizontal="right" vertical="center"/>
    </xf>
    <xf numFmtId="9" fontId="65" fillId="2" borderId="7" xfId="2" applyFont="1" applyFill="1" applyBorder="1" applyAlignment="1">
      <alignment horizontal="right" vertical="center"/>
    </xf>
    <xf numFmtId="169" fontId="65" fillId="2" borderId="7" xfId="1" applyNumberFormat="1" applyFont="1" applyFill="1" applyBorder="1" applyAlignment="1">
      <alignment horizontal="right" vertical="center"/>
    </xf>
    <xf numFmtId="165" fontId="6" fillId="10" borderId="7" xfId="0" applyNumberFormat="1" applyFont="1" applyFill="1" applyBorder="1" applyAlignment="1">
      <alignment horizontal="left" vertical="center" wrapText="1"/>
    </xf>
    <xf numFmtId="165" fontId="68" fillId="2" borderId="0" xfId="0" applyNumberFormat="1" applyFont="1" applyFill="1" applyAlignment="1">
      <alignment horizontal="right" vertical="center"/>
    </xf>
    <xf numFmtId="1" fontId="53" fillId="2" borderId="0" xfId="31630" applyNumberFormat="1" applyFont="1" applyFill="1" applyBorder="1" applyAlignment="1">
      <alignment horizontal="right" vertical="center" wrapText="1"/>
    </xf>
    <xf numFmtId="165" fontId="6" fillId="54" borderId="24" xfId="0" applyNumberFormat="1" applyFont="1" applyFill="1" applyBorder="1" applyAlignment="1">
      <alignment horizontal="left" vertical="center" wrapText="1"/>
    </xf>
    <xf numFmtId="165" fontId="6" fillId="10" borderId="31" xfId="0" applyNumberFormat="1" applyFont="1" applyFill="1" applyBorder="1" applyAlignment="1">
      <alignment horizontal="right" vertical="center"/>
    </xf>
    <xf numFmtId="165" fontId="6" fillId="6" borderId="31" xfId="0" applyNumberFormat="1" applyFont="1" applyFill="1" applyBorder="1" applyAlignment="1">
      <alignment horizontal="right" vertical="center"/>
    </xf>
    <xf numFmtId="0" fontId="6" fillId="43" borderId="7" xfId="0" applyFont="1" applyFill="1" applyBorder="1" applyAlignment="1">
      <alignment horizontal="right" vertical="center"/>
    </xf>
    <xf numFmtId="165" fontId="6" fillId="54" borderId="3" xfId="0" applyNumberFormat="1" applyFont="1" applyFill="1" applyBorder="1" applyAlignment="1">
      <alignment horizontal="left" vertical="center" wrapText="1"/>
    </xf>
    <xf numFmtId="165" fontId="6" fillId="10" borderId="12" xfId="0" applyNumberFormat="1" applyFont="1" applyFill="1" applyBorder="1" applyAlignment="1">
      <alignment horizontal="right" vertical="center"/>
    </xf>
    <xf numFmtId="165" fontId="6" fillId="2" borderId="12" xfId="0" applyNumberFormat="1" applyFont="1" applyFill="1" applyBorder="1" applyAlignment="1">
      <alignment horizontal="right" vertical="center"/>
    </xf>
    <xf numFmtId="165" fontId="6" fillId="6" borderId="12" xfId="0" applyNumberFormat="1" applyFont="1" applyFill="1" applyBorder="1" applyAlignment="1">
      <alignment horizontal="right" vertical="center"/>
    </xf>
    <xf numFmtId="165" fontId="6" fillId="46" borderId="12" xfId="0" applyNumberFormat="1" applyFont="1" applyFill="1" applyBorder="1" applyAlignment="1">
      <alignment horizontal="right" vertical="center"/>
    </xf>
    <xf numFmtId="165" fontId="6" fillId="10" borderId="12" xfId="31630" applyNumberFormat="1" applyFont="1" applyFill="1" applyBorder="1" applyAlignment="1">
      <alignment horizontal="right" vertical="center" wrapText="1"/>
    </xf>
    <xf numFmtId="165" fontId="6" fillId="2" borderId="12" xfId="31630" applyNumberFormat="1" applyFont="1" applyFill="1" applyBorder="1" applyAlignment="1">
      <alignment horizontal="right" vertical="center" wrapText="1"/>
    </xf>
    <xf numFmtId="165" fontId="53" fillId="54" borderId="3" xfId="0" applyNumberFormat="1" applyFont="1" applyFill="1" applyBorder="1" applyAlignment="1">
      <alignment horizontal="left" vertical="center" wrapText="1"/>
    </xf>
    <xf numFmtId="169" fontId="58" fillId="43" borderId="7" xfId="2" applyNumberFormat="1" applyFont="1" applyFill="1" applyBorder="1" applyAlignment="1">
      <alignment horizontal="right" vertical="center"/>
    </xf>
    <xf numFmtId="1" fontId="53" fillId="5" borderId="0" xfId="31630" applyNumberFormat="1" applyFont="1" applyFill="1" applyBorder="1" applyAlignment="1">
      <alignment horizontal="right" vertical="center" wrapText="1"/>
    </xf>
    <xf numFmtId="169" fontId="6" fillId="47" borderId="7" xfId="2" applyNumberFormat="1" applyFont="1" applyFill="1" applyBorder="1" applyAlignment="1">
      <alignment horizontal="right" vertical="center"/>
    </xf>
    <xf numFmtId="165" fontId="6" fillId="2" borderId="10" xfId="0" applyNumberFormat="1" applyFont="1" applyFill="1" applyBorder="1" applyAlignment="1">
      <alignment horizontal="right" vertical="center"/>
    </xf>
    <xf numFmtId="165" fontId="6" fillId="10" borderId="32" xfId="0" applyNumberFormat="1" applyFont="1" applyFill="1" applyBorder="1" applyAlignment="1">
      <alignment horizontal="right" vertical="center"/>
    </xf>
    <xf numFmtId="165" fontId="6" fillId="6" borderId="32" xfId="0" applyNumberFormat="1" applyFont="1" applyFill="1" applyBorder="1" applyAlignment="1">
      <alignment horizontal="right" vertical="center"/>
    </xf>
    <xf numFmtId="165" fontId="53" fillId="10" borderId="12" xfId="0" applyNumberFormat="1" applyFont="1" applyFill="1" applyBorder="1" applyAlignment="1">
      <alignment horizontal="right" vertical="center" wrapText="1"/>
    </xf>
    <xf numFmtId="169" fontId="6" fillId="55" borderId="7" xfId="2" applyNumberFormat="1" applyFont="1" applyFill="1" applyBorder="1" applyAlignment="1">
      <alignment horizontal="right" vertical="center"/>
    </xf>
    <xf numFmtId="165" fontId="69" fillId="2" borderId="0" xfId="0" applyNumberFormat="1" applyFont="1" applyFill="1" applyAlignment="1">
      <alignment horizontal="right" vertical="center"/>
    </xf>
    <xf numFmtId="165" fontId="6" fillId="54" borderId="9" xfId="0" applyNumberFormat="1" applyFont="1" applyFill="1" applyBorder="1" applyAlignment="1">
      <alignment horizontal="left" vertical="center" wrapText="1"/>
    </xf>
    <xf numFmtId="165" fontId="69" fillId="50" borderId="0" xfId="0" applyNumberFormat="1" applyFont="1" applyFill="1" applyAlignment="1">
      <alignment horizontal="right" vertical="center"/>
    </xf>
    <xf numFmtId="165" fontId="65" fillId="2" borderId="0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/>
    </xf>
    <xf numFmtId="165" fontId="55" fillId="51" borderId="7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 wrapText="1"/>
    </xf>
    <xf numFmtId="169" fontId="6" fillId="6" borderId="7" xfId="2" applyNumberFormat="1" applyFont="1" applyFill="1" applyBorder="1" applyAlignment="1">
      <alignment horizontal="right" vertical="center"/>
    </xf>
    <xf numFmtId="165" fontId="68" fillId="2" borderId="0" xfId="0" applyNumberFormat="1" applyFont="1" applyFill="1" applyBorder="1" applyAlignment="1">
      <alignment horizontal="right" vertical="center"/>
    </xf>
    <xf numFmtId="165" fontId="68" fillId="50" borderId="0" xfId="0" applyNumberFormat="1" applyFont="1" applyFill="1" applyAlignment="1">
      <alignment horizontal="right" vertical="center"/>
    </xf>
    <xf numFmtId="165" fontId="65" fillId="2" borderId="0" xfId="1" applyNumberFormat="1" applyFont="1" applyFill="1" applyBorder="1" applyAlignment="1">
      <alignment horizontal="right" vertical="center"/>
    </xf>
    <xf numFmtId="9" fontId="65" fillId="2" borderId="0" xfId="2" applyFont="1" applyFill="1" applyBorder="1" applyAlignment="1">
      <alignment horizontal="right" vertical="center"/>
    </xf>
    <xf numFmtId="169" fontId="65" fillId="2" borderId="0" xfId="1" applyNumberFormat="1" applyFont="1" applyFill="1" applyBorder="1" applyAlignment="1">
      <alignment horizontal="right" vertical="center"/>
    </xf>
    <xf numFmtId="165" fontId="70" fillId="50" borderId="0" xfId="0" applyNumberFormat="1" applyFont="1" applyFill="1" applyAlignment="1">
      <alignment horizontal="center" vertical="center"/>
    </xf>
    <xf numFmtId="165" fontId="55" fillId="2" borderId="0" xfId="0" applyNumberFormat="1" applyFont="1" applyFill="1" applyBorder="1" applyAlignment="1">
      <alignment horizontal="right" vertical="center"/>
    </xf>
    <xf numFmtId="165" fontId="68" fillId="50" borderId="0" xfId="0" applyNumberFormat="1" applyFont="1" applyFill="1" applyBorder="1" applyAlignment="1">
      <alignment horizontal="right" vertical="center"/>
    </xf>
    <xf numFmtId="14" fontId="68" fillId="50" borderId="0" xfId="0" applyNumberFormat="1" applyFont="1" applyFill="1" applyBorder="1" applyAlignment="1">
      <alignment horizontal="right" vertical="center"/>
    </xf>
    <xf numFmtId="169" fontId="6" fillId="2" borderId="0" xfId="2" applyNumberFormat="1" applyFont="1" applyFill="1" applyAlignment="1">
      <alignment horizontal="right" vertical="center"/>
    </xf>
    <xf numFmtId="165" fontId="55" fillId="50" borderId="0" xfId="0" applyNumberFormat="1" applyFont="1" applyFill="1" applyAlignment="1">
      <alignment horizontal="center" vertical="center"/>
    </xf>
    <xf numFmtId="14" fontId="6" fillId="50" borderId="0" xfId="0" applyNumberFormat="1" applyFont="1" applyFill="1" applyAlignment="1">
      <alignment horizontal="right" vertical="center"/>
    </xf>
    <xf numFmtId="165" fontId="6" fillId="50" borderId="0" xfId="0" applyNumberFormat="1" applyFont="1" applyFill="1" applyAlignment="1">
      <alignment horizontal="right"/>
    </xf>
    <xf numFmtId="14" fontId="6" fillId="50" borderId="0" xfId="0" applyNumberFormat="1" applyFont="1" applyFill="1" applyAlignment="1">
      <alignment horizontal="right"/>
    </xf>
    <xf numFmtId="169" fontId="6" fillId="2" borderId="0" xfId="2" applyNumberFormat="1" applyFont="1" applyFill="1" applyAlignment="1">
      <alignment horizontal="right"/>
    </xf>
    <xf numFmtId="165" fontId="4" fillId="50" borderId="0" xfId="0" applyNumberFormat="1" applyFont="1" applyFill="1" applyAlignment="1">
      <alignment horizontal="center" vertical="center"/>
    </xf>
    <xf numFmtId="14" fontId="0" fillId="50" borderId="0" xfId="0" applyNumberFormat="1" applyFont="1" applyFill="1" applyAlignment="1">
      <alignment horizontal="right" vertical="center"/>
    </xf>
    <xf numFmtId="169" fontId="0" fillId="2" borderId="0" xfId="2" applyNumberFormat="1" applyFont="1" applyFill="1" applyAlignment="1">
      <alignment horizontal="right" vertical="center"/>
    </xf>
    <xf numFmtId="169" fontId="62" fillId="2" borderId="0" xfId="2" applyNumberFormat="1" applyFont="1" applyFill="1" applyAlignment="1">
      <alignment horizontal="right" vertical="center"/>
    </xf>
    <xf numFmtId="165" fontId="61" fillId="0" borderId="0" xfId="0" applyNumberFormat="1" applyFont="1" applyAlignment="1">
      <alignment horizontal="center" vertical="center"/>
    </xf>
    <xf numFmtId="14" fontId="62" fillId="0" borderId="0" xfId="0" applyNumberFormat="1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13" borderId="7" xfId="0" applyFont="1" applyFill="1" applyBorder="1" applyAlignment="1">
      <alignment vertical="center"/>
    </xf>
    <xf numFmtId="0" fontId="11" fillId="13" borderId="7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 wrapText="1"/>
    </xf>
    <xf numFmtId="9" fontId="11" fillId="13" borderId="7" xfId="0" applyNumberFormat="1" applyFont="1" applyFill="1" applyBorder="1" applyAlignment="1">
      <alignment horizontal="center" vertical="center" wrapText="1"/>
    </xf>
    <xf numFmtId="0" fontId="71" fillId="56" borderId="7" xfId="0" applyFont="1" applyFill="1" applyBorder="1" applyAlignment="1">
      <alignment horizontal="center" vertical="center" wrapText="1"/>
    </xf>
    <xf numFmtId="165" fontId="11" fillId="13" borderId="7" xfId="0" applyNumberFormat="1" applyFont="1" applyFill="1" applyBorder="1" applyAlignment="1">
      <alignment horizontal="center" vertical="center" wrapText="1"/>
    </xf>
    <xf numFmtId="0" fontId="11" fillId="13" borderId="7" xfId="0" applyNumberFormat="1" applyFont="1" applyFill="1" applyBorder="1" applyAlignment="1">
      <alignment horizontal="center" vertical="center" wrapText="1"/>
    </xf>
    <xf numFmtId="169" fontId="11" fillId="13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38" borderId="1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2" fontId="10" fillId="13" borderId="10" xfId="0" applyNumberFormat="1" applyFont="1" applyFill="1" applyBorder="1" applyAlignment="1">
      <alignment horizontal="right" vertical="center"/>
    </xf>
    <xf numFmtId="165" fontId="10" fillId="2" borderId="7" xfId="0" applyNumberFormat="1" applyFont="1" applyFill="1" applyBorder="1" applyAlignment="1">
      <alignment horizontal="right" vertical="center"/>
    </xf>
    <xf numFmtId="169" fontId="10" fillId="43" borderId="7" xfId="0" applyNumberFormat="1" applyFont="1" applyFill="1" applyBorder="1" applyAlignment="1">
      <alignment horizontal="center" vertical="center"/>
    </xf>
    <xf numFmtId="9" fontId="10" fillId="2" borderId="7" xfId="2" applyFont="1" applyFill="1" applyBorder="1" applyAlignment="1">
      <alignment horizontal="right" vertical="center"/>
    </xf>
    <xf numFmtId="0" fontId="10" fillId="38" borderId="7" xfId="0" applyFont="1" applyFill="1" applyBorder="1" applyAlignment="1">
      <alignment horizontal="left" wrapText="1"/>
    </xf>
    <xf numFmtId="0" fontId="10" fillId="38" borderId="7" xfId="0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2" fontId="10" fillId="13" borderId="7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2" fontId="10" fillId="2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Alignment="1">
      <alignment horizontal="center" vertical="center"/>
    </xf>
    <xf numFmtId="10" fontId="10" fillId="2" borderId="0" xfId="2" applyNumberFormat="1" applyFont="1" applyFill="1" applyBorder="1" applyAlignment="1">
      <alignment horizontal="right" vertical="center"/>
    </xf>
    <xf numFmtId="0" fontId="11" fillId="38" borderId="7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center" vertical="center"/>
    </xf>
    <xf numFmtId="2" fontId="10" fillId="2" borderId="34" xfId="0" applyNumberFormat="1" applyFont="1" applyFill="1" applyBorder="1" applyAlignment="1">
      <alignment horizontal="right" vertical="center"/>
    </xf>
    <xf numFmtId="2" fontId="10" fillId="2" borderId="35" xfId="0" applyNumberFormat="1" applyFont="1" applyFill="1" applyBorder="1" applyAlignment="1">
      <alignment horizontal="right" vertical="center"/>
    </xf>
    <xf numFmtId="169" fontId="10" fillId="2" borderId="35" xfId="0" applyNumberFormat="1" applyFont="1" applyFill="1" applyBorder="1" applyAlignment="1">
      <alignment horizontal="center" vertical="center"/>
    </xf>
    <xf numFmtId="10" fontId="10" fillId="2" borderId="31" xfId="2" applyNumberFormat="1" applyFont="1" applyFill="1" applyBorder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0" fontId="10" fillId="2" borderId="0" xfId="0" applyNumberFormat="1" applyFont="1" applyFill="1" applyAlignment="1">
      <alignment horizontal="right" vertical="center"/>
    </xf>
    <xf numFmtId="0" fontId="11" fillId="38" borderId="7" xfId="0" applyFont="1" applyFill="1" applyBorder="1" applyAlignment="1">
      <alignment wrapText="1"/>
    </xf>
    <xf numFmtId="0" fontId="10" fillId="38" borderId="8" xfId="0" applyFont="1" applyFill="1" applyBorder="1" applyAlignment="1">
      <alignment horizontal="center" vertical="center" wrapText="1"/>
    </xf>
    <xf numFmtId="169" fontId="53" fillId="47" borderId="7" xfId="2" applyNumberFormat="1" applyFont="1" applyFill="1" applyBorder="1" applyAlignment="1">
      <alignment horizontal="center" vertical="center" wrapText="1"/>
    </xf>
    <xf numFmtId="2" fontId="10" fillId="38" borderId="7" xfId="0" applyNumberFormat="1" applyFont="1" applyFill="1" applyBorder="1" applyAlignment="1">
      <alignment horizontal="left" wrapText="1"/>
    </xf>
    <xf numFmtId="169" fontId="8" fillId="47" borderId="7" xfId="2" applyNumberFormat="1" applyFont="1" applyFill="1" applyBorder="1" applyAlignment="1">
      <alignment horizontal="center" vertical="center" wrapText="1"/>
    </xf>
    <xf numFmtId="169" fontId="10" fillId="47" borderId="7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right" vertical="center"/>
    </xf>
    <xf numFmtId="0" fontId="10" fillId="2" borderId="5" xfId="0" applyNumberFormat="1" applyFont="1" applyFill="1" applyBorder="1" applyAlignment="1">
      <alignment horizontal="right" vertical="center"/>
    </xf>
    <xf numFmtId="169" fontId="10" fillId="2" borderId="5" xfId="0" applyNumberFormat="1" applyFont="1" applyFill="1" applyBorder="1" applyAlignment="1">
      <alignment horizontal="center" vertical="center"/>
    </xf>
    <xf numFmtId="169" fontId="10" fillId="2" borderId="7" xfId="0" applyNumberFormat="1" applyFont="1" applyFill="1" applyBorder="1" applyAlignment="1">
      <alignment horizontal="center" vertical="center"/>
    </xf>
    <xf numFmtId="10" fontId="10" fillId="2" borderId="7" xfId="2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9" fontId="10" fillId="2" borderId="0" xfId="2" applyFont="1" applyFill="1" applyAlignment="1">
      <alignment horizontal="right" vertical="center"/>
    </xf>
    <xf numFmtId="165" fontId="10" fillId="2" borderId="0" xfId="0" applyNumberFormat="1" applyFont="1" applyFill="1" applyAlignment="1">
      <alignment vertical="center"/>
    </xf>
    <xf numFmtId="0" fontId="10" fillId="2" borderId="0" xfId="0" applyNumberFormat="1" applyFont="1" applyFill="1" applyAlignment="1">
      <alignment vertical="center"/>
    </xf>
    <xf numFmtId="0" fontId="6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3" borderId="8" xfId="0" applyFont="1" applyFill="1" applyBorder="1" applyAlignment="1">
      <alignment horizontal="center" vertical="center"/>
    </xf>
    <xf numFmtId="0" fontId="0" fillId="43" borderId="7" xfId="0" applyFont="1" applyFill="1" applyBorder="1" applyAlignment="1">
      <alignment horizontal="center" vertical="center"/>
    </xf>
    <xf numFmtId="0" fontId="48" fillId="56" borderId="7" xfId="0" applyFont="1" applyFill="1" applyBorder="1" applyAlignment="1">
      <alignment horizontal="center" vertical="center" wrapText="1"/>
    </xf>
    <xf numFmtId="0" fontId="60" fillId="43" borderId="7" xfId="0" applyFont="1" applyFill="1" applyBorder="1" applyAlignment="1">
      <alignment horizontal="center" vertical="center" wrapText="1"/>
    </xf>
    <xf numFmtId="0" fontId="60" fillId="43" borderId="8" xfId="0" applyFont="1" applyFill="1" applyBorder="1" applyAlignment="1">
      <alignment horizontal="center" vertical="center" wrapText="1"/>
    </xf>
    <xf numFmtId="9" fontId="0" fillId="10" borderId="7" xfId="2" applyFont="1" applyFill="1" applyBorder="1" applyAlignment="1">
      <alignment horizontal="center" vertical="center" wrapText="1"/>
    </xf>
    <xf numFmtId="0" fontId="60" fillId="3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right" vertical="center"/>
    </xf>
    <xf numFmtId="0" fontId="0" fillId="7" borderId="7" xfId="0" applyFont="1" applyFill="1" applyBorder="1" applyAlignment="1">
      <alignment horizontal="right" vertical="center"/>
    </xf>
    <xf numFmtId="0" fontId="0" fillId="43" borderId="7" xfId="0" applyFont="1" applyFill="1" applyBorder="1" applyAlignment="1">
      <alignment horizontal="right" vertical="center"/>
    </xf>
    <xf numFmtId="0" fontId="0" fillId="43" borderId="7" xfId="0" applyFill="1" applyBorder="1" applyAlignment="1">
      <alignment horizontal="center" vertical="center"/>
    </xf>
    <xf numFmtId="9" fontId="0" fillId="10" borderId="7" xfId="2" applyFont="1" applyFill="1" applyBorder="1" applyAlignment="1">
      <alignment horizontal="center" vertical="center"/>
    </xf>
    <xf numFmtId="0" fontId="0" fillId="47" borderId="7" xfId="0" applyFill="1" applyBorder="1" applyAlignment="1">
      <alignment horizontal="center" vertical="center"/>
    </xf>
    <xf numFmtId="0" fontId="60" fillId="6" borderId="7" xfId="0" applyFont="1" applyFill="1" applyBorder="1" applyAlignment="1">
      <alignment vertical="center" wrapText="1"/>
    </xf>
    <xf numFmtId="14" fontId="0" fillId="47" borderId="7" xfId="0" applyNumberFormat="1" applyFont="1" applyFill="1" applyBorder="1" applyAlignment="1">
      <alignment horizontal="center" vertical="center"/>
    </xf>
    <xf numFmtId="14" fontId="0" fillId="47" borderId="7" xfId="0" applyNumberForma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7" xfId="0" applyFont="1" applyFill="1" applyBorder="1" applyAlignment="1">
      <alignment horizontal="right" vertical="center"/>
    </xf>
    <xf numFmtId="9" fontId="0" fillId="11" borderId="7" xfId="2" applyFont="1" applyFill="1" applyBorder="1" applyAlignment="1">
      <alignment horizontal="center" vertical="center"/>
    </xf>
    <xf numFmtId="0" fontId="6" fillId="0" borderId="0" xfId="0" applyFont="1" applyBorder="1"/>
    <xf numFmtId="0" fontId="0" fillId="57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57" borderId="0" xfId="0" applyFill="1" applyBorder="1" applyAlignment="1">
      <alignment vertical="center"/>
    </xf>
    <xf numFmtId="0" fontId="0" fillId="57" borderId="0" xfId="0" applyFill="1" applyBorder="1" applyAlignment="1">
      <alignment vertical="center"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0" fillId="0" borderId="7" xfId="0" applyBorder="1"/>
    <xf numFmtId="1" fontId="10" fillId="49" borderId="7" xfId="0" applyNumberFormat="1" applyFont="1" applyFill="1" applyBorder="1" applyAlignment="1">
      <alignment horizontal="center" vertical="center"/>
    </xf>
    <xf numFmtId="1" fontId="3" fillId="49" borderId="7" xfId="0" applyNumberFormat="1" applyFont="1" applyFill="1" applyBorder="1" applyAlignment="1">
      <alignment horizontal="center" vertical="center"/>
    </xf>
    <xf numFmtId="1" fontId="1" fillId="49" borderId="7" xfId="1" applyNumberFormat="1" applyFont="1" applyFill="1" applyBorder="1" applyAlignment="1">
      <alignment horizontal="center" vertical="center"/>
    </xf>
    <xf numFmtId="0" fontId="10" fillId="49" borderId="7" xfId="0" applyNumberFormat="1" applyFont="1" applyFill="1" applyBorder="1" applyAlignment="1">
      <alignment horizontal="center"/>
    </xf>
    <xf numFmtId="1" fontId="11" fillId="49" borderId="7" xfId="1" applyNumberFormat="1" applyFont="1" applyFill="1" applyBorder="1" applyAlignment="1">
      <alignment horizontal="center" vertical="center"/>
    </xf>
    <xf numFmtId="2" fontId="12" fillId="49" borderId="7" xfId="1" applyNumberFormat="1" applyFont="1" applyFill="1" applyBorder="1" applyAlignment="1">
      <alignment horizontal="center" vertical="center"/>
    </xf>
    <xf numFmtId="2" fontId="11" fillId="49" borderId="7" xfId="1" applyNumberFormat="1" applyFont="1" applyFill="1" applyBorder="1" applyAlignment="1">
      <alignment horizontal="center" vertical="center"/>
    </xf>
    <xf numFmtId="165" fontId="0" fillId="43" borderId="7" xfId="0" applyNumberFormat="1" applyFont="1" applyFill="1" applyBorder="1" applyAlignment="1">
      <alignment horizontal="right" vertical="center"/>
    </xf>
    <xf numFmtId="2" fontId="0" fillId="43" borderId="7" xfId="0" applyNumberFormat="1" applyFont="1" applyFill="1" applyBorder="1" applyAlignment="1">
      <alignment horizontal="right" vertical="center"/>
    </xf>
    <xf numFmtId="0" fontId="0" fillId="5" borderId="7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31" fillId="12" borderId="7" xfId="31625" applyFont="1" applyFill="1" applyBorder="1" applyAlignment="1">
      <alignment wrapText="1"/>
    </xf>
    <xf numFmtId="0" fontId="31" fillId="0" borderId="7" xfId="31625" applyFont="1" applyFill="1" applyBorder="1" applyAlignment="1">
      <alignment wrapText="1"/>
    </xf>
    <xf numFmtId="0" fontId="31" fillId="37" borderId="7" xfId="31625" applyFont="1" applyFill="1" applyBorder="1" applyAlignment="1">
      <alignment wrapText="1"/>
    </xf>
    <xf numFmtId="0" fontId="31" fillId="11" borderId="7" xfId="31625" applyFont="1" applyFill="1" applyBorder="1" applyAlignment="1">
      <alignment wrapText="1"/>
    </xf>
    <xf numFmtId="0" fontId="31" fillId="11" borderId="7" xfId="31625" applyFont="1" applyFill="1" applyBorder="1" applyAlignment="1">
      <alignment horizontal="center" wrapText="1"/>
    </xf>
    <xf numFmtId="0" fontId="2" fillId="63" borderId="7" xfId="0" applyFont="1" applyFill="1" applyBorder="1" applyAlignment="1">
      <alignment horizontal="center" vertical="center"/>
    </xf>
    <xf numFmtId="0" fontId="2" fillId="63" borderId="7" xfId="31626" applyFont="1" applyFill="1" applyBorder="1" applyAlignment="1">
      <alignment horizontal="center" vertical="center"/>
    </xf>
    <xf numFmtId="0" fontId="2" fillId="64" borderId="7" xfId="31625" applyFont="1" applyFill="1" applyBorder="1" applyAlignment="1">
      <alignment horizontal="center" vertical="center"/>
    </xf>
    <xf numFmtId="0" fontId="2" fillId="64" borderId="7" xfId="31625" applyFont="1" applyFill="1" applyBorder="1" applyAlignment="1">
      <alignment horizontal="center" vertical="center" wrapText="1"/>
    </xf>
    <xf numFmtId="0" fontId="2" fillId="64" borderId="7" xfId="31626" applyFont="1" applyFill="1" applyBorder="1" applyAlignment="1">
      <alignment horizontal="center" vertical="center" wrapText="1"/>
    </xf>
    <xf numFmtId="9" fontId="2" fillId="63" borderId="7" xfId="2" applyFont="1" applyFill="1" applyBorder="1" applyAlignment="1">
      <alignment horizontal="center" vertical="center"/>
    </xf>
    <xf numFmtId="169" fontId="6" fillId="65" borderId="7" xfId="2" applyNumberFormat="1" applyFont="1" applyFill="1" applyBorder="1" applyAlignment="1">
      <alignment horizontal="right" vertical="center"/>
    </xf>
    <xf numFmtId="9" fontId="10" fillId="2" borderId="0" xfId="2" applyFont="1" applyFill="1" applyBorder="1" applyAlignment="1">
      <alignment horizontal="right" vertical="center"/>
    </xf>
    <xf numFmtId="0" fontId="10" fillId="2" borderId="7" xfId="0" applyFont="1" applyFill="1" applyBorder="1" applyAlignment="1">
      <alignment vertical="center"/>
    </xf>
    <xf numFmtId="165" fontId="10" fillId="2" borderId="7" xfId="0" applyNumberFormat="1" applyFont="1" applyFill="1" applyBorder="1" applyAlignment="1">
      <alignment vertical="center"/>
    </xf>
    <xf numFmtId="9" fontId="10" fillId="65" borderId="7" xfId="2" applyFont="1" applyFill="1" applyBorder="1" applyAlignment="1">
      <alignment horizontal="center" vertical="center"/>
    </xf>
    <xf numFmtId="165" fontId="10" fillId="65" borderId="7" xfId="0" applyNumberFormat="1" applyFont="1" applyFill="1" applyBorder="1" applyAlignment="1">
      <alignment horizontal="center" vertical="center"/>
    </xf>
    <xf numFmtId="9" fontId="10" fillId="2" borderId="7" xfId="2" applyFont="1" applyFill="1" applyBorder="1" applyAlignment="1">
      <alignment vertical="center"/>
    </xf>
    <xf numFmtId="9" fontId="10" fillId="2" borderId="7" xfId="0" applyNumberFormat="1" applyFont="1" applyFill="1" applyBorder="1" applyAlignment="1">
      <alignment vertical="center"/>
    </xf>
    <xf numFmtId="0" fontId="0" fillId="2" borderId="0" xfId="0" applyFill="1"/>
    <xf numFmtId="0" fontId="74" fillId="2" borderId="0" xfId="0" applyFont="1" applyFill="1" applyBorder="1"/>
    <xf numFmtId="0" fontId="0" fillId="0" borderId="7" xfId="0" applyNumberFormat="1" applyBorder="1"/>
    <xf numFmtId="0" fontId="74" fillId="66" borderId="7" xfId="0" applyFont="1" applyFill="1" applyBorder="1" applyAlignment="1">
      <alignment horizontal="left"/>
    </xf>
    <xf numFmtId="0" fontId="74" fillId="66" borderId="7" xfId="0" applyNumberFormat="1" applyFont="1" applyFill="1" applyBorder="1"/>
    <xf numFmtId="0" fontId="0" fillId="0" borderId="7" xfId="0" applyBorder="1" applyAlignment="1">
      <alignment horizontal="left" indent="1"/>
    </xf>
    <xf numFmtId="0" fontId="74" fillId="66" borderId="12" xfId="0" applyFont="1" applyFill="1" applyBorder="1" applyAlignment="1">
      <alignment horizontal="center"/>
    </xf>
    <xf numFmtId="0" fontId="74" fillId="66" borderId="12" xfId="0" applyFont="1" applyFill="1" applyBorder="1" applyAlignment="1">
      <alignment horizontal="left"/>
    </xf>
    <xf numFmtId="0" fontId="0" fillId="2" borderId="7" xfId="0" applyFill="1" applyBorder="1"/>
    <xf numFmtId="0" fontId="75" fillId="2" borderId="0" xfId="0" applyFont="1" applyFill="1"/>
    <xf numFmtId="9" fontId="10" fillId="2" borderId="7" xfId="2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17" fillId="0" borderId="45" xfId="42081" applyFont="1" applyFill="1" applyBorder="1" applyAlignment="1">
      <alignment horizontal="center" wrapText="1"/>
    </xf>
    <xf numFmtId="0" fontId="31" fillId="2" borderId="7" xfId="31626" applyFont="1" applyFill="1" applyBorder="1" applyAlignment="1"/>
    <xf numFmtId="0" fontId="31" fillId="11" borderId="7" xfId="31626" applyFont="1" applyFill="1" applyBorder="1" applyAlignment="1"/>
    <xf numFmtId="0" fontId="8" fillId="2" borderId="10" xfId="0" applyFont="1" applyFill="1" applyBorder="1" applyAlignment="1">
      <alignment vertical="center"/>
    </xf>
    <xf numFmtId="165" fontId="53" fillId="3" borderId="46" xfId="0" applyNumberFormat="1" applyFont="1" applyFill="1" applyBorder="1" applyAlignment="1">
      <alignment horizontal="left" vertical="center"/>
    </xf>
    <xf numFmtId="165" fontId="6" fillId="2" borderId="46" xfId="0" applyNumberFormat="1" applyFont="1" applyFill="1" applyBorder="1" applyAlignment="1">
      <alignment horizontal="right" vertical="center"/>
    </xf>
    <xf numFmtId="165" fontId="6" fillId="2" borderId="48" xfId="0" applyNumberFormat="1" applyFont="1" applyFill="1" applyBorder="1" applyAlignment="1">
      <alignment horizontal="right" vertical="center"/>
    </xf>
    <xf numFmtId="165" fontId="6" fillId="10" borderId="46" xfId="0" applyNumberFormat="1" applyFont="1" applyFill="1" applyBorder="1" applyAlignment="1">
      <alignment horizontal="right" vertical="center"/>
    </xf>
    <xf numFmtId="165" fontId="6" fillId="6" borderId="46" xfId="0" applyNumberFormat="1" applyFont="1" applyFill="1" applyBorder="1" applyAlignment="1">
      <alignment horizontal="right" vertical="center"/>
    </xf>
    <xf numFmtId="0" fontId="6" fillId="43" borderId="46" xfId="0" applyFont="1" applyFill="1" applyBorder="1" applyAlignment="1">
      <alignment horizontal="right" vertical="center"/>
    </xf>
    <xf numFmtId="9" fontId="6" fillId="2" borderId="46" xfId="2" applyFont="1" applyFill="1" applyBorder="1" applyAlignment="1">
      <alignment horizontal="right" vertical="center"/>
    </xf>
    <xf numFmtId="0" fontId="0" fillId="65" borderId="7" xfId="0" applyFill="1" applyBorder="1" applyAlignment="1">
      <alignment horizontal="center" vertical="center"/>
    </xf>
    <xf numFmtId="1" fontId="49" fillId="2" borderId="8" xfId="0" applyNumberFormat="1" applyFont="1" applyFill="1" applyBorder="1" applyAlignment="1">
      <alignment horizontal="left" vertical="center" wrapText="1"/>
    </xf>
    <xf numFmtId="14" fontId="50" fillId="2" borderId="48" xfId="0" applyNumberFormat="1" applyFont="1" applyFill="1" applyBorder="1" applyAlignment="1">
      <alignment horizontal="center" vertical="center"/>
    </xf>
    <xf numFmtId="1" fontId="49" fillId="2" borderId="49" xfId="0" applyNumberFormat="1" applyFont="1" applyFill="1" applyBorder="1" applyAlignment="1">
      <alignment horizontal="left" vertical="center" wrapText="1"/>
    </xf>
    <xf numFmtId="1" fontId="49" fillId="39" borderId="7" xfId="0" applyNumberFormat="1" applyFont="1" applyFill="1" applyBorder="1" applyAlignment="1">
      <alignment horizontal="center" vertical="center" wrapText="1"/>
    </xf>
    <xf numFmtId="168" fontId="49" fillId="39" borderId="7" xfId="0" applyNumberFormat="1" applyFont="1" applyFill="1" applyBorder="1" applyAlignment="1">
      <alignment horizontal="center" vertical="center" wrapText="1"/>
    </xf>
    <xf numFmtId="169" fontId="10" fillId="65" borderId="7" xfId="0" applyNumberFormat="1" applyFont="1" applyFill="1" applyBorder="1" applyAlignment="1">
      <alignment horizontal="center" vertical="center"/>
    </xf>
    <xf numFmtId="168" fontId="53" fillId="2" borderId="0" xfId="0" applyNumberFormat="1" applyFont="1" applyFill="1" applyAlignment="1">
      <alignment horizontal="right" vertical="center" wrapText="1"/>
    </xf>
    <xf numFmtId="165" fontId="59" fillId="2" borderId="0" xfId="0" applyNumberFormat="1" applyFont="1" applyFill="1" applyAlignment="1">
      <alignment horizontal="right" vertical="center"/>
    </xf>
    <xf numFmtId="14" fontId="13" fillId="2" borderId="0" xfId="0" applyNumberFormat="1" applyFont="1" applyFill="1" applyBorder="1" applyAlignment="1">
      <alignment horizontal="center" vertical="center"/>
    </xf>
    <xf numFmtId="2" fontId="76" fillId="2" borderId="0" xfId="0" applyNumberFormat="1" applyFont="1" applyFill="1" applyAlignment="1">
      <alignment horizontal="right" vertical="center" wrapText="1"/>
    </xf>
    <xf numFmtId="0" fontId="0" fillId="0" borderId="0" xfId="0" applyNumberFormat="1"/>
    <xf numFmtId="0" fontId="0" fillId="0" borderId="0" xfId="0" applyAlignment="1">
      <alignment horizontal="left" indent="1"/>
    </xf>
    <xf numFmtId="0" fontId="3" fillId="2" borderId="7" xfId="31626" applyFont="1" applyFill="1" applyBorder="1" applyAlignment="1"/>
    <xf numFmtId="1" fontId="12" fillId="6" borderId="7" xfId="1" applyNumberFormat="1" applyFont="1" applyFill="1" applyBorder="1" applyAlignment="1">
      <alignment horizontal="center" vertical="center"/>
    </xf>
    <xf numFmtId="9" fontId="12" fillId="6" borderId="7" xfId="2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8" fillId="2" borderId="7" xfId="42083" applyFont="1" applyFill="1" applyBorder="1" applyAlignment="1">
      <alignment horizontal="center" wrapText="1"/>
    </xf>
    <xf numFmtId="49" fontId="0" fillId="2" borderId="7" xfId="0" applyNumberFormat="1" applyFont="1" applyFill="1" applyBorder="1" applyAlignment="1">
      <alignment horizontal="right"/>
    </xf>
    <xf numFmtId="14" fontId="0" fillId="2" borderId="7" xfId="0" applyNumberFormat="1" applyFill="1" applyBorder="1" applyAlignment="1">
      <alignment horizontal="center"/>
    </xf>
    <xf numFmtId="168" fontId="3" fillId="2" borderId="0" xfId="0" applyNumberFormat="1" applyFont="1" applyFill="1" applyAlignment="1">
      <alignment horizontal="center" vertical="center"/>
    </xf>
    <xf numFmtId="168" fontId="78" fillId="2" borderId="7" xfId="42082" applyNumberFormat="1" applyFont="1" applyFill="1" applyBorder="1" applyAlignment="1">
      <alignment horizontal="center" wrapText="1"/>
    </xf>
    <xf numFmtId="168" fontId="10" fillId="2" borderId="7" xfId="0" applyNumberFormat="1" applyFont="1" applyFill="1" applyBorder="1" applyAlignment="1">
      <alignment horizontal="center"/>
    </xf>
    <xf numFmtId="165" fontId="55" fillId="10" borderId="12" xfId="0" applyNumberFormat="1" applyFont="1" applyFill="1" applyBorder="1" applyAlignment="1">
      <alignment horizontal="right" vertical="center"/>
    </xf>
    <xf numFmtId="0" fontId="10" fillId="38" borderId="7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2" fontId="10" fillId="13" borderId="7" xfId="0" applyNumberFormat="1" applyFont="1" applyFill="1" applyBorder="1" applyAlignment="1">
      <alignment horizontal="right"/>
    </xf>
    <xf numFmtId="2" fontId="10" fillId="13" borderId="10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2" fontId="0" fillId="43" borderId="7" xfId="0" applyNumberFormat="1" applyFont="1" applyFill="1" applyBorder="1" applyAlignment="1">
      <alignment horizontal="right"/>
    </xf>
    <xf numFmtId="165" fontId="0" fillId="2" borderId="7" xfId="0" applyNumberFormat="1" applyFont="1" applyFill="1" applyBorder="1" applyAlignment="1">
      <alignment horizontal="right"/>
    </xf>
    <xf numFmtId="169" fontId="10" fillId="65" borderId="7" xfId="0" applyNumberFormat="1" applyFont="1" applyFill="1" applyBorder="1" applyAlignment="1">
      <alignment horizontal="center"/>
    </xf>
    <xf numFmtId="169" fontId="6" fillId="43" borderId="7" xfId="0" applyNumberFormat="1" applyFont="1" applyFill="1" applyBorder="1" applyAlignment="1">
      <alignment horizontal="right" vertical="center"/>
    </xf>
    <xf numFmtId="165" fontId="6" fillId="2" borderId="7" xfId="31630" applyNumberFormat="1" applyFont="1" applyFill="1" applyBorder="1" applyAlignment="1">
      <alignment horizontal="right" vertical="center" wrapText="1"/>
    </xf>
    <xf numFmtId="169" fontId="53" fillId="69" borderId="7" xfId="2" applyNumberFormat="1" applyFont="1" applyFill="1" applyBorder="1" applyAlignment="1">
      <alignment horizontal="right" vertical="center" wrapText="1"/>
    </xf>
    <xf numFmtId="9" fontId="58" fillId="2" borderId="7" xfId="2" applyFont="1" applyFill="1" applyBorder="1" applyAlignment="1">
      <alignment horizontal="right" vertical="center"/>
    </xf>
    <xf numFmtId="14" fontId="0" fillId="65" borderId="7" xfId="0" applyNumberFormat="1" applyFill="1" applyBorder="1" applyAlignment="1">
      <alignment horizontal="center" vertical="center"/>
    </xf>
    <xf numFmtId="169" fontId="6" fillId="6" borderId="7" xfId="0" applyNumberFormat="1" applyFont="1" applyFill="1" applyBorder="1" applyAlignment="1">
      <alignment horizontal="right" vertical="center"/>
    </xf>
    <xf numFmtId="166" fontId="0" fillId="2" borderId="7" xfId="2" applyNumberFormat="1" applyFont="1" applyFill="1" applyBorder="1" applyAlignment="1">
      <alignment horizontal="center" vertical="center"/>
    </xf>
    <xf numFmtId="0" fontId="60" fillId="58" borderId="7" xfId="0" applyFont="1" applyFill="1" applyBorder="1" applyAlignment="1">
      <alignment vertical="center" wrapText="1"/>
    </xf>
    <xf numFmtId="9" fontId="0" fillId="58" borderId="7" xfId="2" applyFont="1" applyFill="1" applyBorder="1" applyAlignment="1">
      <alignment horizontal="center" vertical="center"/>
    </xf>
    <xf numFmtId="0" fontId="53" fillId="58" borderId="31" xfId="0" applyFont="1" applyFill="1" applyBorder="1" applyAlignment="1">
      <alignment horizontal="left" vertical="center" wrapText="1"/>
    </xf>
    <xf numFmtId="165" fontId="53" fillId="58" borderId="3" xfId="0" applyNumberFormat="1" applyFont="1" applyFill="1" applyBorder="1" applyAlignment="1">
      <alignment horizontal="left" vertical="center" wrapText="1"/>
    </xf>
    <xf numFmtId="165" fontId="55" fillId="54" borderId="3" xfId="0" applyNumberFormat="1" applyFont="1" applyFill="1" applyBorder="1" applyAlignment="1">
      <alignment horizontal="left" vertical="center" wrapText="1"/>
    </xf>
    <xf numFmtId="165" fontId="6" fillId="12" borderId="48" xfId="0" applyNumberFormat="1" applyFont="1" applyFill="1" applyBorder="1" applyAlignment="1">
      <alignment horizontal="right" vertical="center"/>
    </xf>
    <xf numFmtId="165" fontId="53" fillId="3" borderId="46" xfId="0" applyNumberFormat="1" applyFont="1" applyFill="1" applyBorder="1" applyAlignment="1">
      <alignment horizontal="right" vertical="center"/>
    </xf>
    <xf numFmtId="165" fontId="61" fillId="2" borderId="0" xfId="0" applyNumberFormat="1" applyFont="1" applyFill="1" applyAlignment="1">
      <alignment horizontal="center" vertical="center"/>
    </xf>
    <xf numFmtId="14" fontId="62" fillId="2" borderId="0" xfId="0" applyNumberFormat="1" applyFont="1" applyFill="1" applyAlignment="1">
      <alignment horizontal="right" vertical="center"/>
    </xf>
    <xf numFmtId="165" fontId="6" fillId="70" borderId="4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65" xfId="0" applyFont="1" applyBorder="1"/>
    <xf numFmtId="0" fontId="6" fillId="57" borderId="57" xfId="0" applyFont="1" applyFill="1" applyBorder="1"/>
    <xf numFmtId="0" fontId="79" fillId="61" borderId="44" xfId="31628" applyFont="1" applyFill="1" applyBorder="1" applyAlignment="1">
      <alignment horizontal="center" vertical="center" wrapText="1"/>
    </xf>
    <xf numFmtId="0" fontId="79" fillId="45" borderId="38" xfId="31628" applyFont="1" applyFill="1" applyBorder="1" applyAlignment="1">
      <alignment horizontal="center"/>
    </xf>
    <xf numFmtId="0" fontId="79" fillId="45" borderId="38" xfId="31628" applyFont="1" applyFill="1" applyBorder="1" applyAlignment="1">
      <alignment horizontal="left"/>
    </xf>
    <xf numFmtId="0" fontId="79" fillId="45" borderId="38" xfId="31628" applyFont="1" applyFill="1" applyBorder="1" applyAlignment="1">
      <alignment horizontal="right"/>
    </xf>
    <xf numFmtId="0" fontId="79" fillId="45" borderId="39" xfId="31629" applyFont="1" applyFill="1" applyBorder="1" applyAlignment="1">
      <alignment horizontal="center"/>
    </xf>
    <xf numFmtId="0" fontId="79" fillId="45" borderId="40" xfId="31629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33" xfId="0" pivotButton="1" applyFont="1" applyBorder="1"/>
    <xf numFmtId="0" fontId="47" fillId="0" borderId="0" xfId="0" applyFont="1" applyBorder="1"/>
    <xf numFmtId="0" fontId="47" fillId="0" borderId="25" xfId="0" applyFont="1" applyBorder="1"/>
    <xf numFmtId="0" fontId="47" fillId="0" borderId="0" xfId="0" applyFont="1"/>
    <xf numFmtId="20" fontId="47" fillId="0" borderId="0" xfId="0" applyNumberFormat="1" applyFont="1"/>
    <xf numFmtId="0" fontId="79" fillId="67" borderId="41" xfId="31628" applyFont="1" applyFill="1" applyBorder="1" applyAlignment="1">
      <alignment horizontal="left" wrapText="1"/>
    </xf>
    <xf numFmtId="0" fontId="47" fillId="0" borderId="33" xfId="0" applyFont="1" applyBorder="1" applyAlignment="1">
      <alignment horizontal="left"/>
    </xf>
    <xf numFmtId="0" fontId="47" fillId="0" borderId="0" xfId="0" applyNumberFormat="1" applyFont="1" applyBorder="1"/>
    <xf numFmtId="0" fontId="47" fillId="0" borderId="25" xfId="0" applyNumberFormat="1" applyFont="1" applyBorder="1"/>
    <xf numFmtId="0" fontId="47" fillId="0" borderId="61" xfId="0" applyFont="1" applyBorder="1" applyAlignment="1">
      <alignment horizontal="left"/>
    </xf>
    <xf numFmtId="0" fontId="47" fillId="0" borderId="63" xfId="0" applyNumberFormat="1" applyFont="1" applyBorder="1"/>
    <xf numFmtId="0" fontId="47" fillId="0" borderId="62" xfId="0" applyNumberFormat="1" applyFont="1" applyBorder="1"/>
    <xf numFmtId="0" fontId="79" fillId="67" borderId="55" xfId="31628" applyFont="1" applyFill="1" applyBorder="1" applyAlignment="1">
      <alignment horizontal="left" wrapText="1"/>
    </xf>
    <xf numFmtId="171" fontId="47" fillId="0" borderId="0" xfId="0" applyNumberFormat="1" applyFont="1"/>
    <xf numFmtId="0" fontId="79" fillId="67" borderId="42" xfId="31628" applyFont="1" applyFill="1" applyBorder="1" applyAlignment="1">
      <alignment horizontal="left" wrapText="1"/>
    </xf>
    <xf numFmtId="0" fontId="79" fillId="67" borderId="37" xfId="31628" applyFont="1" applyFill="1" applyBorder="1" applyAlignment="1">
      <alignment horizontal="left" wrapText="1"/>
    </xf>
    <xf numFmtId="0" fontId="79" fillId="39" borderId="37" xfId="31628" applyFont="1" applyFill="1" applyBorder="1" applyAlignment="1">
      <alignment horizontal="left" wrapText="1"/>
    </xf>
    <xf numFmtId="0" fontId="79" fillId="39" borderId="42" xfId="31628" applyFont="1" applyFill="1" applyBorder="1" applyAlignment="1">
      <alignment horizontal="left" wrapText="1"/>
    </xf>
    <xf numFmtId="0" fontId="47" fillId="0" borderId="57" xfId="0" applyFont="1" applyBorder="1"/>
    <xf numFmtId="0" fontId="79" fillId="39" borderId="41" xfId="31628" applyFont="1" applyFill="1" applyBorder="1" applyAlignment="1">
      <alignment horizontal="left" wrapText="1"/>
    </xf>
    <xf numFmtId="0" fontId="80" fillId="67" borderId="60" xfId="31628" applyFont="1" applyFill="1" applyBorder="1" applyAlignment="1">
      <alignment horizontal="right" wrapText="1"/>
    </xf>
    <xf numFmtId="14" fontId="80" fillId="67" borderId="60" xfId="31628" applyNumberFormat="1" applyFont="1" applyFill="1" applyBorder="1" applyAlignment="1">
      <alignment horizontal="right" wrapText="1"/>
    </xf>
    <xf numFmtId="0" fontId="80" fillId="67" borderId="60" xfId="31628" applyFont="1" applyFill="1" applyBorder="1" applyAlignment="1">
      <alignment horizontal="left" wrapText="1"/>
    </xf>
    <xf numFmtId="0" fontId="80" fillId="67" borderId="60" xfId="31628" applyFont="1" applyFill="1" applyBorder="1" applyAlignment="1">
      <alignment horizontal="center" wrapText="1"/>
    </xf>
    <xf numFmtId="1" fontId="80" fillId="67" borderId="60" xfId="31628" applyNumberFormat="1" applyFont="1" applyFill="1" applyBorder="1" applyAlignment="1">
      <alignment horizontal="right" wrapText="1"/>
    </xf>
    <xf numFmtId="0" fontId="79" fillId="43" borderId="41" xfId="31624" applyFont="1" applyFill="1" applyBorder="1" applyAlignment="1">
      <alignment horizontal="left" wrapText="1"/>
    </xf>
    <xf numFmtId="0" fontId="47" fillId="2" borderId="0" xfId="0" applyFont="1" applyFill="1" applyBorder="1"/>
    <xf numFmtId="0" fontId="79" fillId="2" borderId="57" xfId="31624" applyFont="1" applyFill="1" applyBorder="1" applyAlignment="1">
      <alignment horizontal="right" wrapText="1"/>
    </xf>
    <xf numFmtId="0" fontId="47" fillId="2" borderId="57" xfId="0" applyFont="1" applyFill="1" applyBorder="1" applyAlignment="1"/>
    <xf numFmtId="0" fontId="47" fillId="2" borderId="66" xfId="0" applyFont="1" applyFill="1" applyBorder="1" applyAlignment="1"/>
    <xf numFmtId="0" fontId="47" fillId="2" borderId="0" xfId="0" applyFont="1" applyFill="1" applyBorder="1" applyAlignment="1">
      <alignment horizontal="left"/>
    </xf>
    <xf numFmtId="0" fontId="47" fillId="2" borderId="0" xfId="0" applyFont="1" applyFill="1" applyBorder="1" applyAlignment="1"/>
    <xf numFmtId="0" fontId="80" fillId="0" borderId="56" xfId="31623" applyFont="1" applyFill="1" applyBorder="1" applyAlignment="1">
      <alignment horizontal="center" wrapText="1"/>
    </xf>
    <xf numFmtId="0" fontId="80" fillId="0" borderId="56" xfId="31623" applyFont="1" applyFill="1" applyBorder="1" applyAlignment="1">
      <alignment wrapText="1"/>
    </xf>
    <xf numFmtId="0" fontId="80" fillId="0" borderId="56" xfId="31623" applyFont="1" applyFill="1" applyBorder="1" applyAlignment="1">
      <alignment horizontal="right" wrapText="1"/>
    </xf>
    <xf numFmtId="165" fontId="6" fillId="43" borderId="12" xfId="0" applyNumberFormat="1" applyFont="1" applyFill="1" applyBorder="1" applyAlignment="1">
      <alignment horizontal="right" vertical="center"/>
    </xf>
    <xf numFmtId="165" fontId="58" fillId="54" borderId="3" xfId="0" applyNumberFormat="1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center"/>
    </xf>
    <xf numFmtId="0" fontId="78" fillId="2" borderId="46" xfId="42083" applyFont="1" applyFill="1" applyBorder="1" applyAlignment="1">
      <alignment horizontal="center" wrapText="1"/>
    </xf>
    <xf numFmtId="2" fontId="6" fillId="2" borderId="0" xfId="0" applyNumberFormat="1" applyFont="1" applyFill="1"/>
    <xf numFmtId="1" fontId="6" fillId="2" borderId="0" xfId="0" applyNumberFormat="1" applyFont="1" applyFill="1"/>
    <xf numFmtId="0" fontId="74" fillId="66" borderId="69" xfId="0" applyFont="1" applyFill="1" applyBorder="1" applyAlignment="1">
      <alignment horizontal="left"/>
    </xf>
    <xf numFmtId="0" fontId="74" fillId="66" borderId="60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25" xfId="0" applyNumberFormat="1" applyBorder="1"/>
    <xf numFmtId="0" fontId="74" fillId="66" borderId="46" xfId="0" applyNumberFormat="1" applyFont="1" applyFill="1" applyBorder="1"/>
    <xf numFmtId="0" fontId="17" fillId="0" borderId="45" xfId="31625" applyFont="1" applyFill="1" applyBorder="1" applyAlignment="1">
      <alignment horizontal="right" wrapText="1"/>
    </xf>
    <xf numFmtId="1" fontId="10" fillId="2" borderId="0" xfId="0" applyNumberFormat="1" applyFont="1" applyFill="1" applyAlignment="1">
      <alignment horizontal="right"/>
    </xf>
    <xf numFmtId="172" fontId="65" fillId="2" borderId="7" xfId="1" applyNumberFormat="1" applyFont="1" applyFill="1" applyBorder="1" applyAlignment="1">
      <alignment horizontal="right" vertical="center"/>
    </xf>
    <xf numFmtId="0" fontId="53" fillId="2" borderId="0" xfId="0" applyFont="1" applyFill="1" applyBorder="1"/>
    <xf numFmtId="0" fontId="53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1" fontId="10" fillId="2" borderId="0" xfId="0" applyNumberFormat="1" applyFont="1" applyFill="1" applyBorder="1"/>
    <xf numFmtId="1" fontId="53" fillId="2" borderId="0" xfId="0" applyNumberFormat="1" applyFont="1" applyFill="1" applyBorder="1"/>
    <xf numFmtId="174" fontId="6" fillId="2" borderId="46" xfId="2" applyNumberFormat="1" applyFont="1" applyFill="1" applyBorder="1" applyAlignment="1">
      <alignment horizontal="right" vertical="center"/>
    </xf>
    <xf numFmtId="0" fontId="53" fillId="2" borderId="0" xfId="0" applyFont="1" applyFill="1" applyAlignment="1">
      <alignment horizontal="right"/>
    </xf>
    <xf numFmtId="0" fontId="53" fillId="2" borderId="0" xfId="0" applyFont="1" applyFill="1" applyAlignment="1">
      <alignment horizontal="right" vertical="center"/>
    </xf>
    <xf numFmtId="1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1" fontId="53" fillId="2" borderId="0" xfId="0" applyNumberFormat="1" applyFont="1" applyFill="1" applyAlignment="1">
      <alignment horizontal="right"/>
    </xf>
    <xf numFmtId="0" fontId="53" fillId="39" borderId="0" xfId="0" applyFont="1" applyFill="1" applyAlignment="1">
      <alignment horizontal="right"/>
    </xf>
    <xf numFmtId="0" fontId="53" fillId="2" borderId="0" xfId="0" applyFont="1" applyFill="1" applyBorder="1" applyAlignment="1">
      <alignment horizontal="right"/>
    </xf>
    <xf numFmtId="173" fontId="6" fillId="2" borderId="7" xfId="2" applyNumberFormat="1" applyFont="1" applyFill="1" applyBorder="1" applyAlignment="1">
      <alignment horizontal="right" vertical="center"/>
    </xf>
    <xf numFmtId="175" fontId="6" fillId="2" borderId="7" xfId="2" applyNumberFormat="1" applyFont="1" applyFill="1" applyBorder="1" applyAlignment="1">
      <alignment horizontal="right" vertical="center"/>
    </xf>
    <xf numFmtId="174" fontId="6" fillId="2" borderId="7" xfId="1" applyNumberFormat="1" applyFont="1" applyFill="1" applyBorder="1" applyAlignment="1">
      <alignment horizontal="right" vertical="center"/>
    </xf>
    <xf numFmtId="175" fontId="6" fillId="2" borderId="7" xfId="1" applyNumberFormat="1" applyFont="1" applyFill="1" applyBorder="1" applyAlignment="1">
      <alignment horizontal="right" vertical="center"/>
    </xf>
    <xf numFmtId="10" fontId="53" fillId="10" borderId="7" xfId="0" applyNumberFormat="1" applyFont="1" applyFill="1" applyBorder="1" applyAlignment="1">
      <alignment horizontal="right" vertical="center" wrapText="1"/>
    </xf>
    <xf numFmtId="165" fontId="60" fillId="2" borderId="0" xfId="0" applyNumberFormat="1" applyFont="1" applyFill="1" applyAlignment="1">
      <alignment horizontal="right" vertical="center"/>
    </xf>
    <xf numFmtId="165" fontId="53" fillId="2" borderId="0" xfId="0" applyNumberFormat="1" applyFont="1" applyFill="1" applyAlignment="1">
      <alignment horizontal="right" vertical="center"/>
    </xf>
    <xf numFmtId="165" fontId="53" fillId="2" borderId="0" xfId="0" applyNumberFormat="1" applyFont="1" applyFill="1" applyBorder="1" applyAlignment="1">
      <alignment horizontal="right" vertical="center"/>
    </xf>
    <xf numFmtId="165" fontId="53" fillId="2" borderId="0" xfId="0" applyNumberFormat="1" applyFont="1" applyFill="1" applyAlignment="1">
      <alignment horizontal="center" vertical="center" wrapText="1"/>
    </xf>
    <xf numFmtId="165" fontId="6" fillId="37" borderId="12" xfId="0" applyNumberFormat="1" applyFont="1" applyFill="1" applyBorder="1" applyAlignment="1">
      <alignment horizontal="right" vertical="center"/>
    </xf>
    <xf numFmtId="165" fontId="6" fillId="37" borderId="31" xfId="0" applyNumberFormat="1" applyFont="1" applyFill="1" applyBorder="1" applyAlignment="1">
      <alignment horizontal="right" vertical="center"/>
    </xf>
    <xf numFmtId="165" fontId="6" fillId="37" borderId="12" xfId="31630" applyNumberFormat="1" applyFont="1" applyFill="1" applyBorder="1" applyAlignment="1">
      <alignment horizontal="right" vertical="center" wrapText="1"/>
    </xf>
    <xf numFmtId="14" fontId="10" fillId="2" borderId="46" xfId="0" applyNumberFormat="1" applyFont="1" applyFill="1" applyBorder="1" applyAlignment="1">
      <alignment horizontal="right"/>
    </xf>
    <xf numFmtId="14" fontId="78" fillId="2" borderId="46" xfId="42083" applyNumberFormat="1" applyFont="1" applyFill="1" applyBorder="1" applyAlignment="1">
      <alignment horizontal="right" wrapText="1"/>
    </xf>
    <xf numFmtId="14" fontId="0" fillId="0" borderId="46" xfId="0" applyNumberFormat="1" applyBorder="1"/>
    <xf numFmtId="0" fontId="0" fillId="2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4" fontId="50" fillId="2" borderId="12" xfId="0" applyNumberFormat="1" applyFont="1" applyFill="1" applyBorder="1" applyAlignment="1">
      <alignment horizontal="right" vertical="center"/>
    </xf>
    <xf numFmtId="0" fontId="0" fillId="2" borderId="46" xfId="0" applyFill="1" applyBorder="1" applyAlignment="1">
      <alignment horizontal="center"/>
    </xf>
    <xf numFmtId="14" fontId="0" fillId="2" borderId="46" xfId="0" applyNumberFormat="1" applyFill="1" applyBorder="1"/>
    <xf numFmtId="0" fontId="0" fillId="2" borderId="0" xfId="0" applyFill="1" applyAlignment="1">
      <alignment horizontal="center"/>
    </xf>
    <xf numFmtId="14" fontId="0" fillId="2" borderId="0" xfId="0" applyNumberFormat="1" applyFill="1"/>
    <xf numFmtId="165" fontId="8" fillId="2" borderId="7" xfId="0" applyNumberFormat="1" applyFont="1" applyFill="1" applyBorder="1" applyAlignment="1">
      <alignment horizontal="right" vertical="center"/>
    </xf>
    <xf numFmtId="0" fontId="80" fillId="67" borderId="46" xfId="31628" applyFont="1" applyFill="1" applyBorder="1" applyAlignment="1">
      <alignment horizontal="right" wrapText="1"/>
    </xf>
    <xf numFmtId="14" fontId="80" fillId="67" borderId="46" xfId="31628" applyNumberFormat="1" applyFont="1" applyFill="1" applyBorder="1" applyAlignment="1">
      <alignment horizontal="right" wrapText="1"/>
    </xf>
    <xf numFmtId="0" fontId="80" fillId="67" borderId="46" xfId="31628" applyFont="1" applyFill="1" applyBorder="1" applyAlignment="1">
      <alignment horizontal="left" wrapText="1"/>
    </xf>
    <xf numFmtId="0" fontId="80" fillId="67" borderId="46" xfId="31628" applyFont="1" applyFill="1" applyBorder="1" applyAlignment="1">
      <alignment horizontal="center" wrapText="1"/>
    </xf>
    <xf numFmtId="1" fontId="80" fillId="67" borderId="46" xfId="31628" applyNumberFormat="1" applyFont="1" applyFill="1" applyBorder="1" applyAlignment="1">
      <alignment horizontal="right" wrapText="1"/>
    </xf>
    <xf numFmtId="0" fontId="80" fillId="70" borderId="46" xfId="31628" applyFont="1" applyFill="1" applyBorder="1" applyAlignment="1">
      <alignment horizontal="right" wrapText="1"/>
    </xf>
    <xf numFmtId="14" fontId="80" fillId="70" borderId="46" xfId="31628" applyNumberFormat="1" applyFont="1" applyFill="1" applyBorder="1" applyAlignment="1">
      <alignment horizontal="right" wrapText="1"/>
    </xf>
    <xf numFmtId="0" fontId="80" fillId="70" borderId="46" xfId="31628" applyFont="1" applyFill="1" applyBorder="1" applyAlignment="1">
      <alignment horizontal="left" wrapText="1"/>
    </xf>
    <xf numFmtId="0" fontId="80" fillId="70" borderId="46" xfId="31628" applyFont="1" applyFill="1" applyBorder="1" applyAlignment="1">
      <alignment horizontal="center" wrapText="1"/>
    </xf>
    <xf numFmtId="1" fontId="80" fillId="70" borderId="46" xfId="31628" applyNumberFormat="1" applyFont="1" applyFill="1" applyBorder="1" applyAlignment="1">
      <alignment horizontal="right" wrapText="1"/>
    </xf>
    <xf numFmtId="9" fontId="79" fillId="61" borderId="70" xfId="2" applyFont="1" applyFill="1" applyBorder="1" applyAlignment="1">
      <alignment horizontal="center" vertical="center" wrapText="1"/>
    </xf>
    <xf numFmtId="9" fontId="79" fillId="61" borderId="58" xfId="2" applyFont="1" applyFill="1" applyBorder="1" applyAlignment="1">
      <alignment horizontal="center" vertical="center" wrapText="1"/>
    </xf>
    <xf numFmtId="166" fontId="79" fillId="61" borderId="70" xfId="2" applyNumberFormat="1" applyFont="1" applyFill="1" applyBorder="1" applyAlignment="1">
      <alignment horizontal="center" vertical="center" wrapText="1"/>
    </xf>
    <xf numFmtId="166" fontId="79" fillId="61" borderId="58" xfId="2" applyNumberFormat="1" applyFont="1" applyFill="1" applyBorder="1" applyAlignment="1">
      <alignment horizontal="center" vertical="center" wrapText="1"/>
    </xf>
    <xf numFmtId="166" fontId="79" fillId="61" borderId="66" xfId="2" applyNumberFormat="1" applyFont="1" applyFill="1" applyBorder="1" applyAlignment="1">
      <alignment horizontal="center" vertical="center" wrapText="1"/>
    </xf>
    <xf numFmtId="0" fontId="79" fillId="43" borderId="71" xfId="31624" applyFont="1" applyFill="1" applyBorder="1" applyAlignment="1">
      <alignment horizontal="left" wrapText="1"/>
    </xf>
    <xf numFmtId="0" fontId="79" fillId="45" borderId="72" xfId="31629" applyFont="1" applyFill="1" applyBorder="1" applyAlignment="1">
      <alignment horizontal="center"/>
    </xf>
    <xf numFmtId="9" fontId="47" fillId="39" borderId="57" xfId="2" applyFont="1" applyFill="1" applyBorder="1" applyAlignment="1">
      <alignment horizontal="center" vertical="center"/>
    </xf>
    <xf numFmtId="0" fontId="47" fillId="0" borderId="26" xfId="0" applyFont="1" applyBorder="1"/>
    <xf numFmtId="0" fontId="79" fillId="45" borderId="73" xfId="31628" applyFont="1" applyFill="1" applyBorder="1" applyAlignment="1">
      <alignment horizontal="center"/>
    </xf>
    <xf numFmtId="0" fontId="47" fillId="0" borderId="65" xfId="0" applyFont="1" applyBorder="1"/>
    <xf numFmtId="0" fontId="47" fillId="2" borderId="65" xfId="0" applyFont="1" applyFill="1" applyBorder="1"/>
    <xf numFmtId="0" fontId="47" fillId="0" borderId="34" xfId="0" applyFont="1" applyBorder="1"/>
    <xf numFmtId="0" fontId="80" fillId="8" borderId="75" xfId="31624" applyFont="1" applyFill="1" applyBorder="1" applyAlignment="1">
      <alignment horizontal="right" wrapText="1"/>
    </xf>
    <xf numFmtId="14" fontId="80" fillId="8" borderId="76" xfId="31624" applyNumberFormat="1" applyFont="1" applyFill="1" applyBorder="1" applyAlignment="1">
      <alignment horizontal="right" wrapText="1"/>
    </xf>
    <xf numFmtId="0" fontId="80" fillId="8" borderId="76" xfId="31624" applyFont="1" applyFill="1" applyBorder="1" applyAlignment="1">
      <alignment wrapText="1"/>
    </xf>
    <xf numFmtId="0" fontId="79" fillId="8" borderId="12" xfId="31624" applyFont="1" applyFill="1" applyBorder="1" applyAlignment="1">
      <alignment wrapText="1"/>
    </xf>
    <xf numFmtId="0" fontId="80" fillId="8" borderId="76" xfId="31624" applyFont="1" applyFill="1" applyBorder="1" applyAlignment="1">
      <alignment horizontal="right" wrapText="1"/>
    </xf>
    <xf numFmtId="0" fontId="81" fillId="8" borderId="2" xfId="31624" applyFont="1" applyFill="1" applyBorder="1"/>
    <xf numFmtId="0" fontId="80" fillId="8" borderId="77" xfId="31624" applyFont="1" applyFill="1" applyBorder="1" applyAlignment="1">
      <alignment horizontal="right" wrapText="1"/>
    </xf>
    <xf numFmtId="14" fontId="80" fillId="8" borderId="78" xfId="31624" applyNumberFormat="1" applyFont="1" applyFill="1" applyBorder="1" applyAlignment="1">
      <alignment horizontal="right" wrapText="1"/>
    </xf>
    <xf numFmtId="0" fontId="80" fillId="8" borderId="78" xfId="31624" applyFont="1" applyFill="1" applyBorder="1" applyAlignment="1">
      <alignment wrapText="1"/>
    </xf>
    <xf numFmtId="0" fontId="79" fillId="8" borderId="10" xfId="31624" applyFont="1" applyFill="1" applyBorder="1" applyAlignment="1">
      <alignment wrapText="1"/>
    </xf>
    <xf numFmtId="0" fontId="80" fillId="8" borderId="78" xfId="31624" applyFont="1" applyFill="1" applyBorder="1" applyAlignment="1">
      <alignment horizontal="right" wrapText="1"/>
    </xf>
    <xf numFmtId="0" fontId="81" fillId="8" borderId="63" xfId="31624" applyFont="1" applyFill="1" applyBorder="1"/>
    <xf numFmtId="0" fontId="6" fillId="0" borderId="1" xfId="0" applyFont="1" applyBorder="1" applyAlignment="1">
      <alignment wrapText="1"/>
    </xf>
    <xf numFmtId="0" fontId="5" fillId="0" borderId="2" xfId="0" pivotButton="1" applyFont="1" applyBorder="1" applyAlignment="1"/>
    <xf numFmtId="0" fontId="6" fillId="0" borderId="3" xfId="0" applyFont="1" applyBorder="1"/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4" fillId="49" borderId="8" xfId="0" applyFont="1" applyFill="1" applyBorder="1" applyAlignment="1">
      <alignment horizontal="left" vertical="center"/>
    </xf>
    <xf numFmtId="0" fontId="4" fillId="49" borderId="9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9" xfId="0" applyFont="1" applyFill="1" applyBorder="1" applyAlignment="1">
      <alignment horizontal="left" vertical="center"/>
    </xf>
    <xf numFmtId="0" fontId="7" fillId="12" borderId="8" xfId="0" applyNumberFormat="1" applyFont="1" applyFill="1" applyBorder="1" applyAlignment="1">
      <alignment horizontal="center" vertical="center" wrapText="1"/>
    </xf>
    <xf numFmtId="0" fontId="7" fillId="12" borderId="11" xfId="0" applyNumberFormat="1" applyFont="1" applyFill="1" applyBorder="1" applyAlignment="1">
      <alignment horizontal="center" vertical="center" wrapText="1"/>
    </xf>
    <xf numFmtId="0" fontId="7" fillId="12" borderId="9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0" fillId="49" borderId="8" xfId="0" applyFill="1" applyBorder="1" applyAlignment="1">
      <alignment horizontal="left" vertical="center"/>
    </xf>
    <xf numFmtId="0" fontId="0" fillId="49" borderId="9" xfId="0" applyFill="1" applyBorder="1" applyAlignment="1">
      <alignment horizontal="left" vertical="center"/>
    </xf>
    <xf numFmtId="0" fontId="13" fillId="5" borderId="8" xfId="0" applyNumberFormat="1" applyFont="1" applyFill="1" applyBorder="1" applyAlignment="1">
      <alignment horizontal="center" vertical="center" wrapText="1"/>
    </xf>
    <xf numFmtId="0" fontId="13" fillId="5" borderId="11" xfId="0" applyNumberFormat="1" applyFont="1" applyFill="1" applyBorder="1" applyAlignment="1">
      <alignment horizontal="center" vertical="center" wrapText="1"/>
    </xf>
    <xf numFmtId="0" fontId="13" fillId="5" borderId="9" xfId="0" applyNumberFormat="1" applyFont="1" applyFill="1" applyBorder="1" applyAlignment="1">
      <alignment horizontal="center" vertical="center" wrapText="1"/>
    </xf>
    <xf numFmtId="1" fontId="49" fillId="2" borderId="8" xfId="0" applyNumberFormat="1" applyFont="1" applyFill="1" applyBorder="1" applyAlignment="1">
      <alignment horizontal="left" vertical="center" wrapText="1"/>
    </xf>
    <xf numFmtId="1" fontId="49" fillId="2" borderId="9" xfId="0" applyNumberFormat="1" applyFont="1" applyFill="1" applyBorder="1" applyAlignment="1">
      <alignment horizontal="left" vertical="center" wrapText="1"/>
    </xf>
    <xf numFmtId="0" fontId="46" fillId="36" borderId="24" xfId="0" applyFont="1" applyFill="1" applyBorder="1" applyAlignment="1">
      <alignment horizontal="center" vertical="center" textRotation="90"/>
    </xf>
    <xf numFmtId="0" fontId="46" fillId="36" borderId="25" xfId="0" applyFont="1" applyFill="1" applyBorder="1" applyAlignment="1">
      <alignment horizontal="center" vertical="center" textRotation="90"/>
    </xf>
    <xf numFmtId="2" fontId="44" fillId="13" borderId="22" xfId="0" applyNumberFormat="1" applyFont="1" applyFill="1" applyBorder="1" applyAlignment="1">
      <alignment horizontal="center" vertical="center"/>
    </xf>
    <xf numFmtId="2" fontId="44" fillId="13" borderId="23" xfId="0" applyNumberFormat="1" applyFont="1" applyFill="1" applyBorder="1" applyAlignment="1">
      <alignment horizontal="center" vertical="center"/>
    </xf>
    <xf numFmtId="2" fontId="44" fillId="13" borderId="24" xfId="0" applyNumberFormat="1" applyFont="1" applyFill="1" applyBorder="1" applyAlignment="1">
      <alignment horizontal="center" vertical="center"/>
    </xf>
    <xf numFmtId="164" fontId="44" fillId="13" borderId="4" xfId="0" applyNumberFormat="1" applyFont="1" applyFill="1" applyBorder="1" applyAlignment="1">
      <alignment horizontal="center" vertical="center"/>
    </xf>
    <xf numFmtId="164" fontId="44" fillId="13" borderId="5" xfId="0" applyNumberFormat="1" applyFont="1" applyFill="1" applyBorder="1" applyAlignment="1">
      <alignment horizontal="center" vertical="center"/>
    </xf>
    <xf numFmtId="164" fontId="44" fillId="13" borderId="6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" fontId="49" fillId="5" borderId="8" xfId="0" applyNumberFormat="1" applyFont="1" applyFill="1" applyBorder="1" applyAlignment="1">
      <alignment horizontal="center" vertical="center" wrapText="1"/>
    </xf>
    <xf numFmtId="1" fontId="49" fillId="5" borderId="9" xfId="0" applyNumberFormat="1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right" vertical="center" wrapText="1"/>
    </xf>
    <xf numFmtId="0" fontId="8" fillId="6" borderId="32" xfId="0" applyFont="1" applyFill="1" applyBorder="1" applyAlignment="1">
      <alignment horizontal="right" vertical="center" wrapText="1"/>
    </xf>
    <xf numFmtId="0" fontId="8" fillId="6" borderId="10" xfId="0" applyFont="1" applyFill="1" applyBorder="1" applyAlignment="1">
      <alignment horizontal="right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54" fillId="10" borderId="0" xfId="0" applyNumberFormat="1" applyFont="1" applyFill="1" applyBorder="1" applyAlignment="1">
      <alignment horizontal="center" vertical="center" wrapText="1"/>
    </xf>
    <xf numFmtId="164" fontId="8" fillId="10" borderId="0" xfId="0" applyNumberFormat="1" applyFont="1" applyFill="1" applyBorder="1" applyAlignment="1">
      <alignment horizontal="center" vertical="center" wrapText="1"/>
    </xf>
    <xf numFmtId="1" fontId="8" fillId="41" borderId="26" xfId="0" applyNumberFormat="1" applyFont="1" applyFill="1" applyBorder="1" applyAlignment="1">
      <alignment horizontal="center" vertical="center" wrapText="1"/>
    </xf>
    <xf numFmtId="1" fontId="8" fillId="41" borderId="27" xfId="0" applyNumberFormat="1" applyFont="1" applyFill="1" applyBorder="1" applyAlignment="1">
      <alignment horizontal="center" vertical="center" wrapText="1"/>
    </xf>
    <xf numFmtId="1" fontId="8" fillId="41" borderId="28" xfId="0" applyNumberFormat="1" applyFont="1" applyFill="1" applyBorder="1" applyAlignment="1">
      <alignment horizontal="center" vertical="center" wrapText="1"/>
    </xf>
    <xf numFmtId="2" fontId="8" fillId="41" borderId="29" xfId="0" applyNumberFormat="1" applyFont="1" applyFill="1" applyBorder="1" applyAlignment="1">
      <alignment horizontal="center" vertical="center" wrapText="1"/>
    </xf>
    <xf numFmtId="2" fontId="8" fillId="41" borderId="27" xfId="0" applyNumberFormat="1" applyFont="1" applyFill="1" applyBorder="1" applyAlignment="1">
      <alignment horizontal="center" vertical="center" wrapText="1"/>
    </xf>
    <xf numFmtId="2" fontId="8" fillId="41" borderId="30" xfId="0" applyNumberFormat="1" applyFont="1" applyFill="1" applyBorder="1" applyAlignment="1">
      <alignment horizontal="center" vertical="center" wrapText="1"/>
    </xf>
    <xf numFmtId="165" fontId="55" fillId="51" borderId="31" xfId="0" applyNumberFormat="1" applyFont="1" applyFill="1" applyBorder="1" applyAlignment="1">
      <alignment horizontal="center" vertical="center" wrapText="1"/>
    </xf>
    <xf numFmtId="165" fontId="55" fillId="51" borderId="32" xfId="0" applyNumberFormat="1" applyFont="1" applyFill="1" applyBorder="1" applyAlignment="1">
      <alignment horizontal="center" vertical="center" wrapText="1"/>
    </xf>
    <xf numFmtId="165" fontId="55" fillId="51" borderId="10" xfId="0" applyNumberFormat="1" applyFont="1" applyFill="1" applyBorder="1" applyAlignment="1">
      <alignment horizontal="center" vertical="center" wrapText="1"/>
    </xf>
    <xf numFmtId="165" fontId="55" fillId="51" borderId="7" xfId="0" applyNumberFormat="1" applyFont="1" applyFill="1" applyBorder="1" applyAlignment="1">
      <alignment horizontal="center" vertical="center" wrapText="1"/>
    </xf>
    <xf numFmtId="165" fontId="55" fillId="51" borderId="22" xfId="0" applyNumberFormat="1" applyFont="1" applyFill="1" applyBorder="1" applyAlignment="1">
      <alignment horizontal="center" vertical="center" wrapText="1"/>
    </xf>
    <xf numFmtId="165" fontId="55" fillId="51" borderId="33" xfId="0" applyNumberFormat="1" applyFont="1" applyFill="1" applyBorder="1" applyAlignment="1">
      <alignment horizontal="center" vertical="center" wrapText="1"/>
    </xf>
    <xf numFmtId="165" fontId="55" fillId="51" borderId="4" xfId="0" applyNumberFormat="1" applyFont="1" applyFill="1" applyBorder="1" applyAlignment="1">
      <alignment horizontal="center" vertical="center" wrapText="1"/>
    </xf>
    <xf numFmtId="165" fontId="13" fillId="51" borderId="0" xfId="0" applyNumberFormat="1" applyFont="1" applyFill="1" applyBorder="1" applyAlignment="1">
      <alignment horizontal="center" vertical="center"/>
    </xf>
    <xf numFmtId="14" fontId="13" fillId="51" borderId="0" xfId="0" applyNumberFormat="1" applyFont="1" applyFill="1" applyBorder="1" applyAlignment="1">
      <alignment horizontal="center" vertical="center"/>
    </xf>
    <xf numFmtId="0" fontId="11" fillId="38" borderId="7" xfId="0" applyFont="1" applyFill="1" applyBorder="1" applyAlignment="1">
      <alignment horizontal="center" vertical="center" wrapText="1"/>
    </xf>
    <xf numFmtId="165" fontId="9" fillId="70" borderId="0" xfId="0" applyNumberFormat="1" applyFont="1" applyFill="1" applyBorder="1" applyAlignment="1">
      <alignment horizontal="center" vertical="center"/>
    </xf>
    <xf numFmtId="14" fontId="9" fillId="70" borderId="51" xfId="0" applyNumberFormat="1" applyFont="1" applyFill="1" applyBorder="1" applyAlignment="1">
      <alignment horizontal="center" vertical="center"/>
    </xf>
    <xf numFmtId="168" fontId="79" fillId="2" borderId="3" xfId="31623" applyNumberFormat="1" applyFont="1" applyFill="1" applyBorder="1" applyAlignment="1">
      <alignment horizontal="center" vertical="center"/>
    </xf>
    <xf numFmtId="168" fontId="79" fillId="2" borderId="62" xfId="31623" applyNumberFormat="1" applyFont="1" applyFill="1" applyBorder="1" applyAlignment="1">
      <alignment horizontal="center" vertical="center"/>
    </xf>
    <xf numFmtId="168" fontId="79" fillId="2" borderId="12" xfId="31623" applyNumberFormat="1" applyFont="1" applyFill="1" applyBorder="1" applyAlignment="1">
      <alignment horizontal="center" vertical="center"/>
    </xf>
    <xf numFmtId="168" fontId="79" fillId="2" borderId="10" xfId="31623" applyNumberFormat="1" applyFont="1" applyFill="1" applyBorder="1" applyAlignment="1">
      <alignment horizontal="center" vertical="center"/>
    </xf>
    <xf numFmtId="168" fontId="79" fillId="68" borderId="12" xfId="31623" applyNumberFormat="1" applyFont="1" applyFill="1" applyBorder="1" applyAlignment="1">
      <alignment horizontal="center" vertical="center" wrapText="1"/>
    </xf>
    <xf numFmtId="168" fontId="79" fillId="68" borderId="10" xfId="31623" applyNumberFormat="1" applyFont="1" applyFill="1" applyBorder="1" applyAlignment="1">
      <alignment horizontal="center" vertical="center" wrapText="1"/>
    </xf>
    <xf numFmtId="0" fontId="0" fillId="70" borderId="46" xfId="0" applyFill="1" applyBorder="1" applyAlignment="1">
      <alignment horizontal="center" vertical="center"/>
    </xf>
    <xf numFmtId="0" fontId="0" fillId="70" borderId="74" xfId="0" applyFill="1" applyBorder="1" applyAlignment="1">
      <alignment horizontal="center" vertical="center"/>
    </xf>
    <xf numFmtId="0" fontId="0" fillId="70" borderId="49" xfId="0" applyFill="1" applyBorder="1" applyAlignment="1">
      <alignment horizontal="center" vertical="center"/>
    </xf>
    <xf numFmtId="0" fontId="0" fillId="67" borderId="46" xfId="0" applyFill="1" applyBorder="1" applyAlignment="1">
      <alignment horizontal="center" vertical="center"/>
    </xf>
    <xf numFmtId="0" fontId="0" fillId="67" borderId="74" xfId="0" applyFill="1" applyBorder="1" applyAlignment="1">
      <alignment horizontal="center" vertical="center"/>
    </xf>
    <xf numFmtId="0" fontId="0" fillId="67" borderId="49" xfId="0" applyFill="1" applyBorder="1" applyAlignment="1">
      <alignment horizontal="center" vertical="center"/>
    </xf>
    <xf numFmtId="0" fontId="0" fillId="70" borderId="60" xfId="0" applyFill="1" applyBorder="1" applyAlignment="1">
      <alignment horizontal="center" vertical="center"/>
    </xf>
    <xf numFmtId="0" fontId="0" fillId="70" borderId="32" xfId="0" applyFill="1" applyBorder="1" applyAlignment="1">
      <alignment horizontal="center" vertical="center"/>
    </xf>
    <xf numFmtId="0" fontId="0" fillId="70" borderId="59" xfId="0" applyFill="1" applyBorder="1" applyAlignment="1">
      <alignment horizontal="center" vertical="center"/>
    </xf>
    <xf numFmtId="0" fontId="0" fillId="70" borderId="36" xfId="0" applyFill="1" applyBorder="1" applyAlignment="1">
      <alignment horizontal="center" vertical="center"/>
    </xf>
    <xf numFmtId="0" fontId="0" fillId="70" borderId="68" xfId="0" applyFill="1" applyBorder="1" applyAlignment="1">
      <alignment horizontal="center" vertical="center"/>
    </xf>
    <xf numFmtId="0" fontId="0" fillId="70" borderId="25" xfId="0" applyFill="1" applyBorder="1" applyAlignment="1">
      <alignment horizontal="center" vertical="center"/>
    </xf>
    <xf numFmtId="0" fontId="0" fillId="67" borderId="33" xfId="0" applyFill="1" applyBorder="1" applyAlignment="1">
      <alignment horizontal="center" vertical="center"/>
    </xf>
    <xf numFmtId="0" fontId="0" fillId="67" borderId="36" xfId="0" applyFill="1" applyBorder="1" applyAlignment="1">
      <alignment horizontal="center" vertical="center"/>
    </xf>
    <xf numFmtId="0" fontId="0" fillId="67" borderId="0" xfId="0" applyFill="1" applyBorder="1" applyAlignment="1">
      <alignment horizontal="center" vertical="center"/>
    </xf>
    <xf numFmtId="0" fontId="47" fillId="67" borderId="0" xfId="0" applyFont="1" applyFill="1" applyBorder="1" applyAlignment="1">
      <alignment horizontal="center" vertical="center"/>
    </xf>
    <xf numFmtId="0" fontId="47" fillId="67" borderId="33" xfId="0" applyFont="1" applyFill="1" applyBorder="1" applyAlignment="1">
      <alignment horizontal="center" vertical="center"/>
    </xf>
    <xf numFmtId="0" fontId="47" fillId="67" borderId="36" xfId="0" applyFont="1" applyFill="1" applyBorder="1" applyAlignment="1">
      <alignment horizontal="center" vertical="center"/>
    </xf>
    <xf numFmtId="9" fontId="47" fillId="39" borderId="70" xfId="2" applyFont="1" applyFill="1" applyBorder="1" applyAlignment="1">
      <alignment horizontal="center" vertical="center"/>
    </xf>
    <xf numFmtId="9" fontId="47" fillId="39" borderId="57" xfId="2" applyFont="1" applyFill="1" applyBorder="1" applyAlignment="1">
      <alignment horizontal="center" vertical="center"/>
    </xf>
    <xf numFmtId="9" fontId="47" fillId="39" borderId="58" xfId="2" applyFont="1" applyFill="1" applyBorder="1" applyAlignment="1">
      <alignment horizontal="center" vertical="center"/>
    </xf>
    <xf numFmtId="9" fontId="47" fillId="67" borderId="70" xfId="2" applyFont="1" applyFill="1" applyBorder="1" applyAlignment="1">
      <alignment horizontal="center" vertical="center"/>
    </xf>
    <xf numFmtId="9" fontId="47" fillId="67" borderId="57" xfId="2" applyFont="1" applyFill="1" applyBorder="1" applyAlignment="1">
      <alignment horizontal="center" vertical="center"/>
    </xf>
    <xf numFmtId="9" fontId="47" fillId="67" borderId="58" xfId="2" applyFont="1" applyFill="1" applyBorder="1" applyAlignment="1">
      <alignment horizontal="center" vertical="center"/>
    </xf>
    <xf numFmtId="0" fontId="47" fillId="67" borderId="68" xfId="0" applyFont="1" applyFill="1" applyBorder="1" applyAlignment="1">
      <alignment horizontal="center" vertical="center"/>
    </xf>
    <xf numFmtId="0" fontId="47" fillId="67" borderId="25" xfId="0" applyFont="1" applyFill="1" applyBorder="1" applyAlignment="1">
      <alignment horizontal="center" vertical="center"/>
    </xf>
    <xf numFmtId="0" fontId="47" fillId="67" borderId="62" xfId="0" applyFont="1" applyFill="1" applyBorder="1" applyAlignment="1">
      <alignment horizontal="center" vertical="center"/>
    </xf>
    <xf numFmtId="0" fontId="47" fillId="67" borderId="60" xfId="0" applyFont="1" applyFill="1" applyBorder="1" applyAlignment="1">
      <alignment horizontal="center" vertical="center"/>
    </xf>
    <xf numFmtId="0" fontId="47" fillId="67" borderId="32" xfId="0" applyFont="1" applyFill="1" applyBorder="1" applyAlignment="1">
      <alignment horizontal="center" vertical="center"/>
    </xf>
    <xf numFmtId="0" fontId="47" fillId="67" borderId="10" xfId="0" applyFont="1" applyFill="1" applyBorder="1" applyAlignment="1">
      <alignment horizontal="center" vertical="center"/>
    </xf>
    <xf numFmtId="171" fontId="47" fillId="67" borderId="59" xfId="0" applyNumberFormat="1" applyFont="1" applyFill="1" applyBorder="1" applyAlignment="1">
      <alignment horizontal="center" vertical="center"/>
    </xf>
    <xf numFmtId="171" fontId="47" fillId="67" borderId="36" xfId="0" applyNumberFormat="1" applyFont="1" applyFill="1" applyBorder="1" applyAlignment="1">
      <alignment horizontal="center" vertical="center"/>
    </xf>
    <xf numFmtId="171" fontId="47" fillId="67" borderId="43" xfId="0" applyNumberFormat="1" applyFont="1" applyFill="1" applyBorder="1" applyAlignment="1">
      <alignment horizontal="center" vertical="center"/>
    </xf>
    <xf numFmtId="0" fontId="47" fillId="70" borderId="68" xfId="0" applyFont="1" applyFill="1" applyBorder="1" applyAlignment="1">
      <alignment horizontal="center" vertical="center"/>
    </xf>
    <xf numFmtId="0" fontId="47" fillId="70" borderId="25" xfId="0" applyFont="1" applyFill="1" applyBorder="1" applyAlignment="1">
      <alignment horizontal="center" vertical="center"/>
    </xf>
    <xf numFmtId="0" fontId="47" fillId="70" borderId="62" xfId="0" applyFont="1" applyFill="1" applyBorder="1" applyAlignment="1">
      <alignment horizontal="center" vertical="center"/>
    </xf>
    <xf numFmtId="0" fontId="47" fillId="70" borderId="60" xfId="0" applyFont="1" applyFill="1" applyBorder="1" applyAlignment="1">
      <alignment horizontal="center" vertical="center"/>
    </xf>
    <xf numFmtId="0" fontId="47" fillId="70" borderId="32" xfId="0" applyFont="1" applyFill="1" applyBorder="1" applyAlignment="1">
      <alignment horizontal="center" vertical="center"/>
    </xf>
    <xf numFmtId="0" fontId="47" fillId="70" borderId="10" xfId="0" applyFont="1" applyFill="1" applyBorder="1" applyAlignment="1">
      <alignment horizontal="center" vertical="center"/>
    </xf>
    <xf numFmtId="0" fontId="47" fillId="70" borderId="59" xfId="0" applyFont="1" applyFill="1" applyBorder="1" applyAlignment="1">
      <alignment horizontal="center" vertical="center"/>
    </xf>
    <xf numFmtId="0" fontId="47" fillId="70" borderId="36" xfId="0" applyFont="1" applyFill="1" applyBorder="1" applyAlignment="1">
      <alignment horizontal="center" vertical="center"/>
    </xf>
    <xf numFmtId="0" fontId="47" fillId="70" borderId="43" xfId="0" applyFont="1" applyFill="1" applyBorder="1" applyAlignment="1">
      <alignment horizontal="center" vertical="center"/>
    </xf>
    <xf numFmtId="0" fontId="47" fillId="67" borderId="59" xfId="0" applyFont="1" applyFill="1" applyBorder="1" applyAlignment="1">
      <alignment horizontal="center" vertical="center"/>
    </xf>
    <xf numFmtId="0" fontId="47" fillId="67" borderId="43" xfId="0" applyFont="1" applyFill="1" applyBorder="1" applyAlignment="1">
      <alignment horizontal="center" vertical="center"/>
    </xf>
    <xf numFmtId="0" fontId="47" fillId="70" borderId="67" xfId="0" applyFont="1" applyFill="1" applyBorder="1" applyAlignment="1">
      <alignment horizontal="center" vertical="center"/>
    </xf>
    <xf numFmtId="0" fontId="47" fillId="70" borderId="0" xfId="0" applyFont="1" applyFill="1" applyBorder="1" applyAlignment="1">
      <alignment horizontal="center" vertical="center"/>
    </xf>
    <xf numFmtId="0" fontId="47" fillId="70" borderId="64" xfId="0" applyFont="1" applyFill="1" applyBorder="1" applyAlignment="1">
      <alignment horizontal="center" vertical="center"/>
    </xf>
    <xf numFmtId="0" fontId="47" fillId="70" borderId="33" xfId="0" applyFont="1" applyFill="1" applyBorder="1" applyAlignment="1">
      <alignment horizontal="center" vertical="center"/>
    </xf>
    <xf numFmtId="0" fontId="47" fillId="67" borderId="67" xfId="0" applyFont="1" applyFill="1" applyBorder="1" applyAlignment="1">
      <alignment horizontal="center" vertical="center"/>
    </xf>
    <xf numFmtId="0" fontId="47" fillId="67" borderId="64" xfId="0" applyFont="1" applyFill="1" applyBorder="1" applyAlignment="1">
      <alignment horizontal="center" vertical="center"/>
    </xf>
    <xf numFmtId="9" fontId="79" fillId="61" borderId="70" xfId="2" applyFont="1" applyFill="1" applyBorder="1" applyAlignment="1">
      <alignment horizontal="center" vertical="center" wrapText="1"/>
    </xf>
    <xf numFmtId="9" fontId="79" fillId="61" borderId="58" xfId="2" applyFont="1" applyFill="1" applyBorder="1" applyAlignment="1">
      <alignment horizontal="center" vertical="center" wrapText="1"/>
    </xf>
    <xf numFmtId="0" fontId="81" fillId="70" borderId="68" xfId="31622" applyFont="1" applyFill="1" applyBorder="1" applyAlignment="1">
      <alignment horizontal="center" vertical="center"/>
    </xf>
    <xf numFmtId="0" fontId="81" fillId="70" borderId="25" xfId="31622" applyFont="1" applyFill="1" applyBorder="1" applyAlignment="1">
      <alignment horizontal="center" vertical="center"/>
    </xf>
    <xf numFmtId="0" fontId="81" fillId="70" borderId="62" xfId="31622" applyFont="1" applyFill="1" applyBorder="1" applyAlignment="1">
      <alignment horizontal="center" vertical="center"/>
    </xf>
    <xf numFmtId="0" fontId="81" fillId="70" borderId="60" xfId="31622" applyFont="1" applyFill="1" applyBorder="1" applyAlignment="1">
      <alignment horizontal="center" vertical="center"/>
    </xf>
    <xf numFmtId="0" fontId="81" fillId="70" borderId="32" xfId="31622" applyFont="1" applyFill="1" applyBorder="1" applyAlignment="1">
      <alignment horizontal="center" vertical="center"/>
    </xf>
    <xf numFmtId="0" fontId="81" fillId="70" borderId="10" xfId="31622" applyFont="1" applyFill="1" applyBorder="1" applyAlignment="1">
      <alignment horizontal="center" vertical="center"/>
    </xf>
    <xf numFmtId="171" fontId="81" fillId="70" borderId="59" xfId="31622" applyNumberFormat="1" applyFont="1" applyFill="1" applyBorder="1" applyAlignment="1">
      <alignment horizontal="center" vertical="center"/>
    </xf>
    <xf numFmtId="171" fontId="81" fillId="70" borderId="36" xfId="31622" applyNumberFormat="1" applyFont="1" applyFill="1" applyBorder="1" applyAlignment="1">
      <alignment horizontal="center" vertical="center"/>
    </xf>
    <xf numFmtId="171" fontId="81" fillId="70" borderId="43" xfId="31622" applyNumberFormat="1" applyFont="1" applyFill="1" applyBorder="1" applyAlignment="1">
      <alignment horizontal="center" vertical="center"/>
    </xf>
    <xf numFmtId="0" fontId="81" fillId="67" borderId="68" xfId="31622" applyFont="1" applyFill="1" applyBorder="1" applyAlignment="1">
      <alignment horizontal="center" vertical="center"/>
    </xf>
    <xf numFmtId="0" fontId="81" fillId="67" borderId="25" xfId="31622" applyFont="1" applyFill="1" applyBorder="1" applyAlignment="1">
      <alignment horizontal="center" vertical="center"/>
    </xf>
    <xf numFmtId="0" fontId="81" fillId="67" borderId="62" xfId="31622" applyFont="1" applyFill="1" applyBorder="1" applyAlignment="1">
      <alignment horizontal="center" vertical="center"/>
    </xf>
    <xf numFmtId="0" fontId="81" fillId="67" borderId="60" xfId="31622" applyFont="1" applyFill="1" applyBorder="1" applyAlignment="1">
      <alignment horizontal="center" vertical="center"/>
    </xf>
    <xf numFmtId="0" fontId="81" fillId="67" borderId="32" xfId="31622" applyFont="1" applyFill="1" applyBorder="1" applyAlignment="1">
      <alignment horizontal="center" vertical="center"/>
    </xf>
    <xf numFmtId="0" fontId="81" fillId="67" borderId="10" xfId="31622" applyFont="1" applyFill="1" applyBorder="1" applyAlignment="1">
      <alignment horizontal="center" vertical="center"/>
    </xf>
    <xf numFmtId="171" fontId="81" fillId="67" borderId="59" xfId="31622" applyNumberFormat="1" applyFont="1" applyFill="1" applyBorder="1" applyAlignment="1">
      <alignment horizontal="center" vertical="center"/>
    </xf>
    <xf numFmtId="171" fontId="81" fillId="67" borderId="36" xfId="31622" applyNumberFormat="1" applyFont="1" applyFill="1" applyBorder="1" applyAlignment="1">
      <alignment horizontal="center" vertical="center"/>
    </xf>
    <xf numFmtId="171" fontId="81" fillId="67" borderId="43" xfId="31622" applyNumberFormat="1" applyFont="1" applyFill="1" applyBorder="1" applyAlignment="1">
      <alignment horizontal="center" vertical="center"/>
    </xf>
    <xf numFmtId="171" fontId="47" fillId="70" borderId="59" xfId="0" applyNumberFormat="1" applyFont="1" applyFill="1" applyBorder="1" applyAlignment="1">
      <alignment horizontal="center" vertical="center"/>
    </xf>
    <xf numFmtId="171" fontId="47" fillId="70" borderId="36" xfId="0" applyNumberFormat="1" applyFont="1" applyFill="1" applyBorder="1" applyAlignment="1">
      <alignment horizontal="center" vertical="center"/>
    </xf>
    <xf numFmtId="171" fontId="47" fillId="70" borderId="43" xfId="0" applyNumberFormat="1" applyFont="1" applyFill="1" applyBorder="1" applyAlignment="1">
      <alignment horizontal="center" vertical="center"/>
    </xf>
    <xf numFmtId="0" fontId="5" fillId="60" borderId="50" xfId="0" applyFont="1" applyFill="1" applyBorder="1" applyAlignment="1">
      <alignment horizontal="center" vertical="center" wrapText="1"/>
    </xf>
    <xf numFmtId="0" fontId="5" fillId="60" borderId="47" xfId="0" applyFont="1" applyFill="1" applyBorder="1" applyAlignment="1">
      <alignment horizontal="center" vertical="center" wrapText="1"/>
    </xf>
    <xf numFmtId="0" fontId="5" fillId="60" borderId="24" xfId="0" applyFont="1" applyFill="1" applyBorder="1" applyAlignment="1">
      <alignment horizontal="center" vertical="center" wrapText="1"/>
    </xf>
    <xf numFmtId="0" fontId="77" fillId="52" borderId="52" xfId="0" applyNumberFormat="1" applyFont="1" applyFill="1" applyBorder="1" applyAlignment="1">
      <alignment horizontal="center" vertical="center" wrapText="1"/>
    </xf>
    <xf numFmtId="0" fontId="77" fillId="52" borderId="53" xfId="0" applyNumberFormat="1" applyFont="1" applyFill="1" applyBorder="1" applyAlignment="1">
      <alignment horizontal="center" vertical="center" wrapText="1"/>
    </xf>
    <xf numFmtId="0" fontId="77" fillId="52" borderId="54" xfId="0" applyNumberFormat="1" applyFont="1" applyFill="1" applyBorder="1" applyAlignment="1">
      <alignment horizontal="center" vertical="center" wrapText="1"/>
    </xf>
    <xf numFmtId="168" fontId="81" fillId="70" borderId="68" xfId="31622" applyNumberFormat="1" applyFont="1" applyFill="1" applyBorder="1" applyAlignment="1">
      <alignment horizontal="center" vertical="center"/>
    </xf>
    <xf numFmtId="168" fontId="81" fillId="70" borderId="25" xfId="31622" applyNumberFormat="1" applyFont="1" applyFill="1" applyBorder="1" applyAlignment="1">
      <alignment horizontal="center" vertical="center"/>
    </xf>
    <xf numFmtId="168" fontId="81" fillId="70" borderId="62" xfId="31622" applyNumberFormat="1" applyFont="1" applyFill="1" applyBorder="1" applyAlignment="1">
      <alignment horizontal="center" vertical="center"/>
    </xf>
    <xf numFmtId="168" fontId="81" fillId="70" borderId="60" xfId="31622" applyNumberFormat="1" applyFont="1" applyFill="1" applyBorder="1" applyAlignment="1">
      <alignment horizontal="center" vertical="center"/>
    </xf>
    <xf numFmtId="168" fontId="81" fillId="70" borderId="32" xfId="31622" applyNumberFormat="1" applyFont="1" applyFill="1" applyBorder="1" applyAlignment="1">
      <alignment horizontal="center" vertical="center"/>
    </xf>
    <xf numFmtId="168" fontId="81" fillId="70" borderId="10" xfId="31622" applyNumberFormat="1" applyFont="1" applyFill="1" applyBorder="1" applyAlignment="1">
      <alignment horizontal="center" vertical="center"/>
    </xf>
    <xf numFmtId="9" fontId="79" fillId="67" borderId="70" xfId="2" applyFont="1" applyFill="1" applyBorder="1" applyAlignment="1">
      <alignment horizontal="center" vertical="center"/>
    </xf>
    <xf numFmtId="9" fontId="79" fillId="67" borderId="57" xfId="2" applyFont="1" applyFill="1" applyBorder="1" applyAlignment="1">
      <alignment horizontal="center" vertical="center"/>
    </xf>
    <xf numFmtId="9" fontId="79" fillId="67" borderId="58" xfId="2" applyFont="1" applyFill="1" applyBorder="1" applyAlignment="1">
      <alignment horizontal="center" vertical="center"/>
    </xf>
    <xf numFmtId="9" fontId="79" fillId="70" borderId="70" xfId="2" applyFont="1" applyFill="1" applyBorder="1" applyAlignment="1">
      <alignment horizontal="center" vertical="center"/>
    </xf>
    <xf numFmtId="9" fontId="79" fillId="70" borderId="57" xfId="2" applyFont="1" applyFill="1" applyBorder="1" applyAlignment="1">
      <alignment horizontal="center" vertical="center"/>
    </xf>
    <xf numFmtId="9" fontId="79" fillId="70" borderId="58" xfId="2" applyFont="1" applyFill="1" applyBorder="1" applyAlignment="1">
      <alignment horizontal="center" vertical="center"/>
    </xf>
    <xf numFmtId="9" fontId="79" fillId="39" borderId="70" xfId="2" applyFont="1" applyFill="1" applyBorder="1" applyAlignment="1">
      <alignment horizontal="center" vertical="center"/>
    </xf>
    <xf numFmtId="9" fontId="79" fillId="39" borderId="57" xfId="2" applyFont="1" applyFill="1" applyBorder="1" applyAlignment="1">
      <alignment horizontal="center" vertical="center"/>
    </xf>
    <xf numFmtId="9" fontId="79" fillId="39" borderId="58" xfId="2" applyFont="1" applyFill="1" applyBorder="1" applyAlignment="1">
      <alignment horizontal="center" vertical="center"/>
    </xf>
    <xf numFmtId="9" fontId="79" fillId="48" borderId="70" xfId="2" applyFont="1" applyFill="1" applyBorder="1" applyAlignment="1">
      <alignment horizontal="center" vertical="center"/>
    </xf>
    <xf numFmtId="9" fontId="79" fillId="48" borderId="57" xfId="2" applyFont="1" applyFill="1" applyBorder="1" applyAlignment="1">
      <alignment horizontal="center" vertical="center"/>
    </xf>
    <xf numFmtId="9" fontId="79" fillId="48" borderId="58" xfId="2" applyFont="1" applyFill="1" applyBorder="1" applyAlignment="1">
      <alignment horizontal="center" vertical="center"/>
    </xf>
    <xf numFmtId="9" fontId="47" fillId="70" borderId="70" xfId="2" applyFont="1" applyFill="1" applyBorder="1" applyAlignment="1">
      <alignment horizontal="center" vertical="center"/>
    </xf>
    <xf numFmtId="9" fontId="47" fillId="70" borderId="57" xfId="2" applyFont="1" applyFill="1" applyBorder="1" applyAlignment="1">
      <alignment horizontal="center" vertical="center"/>
    </xf>
    <xf numFmtId="9" fontId="47" fillId="70" borderId="58" xfId="2" applyFont="1" applyFill="1" applyBorder="1" applyAlignment="1">
      <alignment horizontal="center" vertical="center"/>
    </xf>
    <xf numFmtId="9" fontId="47" fillId="71" borderId="70" xfId="2" applyFont="1" applyFill="1" applyBorder="1" applyAlignment="1">
      <alignment horizontal="center" vertical="center"/>
    </xf>
    <xf numFmtId="9" fontId="47" fillId="71" borderId="57" xfId="2" applyFont="1" applyFill="1" applyBorder="1" applyAlignment="1">
      <alignment horizontal="center" vertical="center"/>
    </xf>
    <xf numFmtId="9" fontId="47" fillId="71" borderId="58" xfId="2" applyFont="1" applyFill="1" applyBorder="1" applyAlignment="1">
      <alignment horizontal="center" vertical="center"/>
    </xf>
    <xf numFmtId="9" fontId="47" fillId="73" borderId="70" xfId="2" applyFont="1" applyFill="1" applyBorder="1" applyAlignment="1">
      <alignment horizontal="center" vertical="center"/>
    </xf>
    <xf numFmtId="9" fontId="47" fillId="73" borderId="57" xfId="2" applyFont="1" applyFill="1" applyBorder="1" applyAlignment="1">
      <alignment horizontal="center" vertical="center"/>
    </xf>
    <xf numFmtId="9" fontId="47" fillId="73" borderId="58" xfId="2" applyFont="1" applyFill="1" applyBorder="1" applyAlignment="1">
      <alignment horizontal="center" vertical="center"/>
    </xf>
    <xf numFmtId="9" fontId="47" fillId="40" borderId="70" xfId="2" applyFont="1" applyFill="1" applyBorder="1" applyAlignment="1">
      <alignment horizontal="center" vertical="center"/>
    </xf>
    <xf numFmtId="9" fontId="47" fillId="40" borderId="57" xfId="2" applyFont="1" applyFill="1" applyBorder="1" applyAlignment="1">
      <alignment horizontal="center" vertical="center"/>
    </xf>
    <xf numFmtId="9" fontId="47" fillId="40" borderId="58" xfId="2" applyFont="1" applyFill="1" applyBorder="1" applyAlignment="1">
      <alignment horizontal="center" vertical="center"/>
    </xf>
    <xf numFmtId="9" fontId="47" fillId="48" borderId="70" xfId="2" applyFont="1" applyFill="1" applyBorder="1" applyAlignment="1">
      <alignment horizontal="center" vertical="center"/>
    </xf>
    <xf numFmtId="9" fontId="47" fillId="48" borderId="57" xfId="2" applyFont="1" applyFill="1" applyBorder="1" applyAlignment="1">
      <alignment horizontal="center" vertical="center"/>
    </xf>
    <xf numFmtId="9" fontId="47" fillId="48" borderId="58" xfId="2" applyFont="1" applyFill="1" applyBorder="1" applyAlignment="1">
      <alignment horizontal="center" vertical="center"/>
    </xf>
    <xf numFmtId="9" fontId="47" fillId="72" borderId="70" xfId="2" applyFont="1" applyFill="1" applyBorder="1" applyAlignment="1">
      <alignment horizontal="center" vertical="center"/>
    </xf>
    <xf numFmtId="9" fontId="47" fillId="72" borderId="57" xfId="2" applyFont="1" applyFill="1" applyBorder="1" applyAlignment="1">
      <alignment horizontal="center" vertical="center"/>
    </xf>
    <xf numFmtId="9" fontId="47" fillId="72" borderId="58" xfId="2" applyFont="1" applyFill="1" applyBorder="1" applyAlignment="1">
      <alignment horizontal="center" vertical="center"/>
    </xf>
    <xf numFmtId="9" fontId="47" fillId="42" borderId="70" xfId="2" applyFont="1" applyFill="1" applyBorder="1" applyAlignment="1">
      <alignment horizontal="center" vertical="center"/>
    </xf>
    <xf numFmtId="9" fontId="47" fillId="42" borderId="57" xfId="2" applyFont="1" applyFill="1" applyBorder="1" applyAlignment="1">
      <alignment horizontal="center" vertical="center"/>
    </xf>
    <xf numFmtId="9" fontId="47" fillId="42" borderId="58" xfId="2" applyFont="1" applyFill="1" applyBorder="1" applyAlignment="1">
      <alignment horizontal="center" vertical="center"/>
    </xf>
    <xf numFmtId="9" fontId="79" fillId="68" borderId="57" xfId="2" applyFont="1" applyFill="1" applyBorder="1" applyAlignment="1">
      <alignment horizontal="center" vertical="center" wrapText="1"/>
    </xf>
    <xf numFmtId="9" fontId="79" fillId="68" borderId="58" xfId="2" applyFont="1" applyFill="1" applyBorder="1" applyAlignment="1">
      <alignment horizontal="center" vertical="center" wrapText="1"/>
    </xf>
    <xf numFmtId="0" fontId="72" fillId="52" borderId="7" xfId="0" applyNumberFormat="1" applyFont="1" applyFill="1" applyBorder="1" applyAlignment="1">
      <alignment horizontal="center" vertical="center" wrapText="1"/>
    </xf>
    <xf numFmtId="14" fontId="10" fillId="59" borderId="7" xfId="31625" applyNumberFormat="1" applyFont="1" applyFill="1" applyBorder="1" applyAlignment="1">
      <alignment horizontal="center"/>
    </xf>
    <xf numFmtId="0" fontId="10" fillId="59" borderId="7" xfId="31625" applyFont="1" applyFill="1" applyBorder="1" applyAlignment="1">
      <alignment horizontal="center"/>
    </xf>
    <xf numFmtId="0" fontId="2" fillId="58" borderId="33" xfId="0" applyFont="1" applyFill="1" applyBorder="1" applyAlignment="1">
      <alignment horizontal="center" vertical="center"/>
    </xf>
    <xf numFmtId="0" fontId="2" fillId="58" borderId="0" xfId="0" applyFont="1" applyFill="1" applyBorder="1" applyAlignment="1">
      <alignment horizontal="center" vertical="center"/>
    </xf>
    <xf numFmtId="0" fontId="2" fillId="58" borderId="4" xfId="0" applyFont="1" applyFill="1" applyBorder="1" applyAlignment="1">
      <alignment horizontal="center" vertical="center"/>
    </xf>
    <xf numFmtId="0" fontId="2" fillId="58" borderId="51" xfId="0" applyFont="1" applyFill="1" applyBorder="1" applyAlignment="1">
      <alignment horizontal="center" vertical="center"/>
    </xf>
    <xf numFmtId="0" fontId="2" fillId="63" borderId="8" xfId="31625" applyFont="1" applyFill="1" applyBorder="1" applyAlignment="1">
      <alignment horizontal="center" wrapText="1"/>
    </xf>
    <xf numFmtId="0" fontId="2" fillId="63" borderId="9" xfId="31625" applyFont="1" applyFill="1" applyBorder="1" applyAlignment="1">
      <alignment horizontal="center" wrapText="1"/>
    </xf>
    <xf numFmtId="10" fontId="3" fillId="59" borderId="7" xfId="2" applyNumberFormat="1" applyFont="1" applyFill="1" applyBorder="1" applyAlignment="1">
      <alignment horizontal="center"/>
    </xf>
    <xf numFmtId="9" fontId="10" fillId="59" borderId="7" xfId="2" applyFont="1" applyFill="1" applyBorder="1" applyAlignment="1">
      <alignment horizontal="center"/>
    </xf>
    <xf numFmtId="0" fontId="31" fillId="11" borderId="7" xfId="31625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/>
    </xf>
    <xf numFmtId="9" fontId="1" fillId="11" borderId="7" xfId="2" applyFont="1" applyFill="1" applyBorder="1" applyAlignment="1">
      <alignment horizontal="center"/>
    </xf>
    <xf numFmtId="2" fontId="9" fillId="62" borderId="26" xfId="0" applyNumberFormat="1" applyFont="1" applyFill="1" applyBorder="1" applyAlignment="1">
      <alignment horizontal="center" vertical="center"/>
    </xf>
    <xf numFmtId="2" fontId="9" fillId="62" borderId="27" xfId="0" applyNumberFormat="1" applyFont="1" applyFill="1" applyBorder="1" applyAlignment="1">
      <alignment horizontal="center" vertical="center"/>
    </xf>
    <xf numFmtId="164" fontId="9" fillId="62" borderId="34" xfId="0" applyNumberFormat="1" applyFont="1" applyFill="1" applyBorder="1" applyAlignment="1">
      <alignment horizontal="center" vertical="center"/>
    </xf>
    <xf numFmtId="164" fontId="9" fillId="62" borderId="35" xfId="0" applyNumberFormat="1" applyFont="1" applyFill="1" applyBorder="1" applyAlignment="1">
      <alignment horizontal="center" vertical="center"/>
    </xf>
  </cellXfs>
  <cellStyles count="42084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17" xfId="5777"/>
    <cellStyle name="Millares 2" xfId="5778"/>
    <cellStyle name="Millares 2 2" xfId="5779"/>
    <cellStyle name="Millares 2 2 10" xfId="5780"/>
    <cellStyle name="Millares 2 2 11" xfId="5781"/>
    <cellStyle name="Millares 2 2 12" xfId="5782"/>
    <cellStyle name="Millares 2 2 13" xfId="5783"/>
    <cellStyle name="Millares 2 2 14" xfId="5784"/>
    <cellStyle name="Millares 2 2 2" xfId="5785"/>
    <cellStyle name="Millares 2 2 3" xfId="5786"/>
    <cellStyle name="Millares 2 2 4" xfId="5787"/>
    <cellStyle name="Millares 2 2 5" xfId="5788"/>
    <cellStyle name="Millares 2 2 6" xfId="5789"/>
    <cellStyle name="Millares 2 2 7" xfId="5790"/>
    <cellStyle name="Millares 2 2 8" xfId="5791"/>
    <cellStyle name="Millares 2 2 9" xfId="5792"/>
    <cellStyle name="Millares 2 3" xfId="5793"/>
    <cellStyle name="Millares 2 3 10" xfId="5794"/>
    <cellStyle name="Millares 2 3 11" xfId="5795"/>
    <cellStyle name="Millares 2 3 12" xfId="5796"/>
    <cellStyle name="Millares 2 3 13" xfId="5797"/>
    <cellStyle name="Millares 2 3 14" xfId="5798"/>
    <cellStyle name="Millares 2 3 2" xfId="5799"/>
    <cellStyle name="Millares 2 3 3" xfId="5800"/>
    <cellStyle name="Millares 2 3 4" xfId="5801"/>
    <cellStyle name="Millares 2 3 5" xfId="5802"/>
    <cellStyle name="Millares 2 3 6" xfId="5803"/>
    <cellStyle name="Millares 2 3 7" xfId="5804"/>
    <cellStyle name="Millares 2 3 8" xfId="5805"/>
    <cellStyle name="Millares 2 3 9" xfId="5806"/>
    <cellStyle name="Millares 2 4" xfId="5807"/>
    <cellStyle name="Millares 2 5" xfId="5808"/>
    <cellStyle name="Millares 2 6" xfId="5809"/>
    <cellStyle name="Millares 2 7" xfId="5810"/>
    <cellStyle name="Millares 3" xfId="5811"/>
    <cellStyle name="Millares 4" xfId="5812"/>
    <cellStyle name="Millares 4 10" xfId="5813"/>
    <cellStyle name="Millares 4 10 2" xfId="5814"/>
    <cellStyle name="Millares 4 11" xfId="5815"/>
    <cellStyle name="Millares 4 11 2" xfId="5816"/>
    <cellStyle name="Millares 4 12" xfId="5817"/>
    <cellStyle name="Millares 4 12 2" xfId="5818"/>
    <cellStyle name="Millares 4 13" xfId="5819"/>
    <cellStyle name="Millares 4 2" xfId="5820"/>
    <cellStyle name="Millares 4 2 10" xfId="5821"/>
    <cellStyle name="Millares 4 2 10 2" xfId="5822"/>
    <cellStyle name="Millares 4 2 11" xfId="5823"/>
    <cellStyle name="Millares 4 2 11 2" xfId="5824"/>
    <cellStyle name="Millares 4 2 12" xfId="5825"/>
    <cellStyle name="Millares 4 2 2" xfId="5826"/>
    <cellStyle name="Millares 4 2 2 10" xfId="5827"/>
    <cellStyle name="Millares 4 2 2 10 2" xfId="5828"/>
    <cellStyle name="Millares 4 2 2 11" xfId="5829"/>
    <cellStyle name="Millares 4 2 2 2" xfId="5830"/>
    <cellStyle name="Millares 4 2 2 2 2" xfId="5831"/>
    <cellStyle name="Millares 4 2 2 3" xfId="5832"/>
    <cellStyle name="Millares 4 2 2 3 2" xfId="5833"/>
    <cellStyle name="Millares 4 2 2 4" xfId="5834"/>
    <cellStyle name="Millares 4 2 2 4 2" xfId="5835"/>
    <cellStyle name="Millares 4 2 2 5" xfId="5836"/>
    <cellStyle name="Millares 4 2 2 5 2" xfId="5837"/>
    <cellStyle name="Millares 4 2 2 6" xfId="5838"/>
    <cellStyle name="Millares 4 2 2 6 2" xfId="5839"/>
    <cellStyle name="Millares 4 2 2 7" xfId="5840"/>
    <cellStyle name="Millares 4 2 2 7 2" xfId="5841"/>
    <cellStyle name="Millares 4 2 2 8" xfId="5842"/>
    <cellStyle name="Millares 4 2 2 8 2" xfId="5843"/>
    <cellStyle name="Millares 4 2 2 9" xfId="5844"/>
    <cellStyle name="Millares 4 2 2 9 2" xfId="5845"/>
    <cellStyle name="Millares 4 2 3" xfId="5846"/>
    <cellStyle name="Millares 4 2 3 2" xfId="5847"/>
    <cellStyle name="Millares 4 2 4" xfId="5848"/>
    <cellStyle name="Millares 4 2 4 2" xfId="5849"/>
    <cellStyle name="Millares 4 2 5" xfId="5850"/>
    <cellStyle name="Millares 4 2 5 2" xfId="5851"/>
    <cellStyle name="Millares 4 2 6" xfId="5852"/>
    <cellStyle name="Millares 4 2 6 2" xfId="5853"/>
    <cellStyle name="Millares 4 2 7" xfId="5854"/>
    <cellStyle name="Millares 4 2 7 2" xfId="5855"/>
    <cellStyle name="Millares 4 2 8" xfId="5856"/>
    <cellStyle name="Millares 4 2 8 2" xfId="5857"/>
    <cellStyle name="Millares 4 2 9" xfId="5858"/>
    <cellStyle name="Millares 4 2 9 2" xfId="5859"/>
    <cellStyle name="Millares 4 3" xfId="5860"/>
    <cellStyle name="Millares 4 3 10" xfId="5861"/>
    <cellStyle name="Millares 4 3 10 2" xfId="5862"/>
    <cellStyle name="Millares 4 3 11" xfId="5863"/>
    <cellStyle name="Millares 4 3 2" xfId="5864"/>
    <cellStyle name="Millares 4 3 2 2" xfId="5865"/>
    <cellStyle name="Millares 4 3 3" xfId="5866"/>
    <cellStyle name="Millares 4 3 3 2" xfId="5867"/>
    <cellStyle name="Millares 4 3 4" xfId="5868"/>
    <cellStyle name="Millares 4 3 4 2" xfId="5869"/>
    <cellStyle name="Millares 4 3 5" xfId="5870"/>
    <cellStyle name="Millares 4 3 5 2" xfId="5871"/>
    <cellStyle name="Millares 4 3 6" xfId="5872"/>
    <cellStyle name="Millares 4 3 6 2" xfId="5873"/>
    <cellStyle name="Millares 4 3 7" xfId="5874"/>
    <cellStyle name="Millares 4 3 7 2" xfId="5875"/>
    <cellStyle name="Millares 4 3 8" xfId="5876"/>
    <cellStyle name="Millares 4 3 8 2" xfId="5877"/>
    <cellStyle name="Millares 4 3 9" xfId="5878"/>
    <cellStyle name="Millares 4 3 9 2" xfId="5879"/>
    <cellStyle name="Millares 4 4" xfId="5880"/>
    <cellStyle name="Millares 4 4 2" xfId="5881"/>
    <cellStyle name="Millares 4 5" xfId="5882"/>
    <cellStyle name="Millares 4 5 2" xfId="5883"/>
    <cellStyle name="Millares 4 6" xfId="5884"/>
    <cellStyle name="Millares 4 6 2" xfId="5885"/>
    <cellStyle name="Millares 4 7" xfId="5886"/>
    <cellStyle name="Millares 4 7 2" xfId="5887"/>
    <cellStyle name="Millares 4 8" xfId="5888"/>
    <cellStyle name="Millares 4 8 2" xfId="5889"/>
    <cellStyle name="Millares 4 9" xfId="5890"/>
    <cellStyle name="Millares 4 9 2" xfId="5891"/>
    <cellStyle name="Millares 5" xfId="5892"/>
    <cellStyle name="Millares 5 10" xfId="5893"/>
    <cellStyle name="Millares 5 10 2" xfId="5894"/>
    <cellStyle name="Millares 5 11" xfId="5895"/>
    <cellStyle name="Millares 5 11 2" xfId="5896"/>
    <cellStyle name="Millares 5 12" xfId="5897"/>
    <cellStyle name="Millares 5 12 2" xfId="5898"/>
    <cellStyle name="Millares 5 13" xfId="5899"/>
    <cellStyle name="Millares 5 2" xfId="5900"/>
    <cellStyle name="Millares 5 2 10" xfId="5901"/>
    <cellStyle name="Millares 5 2 10 2" xfId="5902"/>
    <cellStyle name="Millares 5 2 11" xfId="5903"/>
    <cellStyle name="Millares 5 2 11 2" xfId="5904"/>
    <cellStyle name="Millares 5 2 12" xfId="5905"/>
    <cellStyle name="Millares 5 2 2" xfId="5906"/>
    <cellStyle name="Millares 5 2 2 10" xfId="5907"/>
    <cellStyle name="Millares 5 2 2 10 2" xfId="5908"/>
    <cellStyle name="Millares 5 2 2 11" xfId="5909"/>
    <cellStyle name="Millares 5 2 2 2" xfId="5910"/>
    <cellStyle name="Millares 5 2 2 2 2" xfId="5911"/>
    <cellStyle name="Millares 5 2 2 3" xfId="5912"/>
    <cellStyle name="Millares 5 2 2 3 2" xfId="5913"/>
    <cellStyle name="Millares 5 2 2 4" xfId="5914"/>
    <cellStyle name="Millares 5 2 2 4 2" xfId="5915"/>
    <cellStyle name="Millares 5 2 2 5" xfId="5916"/>
    <cellStyle name="Millares 5 2 2 5 2" xfId="5917"/>
    <cellStyle name="Millares 5 2 2 6" xfId="5918"/>
    <cellStyle name="Millares 5 2 2 6 2" xfId="5919"/>
    <cellStyle name="Millares 5 2 2 7" xfId="5920"/>
    <cellStyle name="Millares 5 2 2 7 2" xfId="5921"/>
    <cellStyle name="Millares 5 2 2 8" xfId="5922"/>
    <cellStyle name="Millares 5 2 2 8 2" xfId="5923"/>
    <cellStyle name="Millares 5 2 2 9" xfId="5924"/>
    <cellStyle name="Millares 5 2 2 9 2" xfId="5925"/>
    <cellStyle name="Millares 5 2 3" xfId="5926"/>
    <cellStyle name="Millares 5 2 3 2" xfId="5927"/>
    <cellStyle name="Millares 5 2 4" xfId="5928"/>
    <cellStyle name="Millares 5 2 4 2" xfId="5929"/>
    <cellStyle name="Millares 5 2 5" xfId="5930"/>
    <cellStyle name="Millares 5 2 5 2" xfId="5931"/>
    <cellStyle name="Millares 5 2 6" xfId="5932"/>
    <cellStyle name="Millares 5 2 6 2" xfId="5933"/>
    <cellStyle name="Millares 5 2 7" xfId="5934"/>
    <cellStyle name="Millares 5 2 7 2" xfId="5935"/>
    <cellStyle name="Millares 5 2 8" xfId="5936"/>
    <cellStyle name="Millares 5 2 8 2" xfId="5937"/>
    <cellStyle name="Millares 5 2 9" xfId="5938"/>
    <cellStyle name="Millares 5 2 9 2" xfId="5939"/>
    <cellStyle name="Millares 5 3" xfId="5940"/>
    <cellStyle name="Millares 5 3 10" xfId="5941"/>
    <cellStyle name="Millares 5 3 10 2" xfId="5942"/>
    <cellStyle name="Millares 5 3 11" xfId="5943"/>
    <cellStyle name="Millares 5 3 2" xfId="5944"/>
    <cellStyle name="Millares 5 3 2 2" xfId="5945"/>
    <cellStyle name="Millares 5 3 3" xfId="5946"/>
    <cellStyle name="Millares 5 3 3 2" xfId="5947"/>
    <cellStyle name="Millares 5 3 4" xfId="5948"/>
    <cellStyle name="Millares 5 3 4 2" xfId="5949"/>
    <cellStyle name="Millares 5 3 5" xfId="5950"/>
    <cellStyle name="Millares 5 3 5 2" xfId="5951"/>
    <cellStyle name="Millares 5 3 6" xfId="5952"/>
    <cellStyle name="Millares 5 3 6 2" xfId="5953"/>
    <cellStyle name="Millares 5 3 7" xfId="5954"/>
    <cellStyle name="Millares 5 3 7 2" xfId="5955"/>
    <cellStyle name="Millares 5 3 8" xfId="5956"/>
    <cellStyle name="Millares 5 3 8 2" xfId="5957"/>
    <cellStyle name="Millares 5 3 9" xfId="5958"/>
    <cellStyle name="Millares 5 3 9 2" xfId="5959"/>
    <cellStyle name="Millares 5 4" xfId="5960"/>
    <cellStyle name="Millares 5 4 2" xfId="5961"/>
    <cellStyle name="Millares 5 5" xfId="5962"/>
    <cellStyle name="Millares 5 5 2" xfId="5963"/>
    <cellStyle name="Millares 5 6" xfId="5964"/>
    <cellStyle name="Millares 5 6 2" xfId="5965"/>
    <cellStyle name="Millares 5 7" xfId="5966"/>
    <cellStyle name="Millares 5 7 2" xfId="5967"/>
    <cellStyle name="Millares 5 8" xfId="5968"/>
    <cellStyle name="Millares 5 8 2" xfId="5969"/>
    <cellStyle name="Millares 5 9" xfId="5970"/>
    <cellStyle name="Millares 5 9 2" xfId="5971"/>
    <cellStyle name="Millares 6" xfId="5972"/>
    <cellStyle name="Millares 6 10" xfId="5973"/>
    <cellStyle name="Millares 6 10 2" xfId="5974"/>
    <cellStyle name="Millares 6 11" xfId="5975"/>
    <cellStyle name="Millares 6 11 2" xfId="5976"/>
    <cellStyle name="Millares 6 12" xfId="5977"/>
    <cellStyle name="Millares 6 12 2" xfId="5978"/>
    <cellStyle name="Millares 6 13" xfId="5979"/>
    <cellStyle name="Millares 6 2" xfId="5980"/>
    <cellStyle name="Millares 6 2 10" xfId="5981"/>
    <cellStyle name="Millares 6 2 10 2" xfId="5982"/>
    <cellStyle name="Millares 6 2 11" xfId="5983"/>
    <cellStyle name="Millares 6 2 11 2" xfId="5984"/>
    <cellStyle name="Millares 6 2 12" xfId="5985"/>
    <cellStyle name="Millares 6 2 2" xfId="5986"/>
    <cellStyle name="Millares 6 2 2 10" xfId="5987"/>
    <cellStyle name="Millares 6 2 2 10 2" xfId="5988"/>
    <cellStyle name="Millares 6 2 2 11" xfId="5989"/>
    <cellStyle name="Millares 6 2 2 2" xfId="5990"/>
    <cellStyle name="Millares 6 2 2 2 2" xfId="5991"/>
    <cellStyle name="Millares 6 2 2 3" xfId="5992"/>
    <cellStyle name="Millares 6 2 2 3 2" xfId="5993"/>
    <cellStyle name="Millares 6 2 2 4" xfId="5994"/>
    <cellStyle name="Millares 6 2 2 4 2" xfId="5995"/>
    <cellStyle name="Millares 6 2 2 5" xfId="5996"/>
    <cellStyle name="Millares 6 2 2 5 2" xfId="5997"/>
    <cellStyle name="Millares 6 2 2 6" xfId="5998"/>
    <cellStyle name="Millares 6 2 2 6 2" xfId="5999"/>
    <cellStyle name="Millares 6 2 2 7" xfId="6000"/>
    <cellStyle name="Millares 6 2 2 7 2" xfId="6001"/>
    <cellStyle name="Millares 6 2 2 8" xfId="6002"/>
    <cellStyle name="Millares 6 2 2 8 2" xfId="6003"/>
    <cellStyle name="Millares 6 2 2 9" xfId="6004"/>
    <cellStyle name="Millares 6 2 2 9 2" xfId="6005"/>
    <cellStyle name="Millares 6 2 3" xfId="6006"/>
    <cellStyle name="Millares 6 2 3 2" xfId="6007"/>
    <cellStyle name="Millares 6 2 4" xfId="6008"/>
    <cellStyle name="Millares 6 2 4 2" xfId="6009"/>
    <cellStyle name="Millares 6 2 5" xfId="6010"/>
    <cellStyle name="Millares 6 2 5 2" xfId="6011"/>
    <cellStyle name="Millares 6 2 6" xfId="6012"/>
    <cellStyle name="Millares 6 2 6 2" xfId="6013"/>
    <cellStyle name="Millares 6 2 7" xfId="6014"/>
    <cellStyle name="Millares 6 2 7 2" xfId="6015"/>
    <cellStyle name="Millares 6 2 8" xfId="6016"/>
    <cellStyle name="Millares 6 2 8 2" xfId="6017"/>
    <cellStyle name="Millares 6 2 9" xfId="6018"/>
    <cellStyle name="Millares 6 2 9 2" xfId="6019"/>
    <cellStyle name="Millares 6 3" xfId="6020"/>
    <cellStyle name="Millares 6 3 10" xfId="6021"/>
    <cellStyle name="Millares 6 3 10 2" xfId="6022"/>
    <cellStyle name="Millares 6 3 11" xfId="6023"/>
    <cellStyle name="Millares 6 3 2" xfId="6024"/>
    <cellStyle name="Millares 6 3 2 2" xfId="6025"/>
    <cellStyle name="Millares 6 3 3" xfId="6026"/>
    <cellStyle name="Millares 6 3 3 2" xfId="6027"/>
    <cellStyle name="Millares 6 3 4" xfId="6028"/>
    <cellStyle name="Millares 6 3 4 2" xfId="6029"/>
    <cellStyle name="Millares 6 3 5" xfId="6030"/>
    <cellStyle name="Millares 6 3 5 2" xfId="6031"/>
    <cellStyle name="Millares 6 3 6" xfId="6032"/>
    <cellStyle name="Millares 6 3 6 2" xfId="6033"/>
    <cellStyle name="Millares 6 3 7" xfId="6034"/>
    <cellStyle name="Millares 6 3 7 2" xfId="6035"/>
    <cellStyle name="Millares 6 3 8" xfId="6036"/>
    <cellStyle name="Millares 6 3 8 2" xfId="6037"/>
    <cellStyle name="Millares 6 3 9" xfId="6038"/>
    <cellStyle name="Millares 6 3 9 2" xfId="6039"/>
    <cellStyle name="Millares 6 4" xfId="6040"/>
    <cellStyle name="Millares 6 4 2" xfId="6041"/>
    <cellStyle name="Millares 6 5" xfId="6042"/>
    <cellStyle name="Millares 6 5 2" xfId="6043"/>
    <cellStyle name="Millares 6 6" xfId="6044"/>
    <cellStyle name="Millares 6 6 2" xfId="6045"/>
    <cellStyle name="Millares 6 7" xfId="6046"/>
    <cellStyle name="Millares 6 7 2" xfId="6047"/>
    <cellStyle name="Millares 6 8" xfId="6048"/>
    <cellStyle name="Millares 6 8 2" xfId="6049"/>
    <cellStyle name="Millares 6 9" xfId="6050"/>
    <cellStyle name="Millares 6 9 2" xfId="6051"/>
    <cellStyle name="Millares 7" xfId="6052"/>
    <cellStyle name="Millares 7 10" xfId="6053"/>
    <cellStyle name="Millares 7 11" xfId="6054"/>
    <cellStyle name="Millares 7 12" xfId="6055"/>
    <cellStyle name="Millares 7 2" xfId="6056"/>
    <cellStyle name="Millares 7 3" xfId="6057"/>
    <cellStyle name="Millares 7 4" xfId="6058"/>
    <cellStyle name="Millares 7 5" xfId="6059"/>
    <cellStyle name="Millares 7 6" xfId="6060"/>
    <cellStyle name="Millares 7 7" xfId="6061"/>
    <cellStyle name="Millares 7 8" xfId="6062"/>
    <cellStyle name="Millares 7 9" xfId="6063"/>
    <cellStyle name="Millares 8" xfId="6064"/>
    <cellStyle name="Millares 9" xfId="6065"/>
    <cellStyle name="Moneda 2" xfId="6066"/>
    <cellStyle name="Moneda 2 2" xfId="6067"/>
    <cellStyle name="Moneda 2 3" xfId="6068"/>
    <cellStyle name="Moneda 3" xfId="6069"/>
    <cellStyle name="Moneda 4" xfId="6070"/>
    <cellStyle name="Moneda 5" xfId="6071"/>
    <cellStyle name="Moneda 6" xfId="6072"/>
    <cellStyle name="Moneda 7" xfId="6073"/>
    <cellStyle name="Moneda 8" xfId="6074"/>
    <cellStyle name="Neutral 2" xfId="6075"/>
    <cellStyle name="Neutral 2 2" xfId="6076"/>
    <cellStyle name="Neutral 2 3" xfId="6077"/>
    <cellStyle name="Neutral 2 4" xfId="6078"/>
    <cellStyle name="Neutral 3" xfId="6079"/>
    <cellStyle name="Neutral 4" xfId="6080"/>
    <cellStyle name="Neutral 5" xfId="6081"/>
    <cellStyle name="Neutral 6" xfId="6082"/>
    <cellStyle name="Neutral 7" xfId="6083"/>
    <cellStyle name="Neutral 8" xfId="6084"/>
    <cellStyle name="Normal" xfId="0" builtinId="0"/>
    <cellStyle name="Normal 10" xfId="6085"/>
    <cellStyle name="Normal 10 10" xfId="6086"/>
    <cellStyle name="Normal 10 10 2" xfId="6087"/>
    <cellStyle name="Normal 10 11" xfId="6088"/>
    <cellStyle name="Normal 10 11 2" xfId="6089"/>
    <cellStyle name="Normal 10 12" xfId="6090"/>
    <cellStyle name="Normal 10 12 2" xfId="6091"/>
    <cellStyle name="Normal 10 13" xfId="6092"/>
    <cellStyle name="Normal 10 13 2" xfId="6093"/>
    <cellStyle name="Normal 10 14" xfId="6094"/>
    <cellStyle name="Normal 10 14 2" xfId="6095"/>
    <cellStyle name="Normal 10 15" xfId="6096"/>
    <cellStyle name="Normal 10 15 2" xfId="6097"/>
    <cellStyle name="Normal 10 16" xfId="6098"/>
    <cellStyle name="Normal 10 16 2" xfId="6099"/>
    <cellStyle name="Normal 10 17" xfId="6100"/>
    <cellStyle name="Normal 10 17 2" xfId="6101"/>
    <cellStyle name="Normal 10 18" xfId="6102"/>
    <cellStyle name="Normal 10 18 2" xfId="6103"/>
    <cellStyle name="Normal 10 19" xfId="6104"/>
    <cellStyle name="Normal 10 2" xfId="6105"/>
    <cellStyle name="Normal 10 2 2" xfId="6106"/>
    <cellStyle name="Normal 10 20" xfId="6107"/>
    <cellStyle name="Normal 10 3" xfId="6108"/>
    <cellStyle name="Normal 10 3 2" xfId="6109"/>
    <cellStyle name="Normal 10 4" xfId="6110"/>
    <cellStyle name="Normal 10 4 2" xfId="6111"/>
    <cellStyle name="Normal 10 5" xfId="6112"/>
    <cellStyle name="Normal 10 5 2" xfId="6113"/>
    <cellStyle name="Normal 10 6" xfId="6114"/>
    <cellStyle name="Normal 10 6 2" xfId="6115"/>
    <cellStyle name="Normal 10 7" xfId="6116"/>
    <cellStyle name="Normal 10 8" xfId="6117"/>
    <cellStyle name="Normal 10 8 10" xfId="6118"/>
    <cellStyle name="Normal 10 8 10 2" xfId="6119"/>
    <cellStyle name="Normal 10 8 11" xfId="6120"/>
    <cellStyle name="Normal 10 8 11 2" xfId="6121"/>
    <cellStyle name="Normal 10 8 12" xfId="6122"/>
    <cellStyle name="Normal 10 8 2" xfId="6123"/>
    <cellStyle name="Normal 10 8 2 10" xfId="6124"/>
    <cellStyle name="Normal 10 8 2 10 2" xfId="6125"/>
    <cellStyle name="Normal 10 8 2 11" xfId="6126"/>
    <cellStyle name="Normal 10 8 2 2" xfId="6127"/>
    <cellStyle name="Normal 10 8 2 2 2" xfId="6128"/>
    <cellStyle name="Normal 10 8 2 3" xfId="6129"/>
    <cellStyle name="Normal 10 8 2 3 2" xfId="6130"/>
    <cellStyle name="Normal 10 8 2 4" xfId="6131"/>
    <cellStyle name="Normal 10 8 2 4 2" xfId="6132"/>
    <cellStyle name="Normal 10 8 2 5" xfId="6133"/>
    <cellStyle name="Normal 10 8 2 5 2" xfId="6134"/>
    <cellStyle name="Normal 10 8 2 6" xfId="6135"/>
    <cellStyle name="Normal 10 8 2 6 2" xfId="6136"/>
    <cellStyle name="Normal 10 8 2 7" xfId="6137"/>
    <cellStyle name="Normal 10 8 2 7 2" xfId="6138"/>
    <cellStyle name="Normal 10 8 2 8" xfId="6139"/>
    <cellStyle name="Normal 10 8 2 8 2" xfId="6140"/>
    <cellStyle name="Normal 10 8 2 9" xfId="6141"/>
    <cellStyle name="Normal 10 8 2 9 2" xfId="6142"/>
    <cellStyle name="Normal 10 8 3" xfId="6143"/>
    <cellStyle name="Normal 10 8 3 2" xfId="6144"/>
    <cellStyle name="Normal 10 8 4" xfId="6145"/>
    <cellStyle name="Normal 10 8 4 2" xfId="6146"/>
    <cellStyle name="Normal 10 8 5" xfId="6147"/>
    <cellStyle name="Normal 10 8 5 2" xfId="6148"/>
    <cellStyle name="Normal 10 8 6" xfId="6149"/>
    <cellStyle name="Normal 10 8 6 2" xfId="6150"/>
    <cellStyle name="Normal 10 8 7" xfId="6151"/>
    <cellStyle name="Normal 10 8 7 2" xfId="6152"/>
    <cellStyle name="Normal 10 8 8" xfId="6153"/>
    <cellStyle name="Normal 10 8 8 2" xfId="6154"/>
    <cellStyle name="Normal 10 8 9" xfId="6155"/>
    <cellStyle name="Normal 10 8 9 2" xfId="6156"/>
    <cellStyle name="Normal 10 9" xfId="6157"/>
    <cellStyle name="Normal 10 9 10" xfId="6158"/>
    <cellStyle name="Normal 10 9 10 2" xfId="6159"/>
    <cellStyle name="Normal 10 9 11" xfId="6160"/>
    <cellStyle name="Normal 10 9 2" xfId="6161"/>
    <cellStyle name="Normal 10 9 2 2" xfId="6162"/>
    <cellStyle name="Normal 10 9 3" xfId="6163"/>
    <cellStyle name="Normal 10 9 3 2" xfId="6164"/>
    <cellStyle name="Normal 10 9 4" xfId="6165"/>
    <cellStyle name="Normal 10 9 4 2" xfId="6166"/>
    <cellStyle name="Normal 10 9 5" xfId="6167"/>
    <cellStyle name="Normal 10 9 5 2" xfId="6168"/>
    <cellStyle name="Normal 10 9 6" xfId="6169"/>
    <cellStyle name="Normal 10 9 6 2" xfId="6170"/>
    <cellStyle name="Normal 10 9 7" xfId="6171"/>
    <cellStyle name="Normal 10 9 7 2" xfId="6172"/>
    <cellStyle name="Normal 10 9 8" xfId="6173"/>
    <cellStyle name="Normal 10 9 8 2" xfId="6174"/>
    <cellStyle name="Normal 10 9 9" xfId="6175"/>
    <cellStyle name="Normal 10 9 9 2" xfId="6176"/>
    <cellStyle name="Normal 11" xfId="6177"/>
    <cellStyle name="Normal 11 2" xfId="6178"/>
    <cellStyle name="Normal 11 2 10" xfId="6179"/>
    <cellStyle name="Normal 11 2 11" xfId="6180"/>
    <cellStyle name="Normal 11 2 12" xfId="6181"/>
    <cellStyle name="Normal 11 2 13" xfId="6182"/>
    <cellStyle name="Normal 11 2 14" xfId="6183"/>
    <cellStyle name="Normal 11 2 15" xfId="6184"/>
    <cellStyle name="Normal 11 2 2" xfId="6185"/>
    <cellStyle name="Normal 11 2 3" xfId="6186"/>
    <cellStyle name="Normal 11 2 4" xfId="6187"/>
    <cellStyle name="Normal 11 2 5" xfId="6188"/>
    <cellStyle name="Normal 11 2 6" xfId="6189"/>
    <cellStyle name="Normal 11 2 7" xfId="6190"/>
    <cellStyle name="Normal 11 2 8" xfId="6191"/>
    <cellStyle name="Normal 11 2 9" xfId="6192"/>
    <cellStyle name="Normal 11 3" xfId="6193"/>
    <cellStyle name="Normal 11 3 10" xfId="6194"/>
    <cellStyle name="Normal 11 3 11" xfId="6195"/>
    <cellStyle name="Normal 11 3 12" xfId="6196"/>
    <cellStyle name="Normal 11 3 13" xfId="6197"/>
    <cellStyle name="Normal 11 3 14" xfId="6198"/>
    <cellStyle name="Normal 11 3 2" xfId="6199"/>
    <cellStyle name="Normal 11 3 3" xfId="6200"/>
    <cellStyle name="Normal 11 3 4" xfId="6201"/>
    <cellStyle name="Normal 11 3 5" xfId="6202"/>
    <cellStyle name="Normal 11 3 6" xfId="6203"/>
    <cellStyle name="Normal 11 3 7" xfId="6204"/>
    <cellStyle name="Normal 11 3 8" xfId="6205"/>
    <cellStyle name="Normal 11 3 9" xfId="6206"/>
    <cellStyle name="Normal 11 4" xfId="6207"/>
    <cellStyle name="Normal 11 4 2" xfId="6208"/>
    <cellStyle name="Normal 11 5" xfId="6209"/>
    <cellStyle name="Normal 11 5 2" xfId="6210"/>
    <cellStyle name="Normal 11 6" xfId="6211"/>
    <cellStyle name="Normal 11 6 2" xfId="6212"/>
    <cellStyle name="Normal 11 7" xfId="6213"/>
    <cellStyle name="Normal 12" xfId="6214"/>
    <cellStyle name="Normal 12 2" xfId="6215"/>
    <cellStyle name="Normal 12 2 10" xfId="6216"/>
    <cellStyle name="Normal 12 2 11" xfId="6217"/>
    <cellStyle name="Normal 12 2 12" xfId="6218"/>
    <cellStyle name="Normal 12 2 13" xfId="6219"/>
    <cellStyle name="Normal 12 2 14" xfId="6220"/>
    <cellStyle name="Normal 12 2 15" xfId="6221"/>
    <cellStyle name="Normal 12 2 2" xfId="6222"/>
    <cellStyle name="Normal 12 2 3" xfId="6223"/>
    <cellStyle name="Normal 12 2 4" xfId="6224"/>
    <cellStyle name="Normal 12 2 5" xfId="6225"/>
    <cellStyle name="Normal 12 2 6" xfId="6226"/>
    <cellStyle name="Normal 12 2 7" xfId="6227"/>
    <cellStyle name="Normal 12 2 8" xfId="6228"/>
    <cellStyle name="Normal 12 2 9" xfId="6229"/>
    <cellStyle name="Normal 12 3" xfId="6230"/>
    <cellStyle name="Normal 12 3 10" xfId="6231"/>
    <cellStyle name="Normal 12 3 11" xfId="6232"/>
    <cellStyle name="Normal 12 3 12" xfId="6233"/>
    <cellStyle name="Normal 12 3 13" xfId="6234"/>
    <cellStyle name="Normal 12 3 14" xfId="6235"/>
    <cellStyle name="Normal 12 3 2" xfId="6236"/>
    <cellStyle name="Normal 12 3 3" xfId="6237"/>
    <cellStyle name="Normal 12 3 4" xfId="6238"/>
    <cellStyle name="Normal 12 3 5" xfId="6239"/>
    <cellStyle name="Normal 12 3 6" xfId="6240"/>
    <cellStyle name="Normal 12 3 7" xfId="6241"/>
    <cellStyle name="Normal 12 3 8" xfId="6242"/>
    <cellStyle name="Normal 12 3 9" xfId="6243"/>
    <cellStyle name="Normal 13" xfId="6244"/>
    <cellStyle name="Normal 13 2" xfId="6245"/>
    <cellStyle name="Normal 13 2 2" xfId="6246"/>
    <cellStyle name="Normal 13 3" xfId="6247"/>
    <cellStyle name="Normal 14" xfId="6248"/>
    <cellStyle name="Normal 14 10" xfId="6249"/>
    <cellStyle name="Normal 14 10 2" xfId="6250"/>
    <cellStyle name="Normal 14 11" xfId="6251"/>
    <cellStyle name="Normal 14 11 2" xfId="6252"/>
    <cellStyle name="Normal 14 12" xfId="6253"/>
    <cellStyle name="Normal 14 12 2" xfId="6254"/>
    <cellStyle name="Normal 14 13" xfId="6255"/>
    <cellStyle name="Normal 14 13 2" xfId="6256"/>
    <cellStyle name="Normal 14 14" xfId="6257"/>
    <cellStyle name="Normal 14 14 2" xfId="6258"/>
    <cellStyle name="Normal 14 15" xfId="6259"/>
    <cellStyle name="Normal 14 16" xfId="6260"/>
    <cellStyle name="Normal 14 2" xfId="6261"/>
    <cellStyle name="Normal 14 2 2" xfId="6262"/>
    <cellStyle name="Normal 14 3" xfId="6263"/>
    <cellStyle name="Normal 14 4" xfId="6264"/>
    <cellStyle name="Normal 14 4 10" xfId="6265"/>
    <cellStyle name="Normal 14 4 10 2" xfId="6266"/>
    <cellStyle name="Normal 14 4 11" xfId="6267"/>
    <cellStyle name="Normal 14 4 11 2" xfId="6268"/>
    <cellStyle name="Normal 14 4 12" xfId="6269"/>
    <cellStyle name="Normal 14 4 2" xfId="6270"/>
    <cellStyle name="Normal 14 4 2 10" xfId="6271"/>
    <cellStyle name="Normal 14 4 2 10 2" xfId="6272"/>
    <cellStyle name="Normal 14 4 2 11" xfId="6273"/>
    <cellStyle name="Normal 14 4 2 2" xfId="6274"/>
    <cellStyle name="Normal 14 4 2 2 2" xfId="6275"/>
    <cellStyle name="Normal 14 4 2 3" xfId="6276"/>
    <cellStyle name="Normal 14 4 2 3 2" xfId="6277"/>
    <cellStyle name="Normal 14 4 2 4" xfId="6278"/>
    <cellStyle name="Normal 14 4 2 4 2" xfId="6279"/>
    <cellStyle name="Normal 14 4 2 5" xfId="6280"/>
    <cellStyle name="Normal 14 4 2 5 2" xfId="6281"/>
    <cellStyle name="Normal 14 4 2 6" xfId="6282"/>
    <cellStyle name="Normal 14 4 2 6 2" xfId="6283"/>
    <cellStyle name="Normal 14 4 2 7" xfId="6284"/>
    <cellStyle name="Normal 14 4 2 7 2" xfId="6285"/>
    <cellStyle name="Normal 14 4 2 8" xfId="6286"/>
    <cellStyle name="Normal 14 4 2 8 2" xfId="6287"/>
    <cellStyle name="Normal 14 4 2 9" xfId="6288"/>
    <cellStyle name="Normal 14 4 2 9 2" xfId="6289"/>
    <cellStyle name="Normal 14 4 3" xfId="6290"/>
    <cellStyle name="Normal 14 4 3 2" xfId="6291"/>
    <cellStyle name="Normal 14 4 4" xfId="6292"/>
    <cellStyle name="Normal 14 4 4 2" xfId="6293"/>
    <cellStyle name="Normal 14 4 5" xfId="6294"/>
    <cellStyle name="Normal 14 4 5 2" xfId="6295"/>
    <cellStyle name="Normal 14 4 6" xfId="6296"/>
    <cellStyle name="Normal 14 4 6 2" xfId="6297"/>
    <cellStyle name="Normal 14 4 7" xfId="6298"/>
    <cellStyle name="Normal 14 4 7 2" xfId="6299"/>
    <cellStyle name="Normal 14 4 8" xfId="6300"/>
    <cellStyle name="Normal 14 4 8 2" xfId="6301"/>
    <cellStyle name="Normal 14 4 9" xfId="6302"/>
    <cellStyle name="Normal 14 4 9 2" xfId="6303"/>
    <cellStyle name="Normal 14 5" xfId="6304"/>
    <cellStyle name="Normal 14 5 10" xfId="6305"/>
    <cellStyle name="Normal 14 5 10 2" xfId="6306"/>
    <cellStyle name="Normal 14 5 11" xfId="6307"/>
    <cellStyle name="Normal 14 5 2" xfId="6308"/>
    <cellStyle name="Normal 14 5 2 2" xfId="6309"/>
    <cellStyle name="Normal 14 5 3" xfId="6310"/>
    <cellStyle name="Normal 14 5 3 2" xfId="6311"/>
    <cellStyle name="Normal 14 5 4" xfId="6312"/>
    <cellStyle name="Normal 14 5 4 2" xfId="6313"/>
    <cellStyle name="Normal 14 5 5" xfId="6314"/>
    <cellStyle name="Normal 14 5 5 2" xfId="6315"/>
    <cellStyle name="Normal 14 5 6" xfId="6316"/>
    <cellStyle name="Normal 14 5 6 2" xfId="6317"/>
    <cellStyle name="Normal 14 5 7" xfId="6318"/>
    <cellStyle name="Normal 14 5 7 2" xfId="6319"/>
    <cellStyle name="Normal 14 5 8" xfId="6320"/>
    <cellStyle name="Normal 14 5 8 2" xfId="6321"/>
    <cellStyle name="Normal 14 5 9" xfId="6322"/>
    <cellStyle name="Normal 14 5 9 2" xfId="6323"/>
    <cellStyle name="Normal 14 6" xfId="6324"/>
    <cellStyle name="Normal 14 6 2" xfId="6325"/>
    <cellStyle name="Normal 14 7" xfId="6326"/>
    <cellStyle name="Normal 14 7 2" xfId="6327"/>
    <cellStyle name="Normal 14 8" xfId="6328"/>
    <cellStyle name="Normal 14 8 2" xfId="6329"/>
    <cellStyle name="Normal 14 9" xfId="6330"/>
    <cellStyle name="Normal 14 9 2" xfId="6331"/>
    <cellStyle name="Normal 15" xfId="6332"/>
    <cellStyle name="Normal 15 10" xfId="6333"/>
    <cellStyle name="Normal 15 10 2" xfId="6334"/>
    <cellStyle name="Normal 15 11" xfId="6335"/>
    <cellStyle name="Normal 15 11 2" xfId="6336"/>
    <cellStyle name="Normal 15 12" xfId="6337"/>
    <cellStyle name="Normal 15 12 2" xfId="6338"/>
    <cellStyle name="Normal 15 13" xfId="6339"/>
    <cellStyle name="Normal 15 13 2" xfId="6340"/>
    <cellStyle name="Normal 15 14" xfId="6341"/>
    <cellStyle name="Normal 15 14 2" xfId="6342"/>
    <cellStyle name="Normal 15 15" xfId="6343"/>
    <cellStyle name="Normal 15 16" xfId="6344"/>
    <cellStyle name="Normal 15 2" xfId="6345"/>
    <cellStyle name="Normal 15 2 2" xfId="6346"/>
    <cellStyle name="Normal 15 3" xfId="6347"/>
    <cellStyle name="Normal 15 4" xfId="6348"/>
    <cellStyle name="Normal 15 4 10" xfId="6349"/>
    <cellStyle name="Normal 15 4 10 2" xfId="6350"/>
    <cellStyle name="Normal 15 4 11" xfId="6351"/>
    <cellStyle name="Normal 15 4 11 2" xfId="6352"/>
    <cellStyle name="Normal 15 4 12" xfId="6353"/>
    <cellStyle name="Normal 15 4 2" xfId="6354"/>
    <cellStyle name="Normal 15 4 2 10" xfId="6355"/>
    <cellStyle name="Normal 15 4 2 10 2" xfId="6356"/>
    <cellStyle name="Normal 15 4 2 11" xfId="6357"/>
    <cellStyle name="Normal 15 4 2 2" xfId="6358"/>
    <cellStyle name="Normal 15 4 2 2 2" xfId="6359"/>
    <cellStyle name="Normal 15 4 2 3" xfId="6360"/>
    <cellStyle name="Normal 15 4 2 3 2" xfId="6361"/>
    <cellStyle name="Normal 15 4 2 4" xfId="6362"/>
    <cellStyle name="Normal 15 4 2 4 2" xfId="6363"/>
    <cellStyle name="Normal 15 4 2 5" xfId="6364"/>
    <cellStyle name="Normal 15 4 2 5 2" xfId="6365"/>
    <cellStyle name="Normal 15 4 2 6" xfId="6366"/>
    <cellStyle name="Normal 15 4 2 6 2" xfId="6367"/>
    <cellStyle name="Normal 15 4 2 7" xfId="6368"/>
    <cellStyle name="Normal 15 4 2 7 2" xfId="6369"/>
    <cellStyle name="Normal 15 4 2 8" xfId="6370"/>
    <cellStyle name="Normal 15 4 2 8 2" xfId="6371"/>
    <cellStyle name="Normal 15 4 2 9" xfId="6372"/>
    <cellStyle name="Normal 15 4 2 9 2" xfId="6373"/>
    <cellStyle name="Normal 15 4 3" xfId="6374"/>
    <cellStyle name="Normal 15 4 3 2" xfId="6375"/>
    <cellStyle name="Normal 15 4 4" xfId="6376"/>
    <cellStyle name="Normal 15 4 4 2" xfId="6377"/>
    <cellStyle name="Normal 15 4 5" xfId="6378"/>
    <cellStyle name="Normal 15 4 5 2" xfId="6379"/>
    <cellStyle name="Normal 15 4 6" xfId="6380"/>
    <cellStyle name="Normal 15 4 6 2" xfId="6381"/>
    <cellStyle name="Normal 15 4 7" xfId="6382"/>
    <cellStyle name="Normal 15 4 7 2" xfId="6383"/>
    <cellStyle name="Normal 15 4 8" xfId="6384"/>
    <cellStyle name="Normal 15 4 8 2" xfId="6385"/>
    <cellStyle name="Normal 15 4 9" xfId="6386"/>
    <cellStyle name="Normal 15 4 9 2" xfId="6387"/>
    <cellStyle name="Normal 15 5" xfId="6388"/>
    <cellStyle name="Normal 15 5 10" xfId="6389"/>
    <cellStyle name="Normal 15 5 10 2" xfId="6390"/>
    <cellStyle name="Normal 15 5 11" xfId="6391"/>
    <cellStyle name="Normal 15 5 2" xfId="6392"/>
    <cellStyle name="Normal 15 5 2 2" xfId="6393"/>
    <cellStyle name="Normal 15 5 3" xfId="6394"/>
    <cellStyle name="Normal 15 5 3 2" xfId="6395"/>
    <cellStyle name="Normal 15 5 4" xfId="6396"/>
    <cellStyle name="Normal 15 5 4 2" xfId="6397"/>
    <cellStyle name="Normal 15 5 5" xfId="6398"/>
    <cellStyle name="Normal 15 5 5 2" xfId="6399"/>
    <cellStyle name="Normal 15 5 6" xfId="6400"/>
    <cellStyle name="Normal 15 5 6 2" xfId="6401"/>
    <cellStyle name="Normal 15 5 7" xfId="6402"/>
    <cellStyle name="Normal 15 5 7 2" xfId="6403"/>
    <cellStyle name="Normal 15 5 8" xfId="6404"/>
    <cellStyle name="Normal 15 5 8 2" xfId="6405"/>
    <cellStyle name="Normal 15 5 9" xfId="6406"/>
    <cellStyle name="Normal 15 5 9 2" xfId="6407"/>
    <cellStyle name="Normal 15 6" xfId="6408"/>
    <cellStyle name="Normal 15 6 2" xfId="6409"/>
    <cellStyle name="Normal 15 7" xfId="6410"/>
    <cellStyle name="Normal 15 7 2" xfId="6411"/>
    <cellStyle name="Normal 15 8" xfId="6412"/>
    <cellStyle name="Normal 15 8 2" xfId="6413"/>
    <cellStyle name="Normal 15 9" xfId="6414"/>
    <cellStyle name="Normal 15 9 2" xfId="6415"/>
    <cellStyle name="Normal 16" xfId="6416"/>
    <cellStyle name="Normal 16 10" xfId="6417"/>
    <cellStyle name="Normal 16 11" xfId="6418"/>
    <cellStyle name="Normal 16 12" xfId="6419"/>
    <cellStyle name="Normal 16 13" xfId="6420"/>
    <cellStyle name="Normal 16 14" xfId="6421"/>
    <cellStyle name="Normal 16 15" xfId="6422"/>
    <cellStyle name="Normal 16 2" xfId="6423"/>
    <cellStyle name="Normal 16 3" xfId="6424"/>
    <cellStyle name="Normal 16 4" xfId="6425"/>
    <cellStyle name="Normal 16 5" xfId="6426"/>
    <cellStyle name="Normal 16 6" xfId="6427"/>
    <cellStyle name="Normal 16 7" xfId="6428"/>
    <cellStyle name="Normal 16 8" xfId="6429"/>
    <cellStyle name="Normal 16 9" xfId="6430"/>
    <cellStyle name="Normal 17" xfId="6431"/>
    <cellStyle name="Normal 17 10" xfId="6432"/>
    <cellStyle name="Normal 17 10 2" xfId="6433"/>
    <cellStyle name="Normal 17 11" xfId="6434"/>
    <cellStyle name="Normal 17 11 2" xfId="6435"/>
    <cellStyle name="Normal 17 12" xfId="6436"/>
    <cellStyle name="Normal 17 12 2" xfId="6437"/>
    <cellStyle name="Normal 17 13" xfId="6438"/>
    <cellStyle name="Normal 17 14" xfId="6439"/>
    <cellStyle name="Normal 17 2" xfId="6440"/>
    <cellStyle name="Normal 17 2 10" xfId="6441"/>
    <cellStyle name="Normal 17 2 10 2" xfId="6442"/>
    <cellStyle name="Normal 17 2 11" xfId="6443"/>
    <cellStyle name="Normal 17 2 11 2" xfId="6444"/>
    <cellStyle name="Normal 17 2 12" xfId="6445"/>
    <cellStyle name="Normal 17 2 13" xfId="6446"/>
    <cellStyle name="Normal 17 2 2" xfId="6447"/>
    <cellStyle name="Normal 17 2 2 10" xfId="6448"/>
    <cellStyle name="Normal 17 2 2 10 2" xfId="6449"/>
    <cellStyle name="Normal 17 2 2 11" xfId="6450"/>
    <cellStyle name="Normal 17 2 2 2" xfId="6451"/>
    <cellStyle name="Normal 17 2 2 2 2" xfId="6452"/>
    <cellStyle name="Normal 17 2 2 3" xfId="6453"/>
    <cellStyle name="Normal 17 2 2 3 2" xfId="6454"/>
    <cellStyle name="Normal 17 2 2 4" xfId="6455"/>
    <cellStyle name="Normal 17 2 2 4 2" xfId="6456"/>
    <cellStyle name="Normal 17 2 2 5" xfId="6457"/>
    <cellStyle name="Normal 17 2 2 5 2" xfId="6458"/>
    <cellStyle name="Normal 17 2 2 6" xfId="6459"/>
    <cellStyle name="Normal 17 2 2 6 2" xfId="6460"/>
    <cellStyle name="Normal 17 2 2 7" xfId="6461"/>
    <cellStyle name="Normal 17 2 2 7 2" xfId="6462"/>
    <cellStyle name="Normal 17 2 2 8" xfId="6463"/>
    <cellStyle name="Normal 17 2 2 8 2" xfId="6464"/>
    <cellStyle name="Normal 17 2 2 9" xfId="6465"/>
    <cellStyle name="Normal 17 2 2 9 2" xfId="6466"/>
    <cellStyle name="Normal 17 2 3" xfId="6467"/>
    <cellStyle name="Normal 17 2 3 2" xfId="6468"/>
    <cellStyle name="Normal 17 2 4" xfId="6469"/>
    <cellStyle name="Normal 17 2 4 2" xfId="6470"/>
    <cellStyle name="Normal 17 2 5" xfId="6471"/>
    <cellStyle name="Normal 17 2 5 2" xfId="6472"/>
    <cellStyle name="Normal 17 2 6" xfId="6473"/>
    <cellStyle name="Normal 17 2 6 2" xfId="6474"/>
    <cellStyle name="Normal 17 2 7" xfId="6475"/>
    <cellStyle name="Normal 17 2 7 2" xfId="6476"/>
    <cellStyle name="Normal 17 2 8" xfId="6477"/>
    <cellStyle name="Normal 17 2 8 2" xfId="6478"/>
    <cellStyle name="Normal 17 2 9" xfId="6479"/>
    <cellStyle name="Normal 17 2 9 2" xfId="6480"/>
    <cellStyle name="Normal 17 3" xfId="6481"/>
    <cellStyle name="Normal 17 3 10" xfId="6482"/>
    <cellStyle name="Normal 17 3 10 2" xfId="6483"/>
    <cellStyle name="Normal 17 3 11" xfId="6484"/>
    <cellStyle name="Normal 17 3 2" xfId="6485"/>
    <cellStyle name="Normal 17 3 2 2" xfId="6486"/>
    <cellStyle name="Normal 17 3 3" xfId="6487"/>
    <cellStyle name="Normal 17 3 3 2" xfId="6488"/>
    <cellStyle name="Normal 17 3 4" xfId="6489"/>
    <cellStyle name="Normal 17 3 4 2" xfId="6490"/>
    <cellStyle name="Normal 17 3 5" xfId="6491"/>
    <cellStyle name="Normal 17 3 5 2" xfId="6492"/>
    <cellStyle name="Normal 17 3 6" xfId="6493"/>
    <cellStyle name="Normal 17 3 6 2" xfId="6494"/>
    <cellStyle name="Normal 17 3 7" xfId="6495"/>
    <cellStyle name="Normal 17 3 7 2" xfId="6496"/>
    <cellStyle name="Normal 17 3 8" xfId="6497"/>
    <cellStyle name="Normal 17 3 8 2" xfId="6498"/>
    <cellStyle name="Normal 17 3 9" xfId="6499"/>
    <cellStyle name="Normal 17 3 9 2" xfId="6500"/>
    <cellStyle name="Normal 17 4" xfId="6501"/>
    <cellStyle name="Normal 17 4 2" xfId="6502"/>
    <cellStyle name="Normal 17 5" xfId="6503"/>
    <cellStyle name="Normal 17 5 2" xfId="6504"/>
    <cellStyle name="Normal 17 6" xfId="6505"/>
    <cellStyle name="Normal 17 6 2" xfId="6506"/>
    <cellStyle name="Normal 17 7" xfId="6507"/>
    <cellStyle name="Normal 17 7 2" xfId="6508"/>
    <cellStyle name="Normal 17 8" xfId="6509"/>
    <cellStyle name="Normal 17 8 2" xfId="6510"/>
    <cellStyle name="Normal 17 9" xfId="6511"/>
    <cellStyle name="Normal 17 9 2" xfId="6512"/>
    <cellStyle name="Normal 18" xfId="6513"/>
    <cellStyle name="Normal 18 10" xfId="6514"/>
    <cellStyle name="Normal 18 11" xfId="6515"/>
    <cellStyle name="Normal 18 12" xfId="6516"/>
    <cellStyle name="Normal 18 13" xfId="6517"/>
    <cellStyle name="Normal 18 14" xfId="6518"/>
    <cellStyle name="Normal 18 15" xfId="6519"/>
    <cellStyle name="Normal 18 16" xfId="6520"/>
    <cellStyle name="Normal 18 2" xfId="6521"/>
    <cellStyle name="Normal 18 2 10" xfId="6522"/>
    <cellStyle name="Normal 18 2 11" xfId="6523"/>
    <cellStyle name="Normal 18 2 12" xfId="6524"/>
    <cellStyle name="Normal 18 2 13" xfId="6525"/>
    <cellStyle name="Normal 18 2 14" xfId="6526"/>
    <cellStyle name="Normal 18 2 2" xfId="6527"/>
    <cellStyle name="Normal 18 2 3" xfId="6528"/>
    <cellStyle name="Normal 18 2 4" xfId="6529"/>
    <cellStyle name="Normal 18 2 5" xfId="6530"/>
    <cellStyle name="Normal 18 2 6" xfId="6531"/>
    <cellStyle name="Normal 18 2 7" xfId="6532"/>
    <cellStyle name="Normal 18 2 8" xfId="6533"/>
    <cellStyle name="Normal 18 2 9" xfId="6534"/>
    <cellStyle name="Normal 18 3" xfId="6535"/>
    <cellStyle name="Normal 18 4" xfId="6536"/>
    <cellStyle name="Normal 18 5" xfId="6537"/>
    <cellStyle name="Normal 18 6" xfId="6538"/>
    <cellStyle name="Normal 18 7" xfId="6539"/>
    <cellStyle name="Normal 18 8" xfId="6540"/>
    <cellStyle name="Normal 18 9" xfId="6541"/>
    <cellStyle name="Normal 19" xfId="6542"/>
    <cellStyle name="Normal 19 10" xfId="6543"/>
    <cellStyle name="Normal 19 11" xfId="6544"/>
    <cellStyle name="Normal 19 12" xfId="6545"/>
    <cellStyle name="Normal 19 13" xfId="6546"/>
    <cellStyle name="Normal 19 14" xfId="6547"/>
    <cellStyle name="Normal 19 15" xfId="6548"/>
    <cellStyle name="Normal 19 2" xfId="6549"/>
    <cellStyle name="Normal 19 3" xfId="6550"/>
    <cellStyle name="Normal 19 4" xfId="6551"/>
    <cellStyle name="Normal 19 5" xfId="6552"/>
    <cellStyle name="Normal 19 6" xfId="6553"/>
    <cellStyle name="Normal 19 7" xfId="6554"/>
    <cellStyle name="Normal 19 8" xfId="6555"/>
    <cellStyle name="Normal 19 9" xfId="6556"/>
    <cellStyle name="Normal 2" xfId="6557"/>
    <cellStyle name="Normal 2 10" xfId="6558"/>
    <cellStyle name="Normal 2 10 10" xfId="6559"/>
    <cellStyle name="Normal 2 10 10 2" xfId="6560"/>
    <cellStyle name="Normal 2 10 11" xfId="6561"/>
    <cellStyle name="Normal 2 10 11 2" xfId="6562"/>
    <cellStyle name="Normal 2 10 12" xfId="6563"/>
    <cellStyle name="Normal 2 10 12 2" xfId="6564"/>
    <cellStyle name="Normal 2 10 13" xfId="6565"/>
    <cellStyle name="Normal 2 10 2" xfId="6566"/>
    <cellStyle name="Normal 2 10 2 10" xfId="6567"/>
    <cellStyle name="Normal 2 10 2 10 2" xfId="6568"/>
    <cellStyle name="Normal 2 10 2 11" xfId="6569"/>
    <cellStyle name="Normal 2 10 2 11 2" xfId="6570"/>
    <cellStyle name="Normal 2 10 2 12" xfId="6571"/>
    <cellStyle name="Normal 2 10 2 2" xfId="6572"/>
    <cellStyle name="Normal 2 10 2 2 10" xfId="6573"/>
    <cellStyle name="Normal 2 10 2 2 10 2" xfId="6574"/>
    <cellStyle name="Normal 2 10 2 2 11" xfId="6575"/>
    <cellStyle name="Normal 2 10 2 2 2" xfId="6576"/>
    <cellStyle name="Normal 2 10 2 2 2 2" xfId="6577"/>
    <cellStyle name="Normal 2 10 2 2 3" xfId="6578"/>
    <cellStyle name="Normal 2 10 2 2 3 2" xfId="6579"/>
    <cellStyle name="Normal 2 10 2 2 4" xfId="6580"/>
    <cellStyle name="Normal 2 10 2 2 4 2" xfId="6581"/>
    <cellStyle name="Normal 2 10 2 2 5" xfId="6582"/>
    <cellStyle name="Normal 2 10 2 2 5 2" xfId="6583"/>
    <cellStyle name="Normal 2 10 2 2 6" xfId="6584"/>
    <cellStyle name="Normal 2 10 2 2 6 2" xfId="6585"/>
    <cellStyle name="Normal 2 10 2 2 7" xfId="6586"/>
    <cellStyle name="Normal 2 10 2 2 7 2" xfId="6587"/>
    <cellStyle name="Normal 2 10 2 2 8" xfId="6588"/>
    <cellStyle name="Normal 2 10 2 2 8 2" xfId="6589"/>
    <cellStyle name="Normal 2 10 2 2 9" xfId="6590"/>
    <cellStyle name="Normal 2 10 2 2 9 2" xfId="6591"/>
    <cellStyle name="Normal 2 10 2 3" xfId="6592"/>
    <cellStyle name="Normal 2 10 2 3 2" xfId="6593"/>
    <cellStyle name="Normal 2 10 2 4" xfId="6594"/>
    <cellStyle name="Normal 2 10 2 4 2" xfId="6595"/>
    <cellStyle name="Normal 2 10 2 5" xfId="6596"/>
    <cellStyle name="Normal 2 10 2 5 2" xfId="6597"/>
    <cellStyle name="Normal 2 10 2 6" xfId="6598"/>
    <cellStyle name="Normal 2 10 2 6 2" xfId="6599"/>
    <cellStyle name="Normal 2 10 2 7" xfId="6600"/>
    <cellStyle name="Normal 2 10 2 7 2" xfId="6601"/>
    <cellStyle name="Normal 2 10 2 8" xfId="6602"/>
    <cellStyle name="Normal 2 10 2 8 2" xfId="6603"/>
    <cellStyle name="Normal 2 10 2 9" xfId="6604"/>
    <cellStyle name="Normal 2 10 2 9 2" xfId="6605"/>
    <cellStyle name="Normal 2 10 3" xfId="6606"/>
    <cellStyle name="Normal 2 10 3 10" xfId="6607"/>
    <cellStyle name="Normal 2 10 3 10 2" xfId="6608"/>
    <cellStyle name="Normal 2 10 3 11" xfId="6609"/>
    <cellStyle name="Normal 2 10 3 2" xfId="6610"/>
    <cellStyle name="Normal 2 10 3 2 2" xfId="6611"/>
    <cellStyle name="Normal 2 10 3 3" xfId="6612"/>
    <cellStyle name="Normal 2 10 3 3 2" xfId="6613"/>
    <cellStyle name="Normal 2 10 3 4" xfId="6614"/>
    <cellStyle name="Normal 2 10 3 4 2" xfId="6615"/>
    <cellStyle name="Normal 2 10 3 5" xfId="6616"/>
    <cellStyle name="Normal 2 10 3 5 2" xfId="6617"/>
    <cellStyle name="Normal 2 10 3 6" xfId="6618"/>
    <cellStyle name="Normal 2 10 3 6 2" xfId="6619"/>
    <cellStyle name="Normal 2 10 3 7" xfId="6620"/>
    <cellStyle name="Normal 2 10 3 7 2" xfId="6621"/>
    <cellStyle name="Normal 2 10 3 8" xfId="6622"/>
    <cellStyle name="Normal 2 10 3 8 2" xfId="6623"/>
    <cellStyle name="Normal 2 10 3 9" xfId="6624"/>
    <cellStyle name="Normal 2 10 3 9 2" xfId="6625"/>
    <cellStyle name="Normal 2 10 4" xfId="6626"/>
    <cellStyle name="Normal 2 10 4 2" xfId="6627"/>
    <cellStyle name="Normal 2 10 5" xfId="6628"/>
    <cellStyle name="Normal 2 10 5 2" xfId="6629"/>
    <cellStyle name="Normal 2 10 6" xfId="6630"/>
    <cellStyle name="Normal 2 10 6 2" xfId="6631"/>
    <cellStyle name="Normal 2 10 7" xfId="6632"/>
    <cellStyle name="Normal 2 10 7 2" xfId="6633"/>
    <cellStyle name="Normal 2 10 8" xfId="6634"/>
    <cellStyle name="Normal 2 10 8 2" xfId="6635"/>
    <cellStyle name="Normal 2 10 9" xfId="6636"/>
    <cellStyle name="Normal 2 10 9 2" xfId="6637"/>
    <cellStyle name="Normal 2 11" xfId="6638"/>
    <cellStyle name="Normal 2 11 2" xfId="6639"/>
    <cellStyle name="Normal 2 11 2 10" xfId="6640"/>
    <cellStyle name="Normal 2 11 2 10 2" xfId="6641"/>
    <cellStyle name="Normal 2 11 2 11" xfId="6642"/>
    <cellStyle name="Normal 2 11 2 11 2" xfId="6643"/>
    <cellStyle name="Normal 2 11 2 12" xfId="6644"/>
    <cellStyle name="Normal 2 11 2 12 2" xfId="6645"/>
    <cellStyle name="Normal 2 11 2 13" xfId="6646"/>
    <cellStyle name="Normal 2 11 2 13 2" xfId="6647"/>
    <cellStyle name="Normal 2 11 2 14" xfId="6648"/>
    <cellStyle name="Normal 2 11 2 14 2" xfId="6649"/>
    <cellStyle name="Normal 2 11 2 15" xfId="6650"/>
    <cellStyle name="Normal 2 11 2 15 2" xfId="6651"/>
    <cellStyle name="Normal 2 11 2 16" xfId="6652"/>
    <cellStyle name="Normal 2 11 2 16 2" xfId="6653"/>
    <cellStyle name="Normal 2 11 2 17" xfId="6654"/>
    <cellStyle name="Normal 2 11 2 2" xfId="6655"/>
    <cellStyle name="Normal 2 11 2 2 2" xfId="6656"/>
    <cellStyle name="Normal 2 11 2 2 2 10" xfId="6657"/>
    <cellStyle name="Normal 2 11 2 2 2 10 2" xfId="6658"/>
    <cellStyle name="Normal 2 11 2 2 2 11" xfId="6659"/>
    <cellStyle name="Normal 2 11 2 2 2 11 2" xfId="6660"/>
    <cellStyle name="Normal 2 11 2 2 2 12" xfId="6661"/>
    <cellStyle name="Normal 2 11 2 2 2 12 2" xfId="6662"/>
    <cellStyle name="Normal 2 11 2 2 2 13" xfId="6663"/>
    <cellStyle name="Normal 2 11 2 2 2 2" xfId="6664"/>
    <cellStyle name="Normal 2 11 2 2 2 2 10" xfId="6665"/>
    <cellStyle name="Normal 2 11 2 2 2 2 10 2" xfId="6666"/>
    <cellStyle name="Normal 2 11 2 2 2 2 11" xfId="6667"/>
    <cellStyle name="Normal 2 11 2 2 2 2 11 2" xfId="6668"/>
    <cellStyle name="Normal 2 11 2 2 2 2 12" xfId="6669"/>
    <cellStyle name="Normal 2 11 2 2 2 2 2" xfId="6670"/>
    <cellStyle name="Normal 2 11 2 2 2 2 2 10" xfId="6671"/>
    <cellStyle name="Normal 2 11 2 2 2 2 2 10 2" xfId="6672"/>
    <cellStyle name="Normal 2 11 2 2 2 2 2 11" xfId="6673"/>
    <cellStyle name="Normal 2 11 2 2 2 2 2 2" xfId="6674"/>
    <cellStyle name="Normal 2 11 2 2 2 2 2 2 2" xfId="6675"/>
    <cellStyle name="Normal 2 11 2 2 2 2 2 3" xfId="6676"/>
    <cellStyle name="Normal 2 11 2 2 2 2 2 3 2" xfId="6677"/>
    <cellStyle name="Normal 2 11 2 2 2 2 2 4" xfId="6678"/>
    <cellStyle name="Normal 2 11 2 2 2 2 2 4 2" xfId="6679"/>
    <cellStyle name="Normal 2 11 2 2 2 2 2 5" xfId="6680"/>
    <cellStyle name="Normal 2 11 2 2 2 2 2 5 2" xfId="6681"/>
    <cellStyle name="Normal 2 11 2 2 2 2 2 6" xfId="6682"/>
    <cellStyle name="Normal 2 11 2 2 2 2 2 6 2" xfId="6683"/>
    <cellStyle name="Normal 2 11 2 2 2 2 2 7" xfId="6684"/>
    <cellStyle name="Normal 2 11 2 2 2 2 2 7 2" xfId="6685"/>
    <cellStyle name="Normal 2 11 2 2 2 2 2 8" xfId="6686"/>
    <cellStyle name="Normal 2 11 2 2 2 2 2 8 2" xfId="6687"/>
    <cellStyle name="Normal 2 11 2 2 2 2 2 9" xfId="6688"/>
    <cellStyle name="Normal 2 11 2 2 2 2 2 9 2" xfId="6689"/>
    <cellStyle name="Normal 2 11 2 2 2 2 3" xfId="6690"/>
    <cellStyle name="Normal 2 11 2 2 2 2 3 2" xfId="6691"/>
    <cellStyle name="Normal 2 11 2 2 2 2 4" xfId="6692"/>
    <cellStyle name="Normal 2 11 2 2 2 2 4 2" xfId="6693"/>
    <cellStyle name="Normal 2 11 2 2 2 2 5" xfId="6694"/>
    <cellStyle name="Normal 2 11 2 2 2 2 5 2" xfId="6695"/>
    <cellStyle name="Normal 2 11 2 2 2 2 6" xfId="6696"/>
    <cellStyle name="Normal 2 11 2 2 2 2 6 2" xfId="6697"/>
    <cellStyle name="Normal 2 11 2 2 2 2 7" xfId="6698"/>
    <cellStyle name="Normal 2 11 2 2 2 2 7 2" xfId="6699"/>
    <cellStyle name="Normal 2 11 2 2 2 2 8" xfId="6700"/>
    <cellStyle name="Normal 2 11 2 2 2 2 8 2" xfId="6701"/>
    <cellStyle name="Normal 2 11 2 2 2 2 9" xfId="6702"/>
    <cellStyle name="Normal 2 11 2 2 2 2 9 2" xfId="6703"/>
    <cellStyle name="Normal 2 11 2 2 2 3" xfId="6704"/>
    <cellStyle name="Normal 2 11 2 2 2 3 10" xfId="6705"/>
    <cellStyle name="Normal 2 11 2 2 2 3 10 2" xfId="6706"/>
    <cellStyle name="Normal 2 11 2 2 2 3 11" xfId="6707"/>
    <cellStyle name="Normal 2 11 2 2 2 3 2" xfId="6708"/>
    <cellStyle name="Normal 2 11 2 2 2 3 2 2" xfId="6709"/>
    <cellStyle name="Normal 2 11 2 2 2 3 3" xfId="6710"/>
    <cellStyle name="Normal 2 11 2 2 2 3 3 2" xfId="6711"/>
    <cellStyle name="Normal 2 11 2 2 2 3 4" xfId="6712"/>
    <cellStyle name="Normal 2 11 2 2 2 3 4 2" xfId="6713"/>
    <cellStyle name="Normal 2 11 2 2 2 3 5" xfId="6714"/>
    <cellStyle name="Normal 2 11 2 2 2 3 5 2" xfId="6715"/>
    <cellStyle name="Normal 2 11 2 2 2 3 6" xfId="6716"/>
    <cellStyle name="Normal 2 11 2 2 2 3 6 2" xfId="6717"/>
    <cellStyle name="Normal 2 11 2 2 2 3 7" xfId="6718"/>
    <cellStyle name="Normal 2 11 2 2 2 3 7 2" xfId="6719"/>
    <cellStyle name="Normal 2 11 2 2 2 3 8" xfId="6720"/>
    <cellStyle name="Normal 2 11 2 2 2 3 8 2" xfId="6721"/>
    <cellStyle name="Normal 2 11 2 2 2 3 9" xfId="6722"/>
    <cellStyle name="Normal 2 11 2 2 2 3 9 2" xfId="6723"/>
    <cellStyle name="Normal 2 11 2 2 2 4" xfId="6724"/>
    <cellStyle name="Normal 2 11 2 2 2 4 2" xfId="6725"/>
    <cellStyle name="Normal 2 11 2 2 2 5" xfId="6726"/>
    <cellStyle name="Normal 2 11 2 2 2 5 2" xfId="6727"/>
    <cellStyle name="Normal 2 11 2 2 2 6" xfId="6728"/>
    <cellStyle name="Normal 2 11 2 2 2 6 2" xfId="6729"/>
    <cellStyle name="Normal 2 11 2 2 2 7" xfId="6730"/>
    <cellStyle name="Normal 2 11 2 2 2 7 2" xfId="6731"/>
    <cellStyle name="Normal 2 11 2 2 2 8" xfId="6732"/>
    <cellStyle name="Normal 2 11 2 2 2 8 2" xfId="6733"/>
    <cellStyle name="Normal 2 11 2 2 2 9" xfId="6734"/>
    <cellStyle name="Normal 2 11 2 2 2 9 2" xfId="6735"/>
    <cellStyle name="Normal 2 11 2 2 3" xfId="6736"/>
    <cellStyle name="Normal 2 11 2 2 3 10" xfId="6737"/>
    <cellStyle name="Normal 2 11 2 2 3 10 2" xfId="6738"/>
    <cellStyle name="Normal 2 11 2 2 3 11" xfId="6739"/>
    <cellStyle name="Normal 2 11 2 2 3 11 2" xfId="6740"/>
    <cellStyle name="Normal 2 11 2 2 3 12" xfId="6741"/>
    <cellStyle name="Normal 2 11 2 2 3 12 2" xfId="6742"/>
    <cellStyle name="Normal 2 11 2 2 3 13" xfId="6743"/>
    <cellStyle name="Normal 2 11 2 2 3 2" xfId="6744"/>
    <cellStyle name="Normal 2 11 2 2 3 2 10" xfId="6745"/>
    <cellStyle name="Normal 2 11 2 2 3 2 10 2" xfId="6746"/>
    <cellStyle name="Normal 2 11 2 2 3 2 11" xfId="6747"/>
    <cellStyle name="Normal 2 11 2 2 3 2 11 2" xfId="6748"/>
    <cellStyle name="Normal 2 11 2 2 3 2 12" xfId="6749"/>
    <cellStyle name="Normal 2 11 2 2 3 2 2" xfId="6750"/>
    <cellStyle name="Normal 2 11 2 2 3 2 2 10" xfId="6751"/>
    <cellStyle name="Normal 2 11 2 2 3 2 2 10 2" xfId="6752"/>
    <cellStyle name="Normal 2 11 2 2 3 2 2 11" xfId="6753"/>
    <cellStyle name="Normal 2 11 2 2 3 2 2 2" xfId="6754"/>
    <cellStyle name="Normal 2 11 2 2 3 2 2 2 2" xfId="6755"/>
    <cellStyle name="Normal 2 11 2 2 3 2 2 3" xfId="6756"/>
    <cellStyle name="Normal 2 11 2 2 3 2 2 3 2" xfId="6757"/>
    <cellStyle name="Normal 2 11 2 2 3 2 2 4" xfId="6758"/>
    <cellStyle name="Normal 2 11 2 2 3 2 2 4 2" xfId="6759"/>
    <cellStyle name="Normal 2 11 2 2 3 2 2 5" xfId="6760"/>
    <cellStyle name="Normal 2 11 2 2 3 2 2 5 2" xfId="6761"/>
    <cellStyle name="Normal 2 11 2 2 3 2 2 6" xfId="6762"/>
    <cellStyle name="Normal 2 11 2 2 3 2 2 6 2" xfId="6763"/>
    <cellStyle name="Normal 2 11 2 2 3 2 2 7" xfId="6764"/>
    <cellStyle name="Normal 2 11 2 2 3 2 2 7 2" xfId="6765"/>
    <cellStyle name="Normal 2 11 2 2 3 2 2 8" xfId="6766"/>
    <cellStyle name="Normal 2 11 2 2 3 2 2 8 2" xfId="6767"/>
    <cellStyle name="Normal 2 11 2 2 3 2 2 9" xfId="6768"/>
    <cellStyle name="Normal 2 11 2 2 3 2 2 9 2" xfId="6769"/>
    <cellStyle name="Normal 2 11 2 2 3 2 3" xfId="6770"/>
    <cellStyle name="Normal 2 11 2 2 3 2 3 2" xfId="6771"/>
    <cellStyle name="Normal 2 11 2 2 3 2 4" xfId="6772"/>
    <cellStyle name="Normal 2 11 2 2 3 2 4 2" xfId="6773"/>
    <cellStyle name="Normal 2 11 2 2 3 2 5" xfId="6774"/>
    <cellStyle name="Normal 2 11 2 2 3 2 5 2" xfId="6775"/>
    <cellStyle name="Normal 2 11 2 2 3 2 6" xfId="6776"/>
    <cellStyle name="Normal 2 11 2 2 3 2 6 2" xfId="6777"/>
    <cellStyle name="Normal 2 11 2 2 3 2 7" xfId="6778"/>
    <cellStyle name="Normal 2 11 2 2 3 2 7 2" xfId="6779"/>
    <cellStyle name="Normal 2 11 2 2 3 2 8" xfId="6780"/>
    <cellStyle name="Normal 2 11 2 2 3 2 8 2" xfId="6781"/>
    <cellStyle name="Normal 2 11 2 2 3 2 9" xfId="6782"/>
    <cellStyle name="Normal 2 11 2 2 3 2 9 2" xfId="6783"/>
    <cellStyle name="Normal 2 11 2 2 3 3" xfId="6784"/>
    <cellStyle name="Normal 2 11 2 2 3 3 10" xfId="6785"/>
    <cellStyle name="Normal 2 11 2 2 3 3 10 2" xfId="6786"/>
    <cellStyle name="Normal 2 11 2 2 3 3 11" xfId="6787"/>
    <cellStyle name="Normal 2 11 2 2 3 3 2" xfId="6788"/>
    <cellStyle name="Normal 2 11 2 2 3 3 2 2" xfId="6789"/>
    <cellStyle name="Normal 2 11 2 2 3 3 3" xfId="6790"/>
    <cellStyle name="Normal 2 11 2 2 3 3 3 2" xfId="6791"/>
    <cellStyle name="Normal 2 11 2 2 3 3 4" xfId="6792"/>
    <cellStyle name="Normal 2 11 2 2 3 3 4 2" xfId="6793"/>
    <cellStyle name="Normal 2 11 2 2 3 3 5" xfId="6794"/>
    <cellStyle name="Normal 2 11 2 2 3 3 5 2" xfId="6795"/>
    <cellStyle name="Normal 2 11 2 2 3 3 6" xfId="6796"/>
    <cellStyle name="Normal 2 11 2 2 3 3 6 2" xfId="6797"/>
    <cellStyle name="Normal 2 11 2 2 3 3 7" xfId="6798"/>
    <cellStyle name="Normal 2 11 2 2 3 3 7 2" xfId="6799"/>
    <cellStyle name="Normal 2 11 2 2 3 3 8" xfId="6800"/>
    <cellStyle name="Normal 2 11 2 2 3 3 8 2" xfId="6801"/>
    <cellStyle name="Normal 2 11 2 2 3 3 9" xfId="6802"/>
    <cellStyle name="Normal 2 11 2 2 3 3 9 2" xfId="6803"/>
    <cellStyle name="Normal 2 11 2 2 3 4" xfId="6804"/>
    <cellStyle name="Normal 2 11 2 2 3 4 2" xfId="6805"/>
    <cellStyle name="Normal 2 11 2 2 3 5" xfId="6806"/>
    <cellStyle name="Normal 2 11 2 2 3 5 2" xfId="6807"/>
    <cellStyle name="Normal 2 11 2 2 3 6" xfId="6808"/>
    <cellStyle name="Normal 2 11 2 2 3 6 2" xfId="6809"/>
    <cellStyle name="Normal 2 11 2 2 3 7" xfId="6810"/>
    <cellStyle name="Normal 2 11 2 2 3 7 2" xfId="6811"/>
    <cellStyle name="Normal 2 11 2 2 3 8" xfId="6812"/>
    <cellStyle name="Normal 2 11 2 2 3 8 2" xfId="6813"/>
    <cellStyle name="Normal 2 11 2 2 3 9" xfId="6814"/>
    <cellStyle name="Normal 2 11 2 2 3 9 2" xfId="6815"/>
    <cellStyle name="Normal 2 11 2 2 4" xfId="6816"/>
    <cellStyle name="Normal 2 11 2 2 4 10" xfId="6817"/>
    <cellStyle name="Normal 2 11 2 2 4 10 2" xfId="6818"/>
    <cellStyle name="Normal 2 11 2 2 4 11" xfId="6819"/>
    <cellStyle name="Normal 2 11 2 2 4 11 2" xfId="6820"/>
    <cellStyle name="Normal 2 11 2 2 4 12" xfId="6821"/>
    <cellStyle name="Normal 2 11 2 2 4 12 2" xfId="6822"/>
    <cellStyle name="Normal 2 11 2 2 4 13" xfId="6823"/>
    <cellStyle name="Normal 2 11 2 2 4 2" xfId="6824"/>
    <cellStyle name="Normal 2 11 2 2 4 2 10" xfId="6825"/>
    <cellStyle name="Normal 2 11 2 2 4 2 10 2" xfId="6826"/>
    <cellStyle name="Normal 2 11 2 2 4 2 11" xfId="6827"/>
    <cellStyle name="Normal 2 11 2 2 4 2 11 2" xfId="6828"/>
    <cellStyle name="Normal 2 11 2 2 4 2 12" xfId="6829"/>
    <cellStyle name="Normal 2 11 2 2 4 2 2" xfId="6830"/>
    <cellStyle name="Normal 2 11 2 2 4 2 2 10" xfId="6831"/>
    <cellStyle name="Normal 2 11 2 2 4 2 2 10 2" xfId="6832"/>
    <cellStyle name="Normal 2 11 2 2 4 2 2 11" xfId="6833"/>
    <cellStyle name="Normal 2 11 2 2 4 2 2 2" xfId="6834"/>
    <cellStyle name="Normal 2 11 2 2 4 2 2 2 2" xfId="6835"/>
    <cellStyle name="Normal 2 11 2 2 4 2 2 3" xfId="6836"/>
    <cellStyle name="Normal 2 11 2 2 4 2 2 3 2" xfId="6837"/>
    <cellStyle name="Normal 2 11 2 2 4 2 2 4" xfId="6838"/>
    <cellStyle name="Normal 2 11 2 2 4 2 2 4 2" xfId="6839"/>
    <cellStyle name="Normal 2 11 2 2 4 2 2 5" xfId="6840"/>
    <cellStyle name="Normal 2 11 2 2 4 2 2 5 2" xfId="6841"/>
    <cellStyle name="Normal 2 11 2 2 4 2 2 6" xfId="6842"/>
    <cellStyle name="Normal 2 11 2 2 4 2 2 6 2" xfId="6843"/>
    <cellStyle name="Normal 2 11 2 2 4 2 2 7" xfId="6844"/>
    <cellStyle name="Normal 2 11 2 2 4 2 2 7 2" xfId="6845"/>
    <cellStyle name="Normal 2 11 2 2 4 2 2 8" xfId="6846"/>
    <cellStyle name="Normal 2 11 2 2 4 2 2 8 2" xfId="6847"/>
    <cellStyle name="Normal 2 11 2 2 4 2 2 9" xfId="6848"/>
    <cellStyle name="Normal 2 11 2 2 4 2 2 9 2" xfId="6849"/>
    <cellStyle name="Normal 2 11 2 2 4 2 3" xfId="6850"/>
    <cellStyle name="Normal 2 11 2 2 4 2 3 2" xfId="6851"/>
    <cellStyle name="Normal 2 11 2 2 4 2 4" xfId="6852"/>
    <cellStyle name="Normal 2 11 2 2 4 2 4 2" xfId="6853"/>
    <cellStyle name="Normal 2 11 2 2 4 2 5" xfId="6854"/>
    <cellStyle name="Normal 2 11 2 2 4 2 5 2" xfId="6855"/>
    <cellStyle name="Normal 2 11 2 2 4 2 6" xfId="6856"/>
    <cellStyle name="Normal 2 11 2 2 4 2 6 2" xfId="6857"/>
    <cellStyle name="Normal 2 11 2 2 4 2 7" xfId="6858"/>
    <cellStyle name="Normal 2 11 2 2 4 2 7 2" xfId="6859"/>
    <cellStyle name="Normal 2 11 2 2 4 2 8" xfId="6860"/>
    <cellStyle name="Normal 2 11 2 2 4 2 8 2" xfId="6861"/>
    <cellStyle name="Normal 2 11 2 2 4 2 9" xfId="6862"/>
    <cellStyle name="Normal 2 11 2 2 4 2 9 2" xfId="6863"/>
    <cellStyle name="Normal 2 11 2 2 4 3" xfId="6864"/>
    <cellStyle name="Normal 2 11 2 2 4 3 10" xfId="6865"/>
    <cellStyle name="Normal 2 11 2 2 4 3 10 2" xfId="6866"/>
    <cellStyle name="Normal 2 11 2 2 4 3 11" xfId="6867"/>
    <cellStyle name="Normal 2 11 2 2 4 3 2" xfId="6868"/>
    <cellStyle name="Normal 2 11 2 2 4 3 2 2" xfId="6869"/>
    <cellStyle name="Normal 2 11 2 2 4 3 3" xfId="6870"/>
    <cellStyle name="Normal 2 11 2 2 4 3 3 2" xfId="6871"/>
    <cellStyle name="Normal 2 11 2 2 4 3 4" xfId="6872"/>
    <cellStyle name="Normal 2 11 2 2 4 3 4 2" xfId="6873"/>
    <cellStyle name="Normal 2 11 2 2 4 3 5" xfId="6874"/>
    <cellStyle name="Normal 2 11 2 2 4 3 5 2" xfId="6875"/>
    <cellStyle name="Normal 2 11 2 2 4 3 6" xfId="6876"/>
    <cellStyle name="Normal 2 11 2 2 4 3 6 2" xfId="6877"/>
    <cellStyle name="Normal 2 11 2 2 4 3 7" xfId="6878"/>
    <cellStyle name="Normal 2 11 2 2 4 3 7 2" xfId="6879"/>
    <cellStyle name="Normal 2 11 2 2 4 3 8" xfId="6880"/>
    <cellStyle name="Normal 2 11 2 2 4 3 8 2" xfId="6881"/>
    <cellStyle name="Normal 2 11 2 2 4 3 9" xfId="6882"/>
    <cellStyle name="Normal 2 11 2 2 4 3 9 2" xfId="6883"/>
    <cellStyle name="Normal 2 11 2 2 4 4" xfId="6884"/>
    <cellStyle name="Normal 2 11 2 2 4 4 2" xfId="6885"/>
    <cellStyle name="Normal 2 11 2 2 4 5" xfId="6886"/>
    <cellStyle name="Normal 2 11 2 2 4 5 2" xfId="6887"/>
    <cellStyle name="Normal 2 11 2 2 4 6" xfId="6888"/>
    <cellStyle name="Normal 2 11 2 2 4 6 2" xfId="6889"/>
    <cellStyle name="Normal 2 11 2 2 4 7" xfId="6890"/>
    <cellStyle name="Normal 2 11 2 2 4 7 2" xfId="6891"/>
    <cellStyle name="Normal 2 11 2 2 4 8" xfId="6892"/>
    <cellStyle name="Normal 2 11 2 2 4 8 2" xfId="6893"/>
    <cellStyle name="Normal 2 11 2 2 4 9" xfId="6894"/>
    <cellStyle name="Normal 2 11 2 2 4 9 2" xfId="6895"/>
    <cellStyle name="Normal 2 11 2 2 5" xfId="6896"/>
    <cellStyle name="Normal 2 11 2 2 5 10" xfId="6897"/>
    <cellStyle name="Normal 2 11 2 2 5 10 2" xfId="6898"/>
    <cellStyle name="Normal 2 11 2 2 5 11" xfId="6899"/>
    <cellStyle name="Normal 2 11 2 2 5 11 2" xfId="6900"/>
    <cellStyle name="Normal 2 11 2 2 5 12" xfId="6901"/>
    <cellStyle name="Normal 2 11 2 2 5 12 2" xfId="6902"/>
    <cellStyle name="Normal 2 11 2 2 5 13" xfId="6903"/>
    <cellStyle name="Normal 2 11 2 2 5 2" xfId="6904"/>
    <cellStyle name="Normal 2 11 2 2 5 2 10" xfId="6905"/>
    <cellStyle name="Normal 2 11 2 2 5 2 10 2" xfId="6906"/>
    <cellStyle name="Normal 2 11 2 2 5 2 11" xfId="6907"/>
    <cellStyle name="Normal 2 11 2 2 5 2 11 2" xfId="6908"/>
    <cellStyle name="Normal 2 11 2 2 5 2 12" xfId="6909"/>
    <cellStyle name="Normal 2 11 2 2 5 2 2" xfId="6910"/>
    <cellStyle name="Normal 2 11 2 2 5 2 2 10" xfId="6911"/>
    <cellStyle name="Normal 2 11 2 2 5 2 2 10 2" xfId="6912"/>
    <cellStyle name="Normal 2 11 2 2 5 2 2 11" xfId="6913"/>
    <cellStyle name="Normal 2 11 2 2 5 2 2 2" xfId="6914"/>
    <cellStyle name="Normal 2 11 2 2 5 2 2 2 2" xfId="6915"/>
    <cellStyle name="Normal 2 11 2 2 5 2 2 3" xfId="6916"/>
    <cellStyle name="Normal 2 11 2 2 5 2 2 3 2" xfId="6917"/>
    <cellStyle name="Normal 2 11 2 2 5 2 2 4" xfId="6918"/>
    <cellStyle name="Normal 2 11 2 2 5 2 2 4 2" xfId="6919"/>
    <cellStyle name="Normal 2 11 2 2 5 2 2 5" xfId="6920"/>
    <cellStyle name="Normal 2 11 2 2 5 2 2 5 2" xfId="6921"/>
    <cellStyle name="Normal 2 11 2 2 5 2 2 6" xfId="6922"/>
    <cellStyle name="Normal 2 11 2 2 5 2 2 6 2" xfId="6923"/>
    <cellStyle name="Normal 2 11 2 2 5 2 2 7" xfId="6924"/>
    <cellStyle name="Normal 2 11 2 2 5 2 2 7 2" xfId="6925"/>
    <cellStyle name="Normal 2 11 2 2 5 2 2 8" xfId="6926"/>
    <cellStyle name="Normal 2 11 2 2 5 2 2 8 2" xfId="6927"/>
    <cellStyle name="Normal 2 11 2 2 5 2 2 9" xfId="6928"/>
    <cellStyle name="Normal 2 11 2 2 5 2 2 9 2" xfId="6929"/>
    <cellStyle name="Normal 2 11 2 2 5 2 3" xfId="6930"/>
    <cellStyle name="Normal 2 11 2 2 5 2 3 2" xfId="6931"/>
    <cellStyle name="Normal 2 11 2 2 5 2 4" xfId="6932"/>
    <cellStyle name="Normal 2 11 2 2 5 2 4 2" xfId="6933"/>
    <cellStyle name="Normal 2 11 2 2 5 2 5" xfId="6934"/>
    <cellStyle name="Normal 2 11 2 2 5 2 5 2" xfId="6935"/>
    <cellStyle name="Normal 2 11 2 2 5 2 6" xfId="6936"/>
    <cellStyle name="Normal 2 11 2 2 5 2 6 2" xfId="6937"/>
    <cellStyle name="Normal 2 11 2 2 5 2 7" xfId="6938"/>
    <cellStyle name="Normal 2 11 2 2 5 2 7 2" xfId="6939"/>
    <cellStyle name="Normal 2 11 2 2 5 2 8" xfId="6940"/>
    <cellStyle name="Normal 2 11 2 2 5 2 8 2" xfId="6941"/>
    <cellStyle name="Normal 2 11 2 2 5 2 9" xfId="6942"/>
    <cellStyle name="Normal 2 11 2 2 5 2 9 2" xfId="6943"/>
    <cellStyle name="Normal 2 11 2 2 5 3" xfId="6944"/>
    <cellStyle name="Normal 2 11 2 2 5 3 10" xfId="6945"/>
    <cellStyle name="Normal 2 11 2 2 5 3 10 2" xfId="6946"/>
    <cellStyle name="Normal 2 11 2 2 5 3 11" xfId="6947"/>
    <cellStyle name="Normal 2 11 2 2 5 3 2" xfId="6948"/>
    <cellStyle name="Normal 2 11 2 2 5 3 2 2" xfId="6949"/>
    <cellStyle name="Normal 2 11 2 2 5 3 3" xfId="6950"/>
    <cellStyle name="Normal 2 11 2 2 5 3 3 2" xfId="6951"/>
    <cellStyle name="Normal 2 11 2 2 5 3 4" xfId="6952"/>
    <cellStyle name="Normal 2 11 2 2 5 3 4 2" xfId="6953"/>
    <cellStyle name="Normal 2 11 2 2 5 3 5" xfId="6954"/>
    <cellStyle name="Normal 2 11 2 2 5 3 5 2" xfId="6955"/>
    <cellStyle name="Normal 2 11 2 2 5 3 6" xfId="6956"/>
    <cellStyle name="Normal 2 11 2 2 5 3 6 2" xfId="6957"/>
    <cellStyle name="Normal 2 11 2 2 5 3 7" xfId="6958"/>
    <cellStyle name="Normal 2 11 2 2 5 3 7 2" xfId="6959"/>
    <cellStyle name="Normal 2 11 2 2 5 3 8" xfId="6960"/>
    <cellStyle name="Normal 2 11 2 2 5 3 8 2" xfId="6961"/>
    <cellStyle name="Normal 2 11 2 2 5 3 9" xfId="6962"/>
    <cellStyle name="Normal 2 11 2 2 5 3 9 2" xfId="6963"/>
    <cellStyle name="Normal 2 11 2 2 5 4" xfId="6964"/>
    <cellStyle name="Normal 2 11 2 2 5 4 2" xfId="6965"/>
    <cellStyle name="Normal 2 11 2 2 5 5" xfId="6966"/>
    <cellStyle name="Normal 2 11 2 2 5 5 2" xfId="6967"/>
    <cellStyle name="Normal 2 11 2 2 5 6" xfId="6968"/>
    <cellStyle name="Normal 2 11 2 2 5 6 2" xfId="6969"/>
    <cellStyle name="Normal 2 11 2 2 5 7" xfId="6970"/>
    <cellStyle name="Normal 2 11 2 2 5 7 2" xfId="6971"/>
    <cellStyle name="Normal 2 11 2 2 5 8" xfId="6972"/>
    <cellStyle name="Normal 2 11 2 2 5 8 2" xfId="6973"/>
    <cellStyle name="Normal 2 11 2 2 5 9" xfId="6974"/>
    <cellStyle name="Normal 2 11 2 2 5 9 2" xfId="6975"/>
    <cellStyle name="Normal 2 11 2 2 6" xfId="6976"/>
    <cellStyle name="Normal 2 11 2 3" xfId="6977"/>
    <cellStyle name="Normal 2 11 2 3 2" xfId="6978"/>
    <cellStyle name="Normal 2 11 2 4" xfId="6979"/>
    <cellStyle name="Normal 2 11 2 4 2" xfId="6980"/>
    <cellStyle name="Normal 2 11 2 5" xfId="6981"/>
    <cellStyle name="Normal 2 11 2 5 2" xfId="6982"/>
    <cellStyle name="Normal 2 11 2 6" xfId="6983"/>
    <cellStyle name="Normal 2 11 2 6 10" xfId="6984"/>
    <cellStyle name="Normal 2 11 2 6 10 2" xfId="6985"/>
    <cellStyle name="Normal 2 11 2 6 11" xfId="6986"/>
    <cellStyle name="Normal 2 11 2 6 11 2" xfId="6987"/>
    <cellStyle name="Normal 2 11 2 6 12" xfId="6988"/>
    <cellStyle name="Normal 2 11 2 6 2" xfId="6989"/>
    <cellStyle name="Normal 2 11 2 6 2 10" xfId="6990"/>
    <cellStyle name="Normal 2 11 2 6 2 10 2" xfId="6991"/>
    <cellStyle name="Normal 2 11 2 6 2 11" xfId="6992"/>
    <cellStyle name="Normal 2 11 2 6 2 2" xfId="6993"/>
    <cellStyle name="Normal 2 11 2 6 2 2 2" xfId="6994"/>
    <cellStyle name="Normal 2 11 2 6 2 3" xfId="6995"/>
    <cellStyle name="Normal 2 11 2 6 2 3 2" xfId="6996"/>
    <cellStyle name="Normal 2 11 2 6 2 4" xfId="6997"/>
    <cellStyle name="Normal 2 11 2 6 2 4 2" xfId="6998"/>
    <cellStyle name="Normal 2 11 2 6 2 5" xfId="6999"/>
    <cellStyle name="Normal 2 11 2 6 2 5 2" xfId="7000"/>
    <cellStyle name="Normal 2 11 2 6 2 6" xfId="7001"/>
    <cellStyle name="Normal 2 11 2 6 2 6 2" xfId="7002"/>
    <cellStyle name="Normal 2 11 2 6 2 7" xfId="7003"/>
    <cellStyle name="Normal 2 11 2 6 2 7 2" xfId="7004"/>
    <cellStyle name="Normal 2 11 2 6 2 8" xfId="7005"/>
    <cellStyle name="Normal 2 11 2 6 2 8 2" xfId="7006"/>
    <cellStyle name="Normal 2 11 2 6 2 9" xfId="7007"/>
    <cellStyle name="Normal 2 11 2 6 2 9 2" xfId="7008"/>
    <cellStyle name="Normal 2 11 2 6 3" xfId="7009"/>
    <cellStyle name="Normal 2 11 2 6 3 2" xfId="7010"/>
    <cellStyle name="Normal 2 11 2 6 4" xfId="7011"/>
    <cellStyle name="Normal 2 11 2 6 4 2" xfId="7012"/>
    <cellStyle name="Normal 2 11 2 6 5" xfId="7013"/>
    <cellStyle name="Normal 2 11 2 6 5 2" xfId="7014"/>
    <cellStyle name="Normal 2 11 2 6 6" xfId="7015"/>
    <cellStyle name="Normal 2 11 2 6 6 2" xfId="7016"/>
    <cellStyle name="Normal 2 11 2 6 7" xfId="7017"/>
    <cellStyle name="Normal 2 11 2 6 7 2" xfId="7018"/>
    <cellStyle name="Normal 2 11 2 6 8" xfId="7019"/>
    <cellStyle name="Normal 2 11 2 6 8 2" xfId="7020"/>
    <cellStyle name="Normal 2 11 2 6 9" xfId="7021"/>
    <cellStyle name="Normal 2 11 2 6 9 2" xfId="7022"/>
    <cellStyle name="Normal 2 11 2 7" xfId="7023"/>
    <cellStyle name="Normal 2 11 2 7 10" xfId="7024"/>
    <cellStyle name="Normal 2 11 2 7 10 2" xfId="7025"/>
    <cellStyle name="Normal 2 11 2 7 11" xfId="7026"/>
    <cellStyle name="Normal 2 11 2 7 2" xfId="7027"/>
    <cellStyle name="Normal 2 11 2 7 2 2" xfId="7028"/>
    <cellStyle name="Normal 2 11 2 7 3" xfId="7029"/>
    <cellStyle name="Normal 2 11 2 7 3 2" xfId="7030"/>
    <cellStyle name="Normal 2 11 2 7 4" xfId="7031"/>
    <cellStyle name="Normal 2 11 2 7 4 2" xfId="7032"/>
    <cellStyle name="Normal 2 11 2 7 5" xfId="7033"/>
    <cellStyle name="Normal 2 11 2 7 5 2" xfId="7034"/>
    <cellStyle name="Normal 2 11 2 7 6" xfId="7035"/>
    <cellStyle name="Normal 2 11 2 7 6 2" xfId="7036"/>
    <cellStyle name="Normal 2 11 2 7 7" xfId="7037"/>
    <cellStyle name="Normal 2 11 2 7 7 2" xfId="7038"/>
    <cellStyle name="Normal 2 11 2 7 8" xfId="7039"/>
    <cellStyle name="Normal 2 11 2 7 8 2" xfId="7040"/>
    <cellStyle name="Normal 2 11 2 7 9" xfId="7041"/>
    <cellStyle name="Normal 2 11 2 7 9 2" xfId="7042"/>
    <cellStyle name="Normal 2 11 2 8" xfId="7043"/>
    <cellStyle name="Normal 2 11 2 8 2" xfId="7044"/>
    <cellStyle name="Normal 2 11 2 9" xfId="7045"/>
    <cellStyle name="Normal 2 11 2 9 2" xfId="7046"/>
    <cellStyle name="Normal 2 11 3" xfId="7047"/>
    <cellStyle name="Normal 2 11 3 10" xfId="7048"/>
    <cellStyle name="Normal 2 11 3 10 2" xfId="7049"/>
    <cellStyle name="Normal 2 11 3 11" xfId="7050"/>
    <cellStyle name="Normal 2 11 3 11 2" xfId="7051"/>
    <cellStyle name="Normal 2 11 3 12" xfId="7052"/>
    <cellStyle name="Normal 2 11 3 12 2" xfId="7053"/>
    <cellStyle name="Normal 2 11 3 13" xfId="7054"/>
    <cellStyle name="Normal 2 11 3 2" xfId="7055"/>
    <cellStyle name="Normal 2 11 3 2 10" xfId="7056"/>
    <cellStyle name="Normal 2 11 3 2 10 2" xfId="7057"/>
    <cellStyle name="Normal 2 11 3 2 11" xfId="7058"/>
    <cellStyle name="Normal 2 11 3 2 11 2" xfId="7059"/>
    <cellStyle name="Normal 2 11 3 2 12" xfId="7060"/>
    <cellStyle name="Normal 2 11 3 2 2" xfId="7061"/>
    <cellStyle name="Normal 2 11 3 2 2 10" xfId="7062"/>
    <cellStyle name="Normal 2 11 3 2 2 10 2" xfId="7063"/>
    <cellStyle name="Normal 2 11 3 2 2 11" xfId="7064"/>
    <cellStyle name="Normal 2 11 3 2 2 2" xfId="7065"/>
    <cellStyle name="Normal 2 11 3 2 2 2 2" xfId="7066"/>
    <cellStyle name="Normal 2 11 3 2 2 3" xfId="7067"/>
    <cellStyle name="Normal 2 11 3 2 2 3 2" xfId="7068"/>
    <cellStyle name="Normal 2 11 3 2 2 4" xfId="7069"/>
    <cellStyle name="Normal 2 11 3 2 2 4 2" xfId="7070"/>
    <cellStyle name="Normal 2 11 3 2 2 5" xfId="7071"/>
    <cellStyle name="Normal 2 11 3 2 2 5 2" xfId="7072"/>
    <cellStyle name="Normal 2 11 3 2 2 6" xfId="7073"/>
    <cellStyle name="Normal 2 11 3 2 2 6 2" xfId="7074"/>
    <cellStyle name="Normal 2 11 3 2 2 7" xfId="7075"/>
    <cellStyle name="Normal 2 11 3 2 2 7 2" xfId="7076"/>
    <cellStyle name="Normal 2 11 3 2 2 8" xfId="7077"/>
    <cellStyle name="Normal 2 11 3 2 2 8 2" xfId="7078"/>
    <cellStyle name="Normal 2 11 3 2 2 9" xfId="7079"/>
    <cellStyle name="Normal 2 11 3 2 2 9 2" xfId="7080"/>
    <cellStyle name="Normal 2 11 3 2 3" xfId="7081"/>
    <cellStyle name="Normal 2 11 3 2 3 2" xfId="7082"/>
    <cellStyle name="Normal 2 11 3 2 4" xfId="7083"/>
    <cellStyle name="Normal 2 11 3 2 4 2" xfId="7084"/>
    <cellStyle name="Normal 2 11 3 2 5" xfId="7085"/>
    <cellStyle name="Normal 2 11 3 2 5 2" xfId="7086"/>
    <cellStyle name="Normal 2 11 3 2 6" xfId="7087"/>
    <cellStyle name="Normal 2 11 3 2 6 2" xfId="7088"/>
    <cellStyle name="Normal 2 11 3 2 7" xfId="7089"/>
    <cellStyle name="Normal 2 11 3 2 7 2" xfId="7090"/>
    <cellStyle name="Normal 2 11 3 2 8" xfId="7091"/>
    <cellStyle name="Normal 2 11 3 2 8 2" xfId="7092"/>
    <cellStyle name="Normal 2 11 3 2 9" xfId="7093"/>
    <cellStyle name="Normal 2 11 3 2 9 2" xfId="7094"/>
    <cellStyle name="Normal 2 11 3 3" xfId="7095"/>
    <cellStyle name="Normal 2 11 3 3 10" xfId="7096"/>
    <cellStyle name="Normal 2 11 3 3 10 2" xfId="7097"/>
    <cellStyle name="Normal 2 11 3 3 11" xfId="7098"/>
    <cellStyle name="Normal 2 11 3 3 2" xfId="7099"/>
    <cellStyle name="Normal 2 11 3 3 2 2" xfId="7100"/>
    <cellStyle name="Normal 2 11 3 3 3" xfId="7101"/>
    <cellStyle name="Normal 2 11 3 3 3 2" xfId="7102"/>
    <cellStyle name="Normal 2 11 3 3 4" xfId="7103"/>
    <cellStyle name="Normal 2 11 3 3 4 2" xfId="7104"/>
    <cellStyle name="Normal 2 11 3 3 5" xfId="7105"/>
    <cellStyle name="Normal 2 11 3 3 5 2" xfId="7106"/>
    <cellStyle name="Normal 2 11 3 3 6" xfId="7107"/>
    <cellStyle name="Normal 2 11 3 3 6 2" xfId="7108"/>
    <cellStyle name="Normal 2 11 3 3 7" xfId="7109"/>
    <cellStyle name="Normal 2 11 3 3 7 2" xfId="7110"/>
    <cellStyle name="Normal 2 11 3 3 8" xfId="7111"/>
    <cellStyle name="Normal 2 11 3 3 8 2" xfId="7112"/>
    <cellStyle name="Normal 2 11 3 3 9" xfId="7113"/>
    <cellStyle name="Normal 2 11 3 3 9 2" xfId="7114"/>
    <cellStyle name="Normal 2 11 3 4" xfId="7115"/>
    <cellStyle name="Normal 2 11 3 4 2" xfId="7116"/>
    <cellStyle name="Normal 2 11 3 5" xfId="7117"/>
    <cellStyle name="Normal 2 11 3 5 2" xfId="7118"/>
    <cellStyle name="Normal 2 11 3 6" xfId="7119"/>
    <cellStyle name="Normal 2 11 3 6 2" xfId="7120"/>
    <cellStyle name="Normal 2 11 3 7" xfId="7121"/>
    <cellStyle name="Normal 2 11 3 7 2" xfId="7122"/>
    <cellStyle name="Normal 2 11 3 8" xfId="7123"/>
    <cellStyle name="Normal 2 11 3 8 2" xfId="7124"/>
    <cellStyle name="Normal 2 11 3 9" xfId="7125"/>
    <cellStyle name="Normal 2 11 3 9 2" xfId="7126"/>
    <cellStyle name="Normal 2 11 4" xfId="7127"/>
    <cellStyle name="Normal 2 11 4 10" xfId="7128"/>
    <cellStyle name="Normal 2 11 4 10 2" xfId="7129"/>
    <cellStyle name="Normal 2 11 4 11" xfId="7130"/>
    <cellStyle name="Normal 2 11 4 11 2" xfId="7131"/>
    <cellStyle name="Normal 2 11 4 12" xfId="7132"/>
    <cellStyle name="Normal 2 11 4 12 2" xfId="7133"/>
    <cellStyle name="Normal 2 11 4 13" xfId="7134"/>
    <cellStyle name="Normal 2 11 4 2" xfId="7135"/>
    <cellStyle name="Normal 2 11 4 2 10" xfId="7136"/>
    <cellStyle name="Normal 2 11 4 2 10 2" xfId="7137"/>
    <cellStyle name="Normal 2 11 4 2 11" xfId="7138"/>
    <cellStyle name="Normal 2 11 4 2 11 2" xfId="7139"/>
    <cellStyle name="Normal 2 11 4 2 12" xfId="7140"/>
    <cellStyle name="Normal 2 11 4 2 2" xfId="7141"/>
    <cellStyle name="Normal 2 11 4 2 2 10" xfId="7142"/>
    <cellStyle name="Normal 2 11 4 2 2 10 2" xfId="7143"/>
    <cellStyle name="Normal 2 11 4 2 2 11" xfId="7144"/>
    <cellStyle name="Normal 2 11 4 2 2 2" xfId="7145"/>
    <cellStyle name="Normal 2 11 4 2 2 2 2" xfId="7146"/>
    <cellStyle name="Normal 2 11 4 2 2 3" xfId="7147"/>
    <cellStyle name="Normal 2 11 4 2 2 3 2" xfId="7148"/>
    <cellStyle name="Normal 2 11 4 2 2 4" xfId="7149"/>
    <cellStyle name="Normal 2 11 4 2 2 4 2" xfId="7150"/>
    <cellStyle name="Normal 2 11 4 2 2 5" xfId="7151"/>
    <cellStyle name="Normal 2 11 4 2 2 5 2" xfId="7152"/>
    <cellStyle name="Normal 2 11 4 2 2 6" xfId="7153"/>
    <cellStyle name="Normal 2 11 4 2 2 6 2" xfId="7154"/>
    <cellStyle name="Normal 2 11 4 2 2 7" xfId="7155"/>
    <cellStyle name="Normal 2 11 4 2 2 7 2" xfId="7156"/>
    <cellStyle name="Normal 2 11 4 2 2 8" xfId="7157"/>
    <cellStyle name="Normal 2 11 4 2 2 8 2" xfId="7158"/>
    <cellStyle name="Normal 2 11 4 2 2 9" xfId="7159"/>
    <cellStyle name="Normal 2 11 4 2 2 9 2" xfId="7160"/>
    <cellStyle name="Normal 2 11 4 2 3" xfId="7161"/>
    <cellStyle name="Normal 2 11 4 2 3 2" xfId="7162"/>
    <cellStyle name="Normal 2 11 4 2 4" xfId="7163"/>
    <cellStyle name="Normal 2 11 4 2 4 2" xfId="7164"/>
    <cellStyle name="Normal 2 11 4 2 5" xfId="7165"/>
    <cellStyle name="Normal 2 11 4 2 5 2" xfId="7166"/>
    <cellStyle name="Normal 2 11 4 2 6" xfId="7167"/>
    <cellStyle name="Normal 2 11 4 2 6 2" xfId="7168"/>
    <cellStyle name="Normal 2 11 4 2 7" xfId="7169"/>
    <cellStyle name="Normal 2 11 4 2 7 2" xfId="7170"/>
    <cellStyle name="Normal 2 11 4 2 8" xfId="7171"/>
    <cellStyle name="Normal 2 11 4 2 8 2" xfId="7172"/>
    <cellStyle name="Normal 2 11 4 2 9" xfId="7173"/>
    <cellStyle name="Normal 2 11 4 2 9 2" xfId="7174"/>
    <cellStyle name="Normal 2 11 4 3" xfId="7175"/>
    <cellStyle name="Normal 2 11 4 3 10" xfId="7176"/>
    <cellStyle name="Normal 2 11 4 3 10 2" xfId="7177"/>
    <cellStyle name="Normal 2 11 4 3 11" xfId="7178"/>
    <cellStyle name="Normal 2 11 4 3 2" xfId="7179"/>
    <cellStyle name="Normal 2 11 4 3 2 2" xfId="7180"/>
    <cellStyle name="Normal 2 11 4 3 3" xfId="7181"/>
    <cellStyle name="Normal 2 11 4 3 3 2" xfId="7182"/>
    <cellStyle name="Normal 2 11 4 3 4" xfId="7183"/>
    <cellStyle name="Normal 2 11 4 3 4 2" xfId="7184"/>
    <cellStyle name="Normal 2 11 4 3 5" xfId="7185"/>
    <cellStyle name="Normal 2 11 4 3 5 2" xfId="7186"/>
    <cellStyle name="Normal 2 11 4 3 6" xfId="7187"/>
    <cellStyle name="Normal 2 11 4 3 6 2" xfId="7188"/>
    <cellStyle name="Normal 2 11 4 3 7" xfId="7189"/>
    <cellStyle name="Normal 2 11 4 3 7 2" xfId="7190"/>
    <cellStyle name="Normal 2 11 4 3 8" xfId="7191"/>
    <cellStyle name="Normal 2 11 4 3 8 2" xfId="7192"/>
    <cellStyle name="Normal 2 11 4 3 9" xfId="7193"/>
    <cellStyle name="Normal 2 11 4 3 9 2" xfId="7194"/>
    <cellStyle name="Normal 2 11 4 4" xfId="7195"/>
    <cellStyle name="Normal 2 11 4 4 2" xfId="7196"/>
    <cellStyle name="Normal 2 11 4 5" xfId="7197"/>
    <cellStyle name="Normal 2 11 4 5 2" xfId="7198"/>
    <cellStyle name="Normal 2 11 4 6" xfId="7199"/>
    <cellStyle name="Normal 2 11 4 6 2" xfId="7200"/>
    <cellStyle name="Normal 2 11 4 7" xfId="7201"/>
    <cellStyle name="Normal 2 11 4 7 2" xfId="7202"/>
    <cellStyle name="Normal 2 11 4 8" xfId="7203"/>
    <cellStyle name="Normal 2 11 4 8 2" xfId="7204"/>
    <cellStyle name="Normal 2 11 4 9" xfId="7205"/>
    <cellStyle name="Normal 2 11 4 9 2" xfId="7206"/>
    <cellStyle name="Normal 2 11 5" xfId="7207"/>
    <cellStyle name="Normal 2 11 5 10" xfId="7208"/>
    <cellStyle name="Normal 2 11 5 10 2" xfId="7209"/>
    <cellStyle name="Normal 2 11 5 11" xfId="7210"/>
    <cellStyle name="Normal 2 11 5 11 2" xfId="7211"/>
    <cellStyle name="Normal 2 11 5 12" xfId="7212"/>
    <cellStyle name="Normal 2 11 5 12 2" xfId="7213"/>
    <cellStyle name="Normal 2 11 5 13" xfId="7214"/>
    <cellStyle name="Normal 2 11 5 2" xfId="7215"/>
    <cellStyle name="Normal 2 11 5 2 10" xfId="7216"/>
    <cellStyle name="Normal 2 11 5 2 10 2" xfId="7217"/>
    <cellStyle name="Normal 2 11 5 2 11" xfId="7218"/>
    <cellStyle name="Normal 2 11 5 2 11 2" xfId="7219"/>
    <cellStyle name="Normal 2 11 5 2 12" xfId="7220"/>
    <cellStyle name="Normal 2 11 5 2 2" xfId="7221"/>
    <cellStyle name="Normal 2 11 5 2 2 10" xfId="7222"/>
    <cellStyle name="Normal 2 11 5 2 2 10 2" xfId="7223"/>
    <cellStyle name="Normal 2 11 5 2 2 11" xfId="7224"/>
    <cellStyle name="Normal 2 11 5 2 2 2" xfId="7225"/>
    <cellStyle name="Normal 2 11 5 2 2 2 2" xfId="7226"/>
    <cellStyle name="Normal 2 11 5 2 2 3" xfId="7227"/>
    <cellStyle name="Normal 2 11 5 2 2 3 2" xfId="7228"/>
    <cellStyle name="Normal 2 11 5 2 2 4" xfId="7229"/>
    <cellStyle name="Normal 2 11 5 2 2 4 2" xfId="7230"/>
    <cellStyle name="Normal 2 11 5 2 2 5" xfId="7231"/>
    <cellStyle name="Normal 2 11 5 2 2 5 2" xfId="7232"/>
    <cellStyle name="Normal 2 11 5 2 2 6" xfId="7233"/>
    <cellStyle name="Normal 2 11 5 2 2 6 2" xfId="7234"/>
    <cellStyle name="Normal 2 11 5 2 2 7" xfId="7235"/>
    <cellStyle name="Normal 2 11 5 2 2 7 2" xfId="7236"/>
    <cellStyle name="Normal 2 11 5 2 2 8" xfId="7237"/>
    <cellStyle name="Normal 2 11 5 2 2 8 2" xfId="7238"/>
    <cellStyle name="Normal 2 11 5 2 2 9" xfId="7239"/>
    <cellStyle name="Normal 2 11 5 2 2 9 2" xfId="7240"/>
    <cellStyle name="Normal 2 11 5 2 3" xfId="7241"/>
    <cellStyle name="Normal 2 11 5 2 3 2" xfId="7242"/>
    <cellStyle name="Normal 2 11 5 2 4" xfId="7243"/>
    <cellStyle name="Normal 2 11 5 2 4 2" xfId="7244"/>
    <cellStyle name="Normal 2 11 5 2 5" xfId="7245"/>
    <cellStyle name="Normal 2 11 5 2 5 2" xfId="7246"/>
    <cellStyle name="Normal 2 11 5 2 6" xfId="7247"/>
    <cellStyle name="Normal 2 11 5 2 6 2" xfId="7248"/>
    <cellStyle name="Normal 2 11 5 2 7" xfId="7249"/>
    <cellStyle name="Normal 2 11 5 2 7 2" xfId="7250"/>
    <cellStyle name="Normal 2 11 5 2 8" xfId="7251"/>
    <cellStyle name="Normal 2 11 5 2 8 2" xfId="7252"/>
    <cellStyle name="Normal 2 11 5 2 9" xfId="7253"/>
    <cellStyle name="Normal 2 11 5 2 9 2" xfId="7254"/>
    <cellStyle name="Normal 2 11 5 3" xfId="7255"/>
    <cellStyle name="Normal 2 11 5 3 10" xfId="7256"/>
    <cellStyle name="Normal 2 11 5 3 10 2" xfId="7257"/>
    <cellStyle name="Normal 2 11 5 3 11" xfId="7258"/>
    <cellStyle name="Normal 2 11 5 3 2" xfId="7259"/>
    <cellStyle name="Normal 2 11 5 3 2 2" xfId="7260"/>
    <cellStyle name="Normal 2 11 5 3 3" xfId="7261"/>
    <cellStyle name="Normal 2 11 5 3 3 2" xfId="7262"/>
    <cellStyle name="Normal 2 11 5 3 4" xfId="7263"/>
    <cellStyle name="Normal 2 11 5 3 4 2" xfId="7264"/>
    <cellStyle name="Normal 2 11 5 3 5" xfId="7265"/>
    <cellStyle name="Normal 2 11 5 3 5 2" xfId="7266"/>
    <cellStyle name="Normal 2 11 5 3 6" xfId="7267"/>
    <cellStyle name="Normal 2 11 5 3 6 2" xfId="7268"/>
    <cellStyle name="Normal 2 11 5 3 7" xfId="7269"/>
    <cellStyle name="Normal 2 11 5 3 7 2" xfId="7270"/>
    <cellStyle name="Normal 2 11 5 3 8" xfId="7271"/>
    <cellStyle name="Normal 2 11 5 3 8 2" xfId="7272"/>
    <cellStyle name="Normal 2 11 5 3 9" xfId="7273"/>
    <cellStyle name="Normal 2 11 5 3 9 2" xfId="7274"/>
    <cellStyle name="Normal 2 11 5 4" xfId="7275"/>
    <cellStyle name="Normal 2 11 5 4 2" xfId="7276"/>
    <cellStyle name="Normal 2 11 5 5" xfId="7277"/>
    <cellStyle name="Normal 2 11 5 5 2" xfId="7278"/>
    <cellStyle name="Normal 2 11 5 6" xfId="7279"/>
    <cellStyle name="Normal 2 11 5 6 2" xfId="7280"/>
    <cellStyle name="Normal 2 11 5 7" xfId="7281"/>
    <cellStyle name="Normal 2 11 5 7 2" xfId="7282"/>
    <cellStyle name="Normal 2 11 5 8" xfId="7283"/>
    <cellStyle name="Normal 2 11 5 8 2" xfId="7284"/>
    <cellStyle name="Normal 2 11 5 9" xfId="7285"/>
    <cellStyle name="Normal 2 11 5 9 2" xfId="7286"/>
    <cellStyle name="Normal 2 11 6" xfId="7287"/>
    <cellStyle name="Normal 2 11 6 10" xfId="7288"/>
    <cellStyle name="Normal 2 11 6 10 2" xfId="7289"/>
    <cellStyle name="Normal 2 11 6 11" xfId="7290"/>
    <cellStyle name="Normal 2 11 6 11 2" xfId="7291"/>
    <cellStyle name="Normal 2 11 6 12" xfId="7292"/>
    <cellStyle name="Normal 2 11 6 12 2" xfId="7293"/>
    <cellStyle name="Normal 2 11 6 13" xfId="7294"/>
    <cellStyle name="Normal 2 11 6 2" xfId="7295"/>
    <cellStyle name="Normal 2 11 6 2 10" xfId="7296"/>
    <cellStyle name="Normal 2 11 6 2 10 2" xfId="7297"/>
    <cellStyle name="Normal 2 11 6 2 11" xfId="7298"/>
    <cellStyle name="Normal 2 11 6 2 11 2" xfId="7299"/>
    <cellStyle name="Normal 2 11 6 2 12" xfId="7300"/>
    <cellStyle name="Normal 2 11 6 2 2" xfId="7301"/>
    <cellStyle name="Normal 2 11 6 2 2 10" xfId="7302"/>
    <cellStyle name="Normal 2 11 6 2 2 10 2" xfId="7303"/>
    <cellStyle name="Normal 2 11 6 2 2 11" xfId="7304"/>
    <cellStyle name="Normal 2 11 6 2 2 2" xfId="7305"/>
    <cellStyle name="Normal 2 11 6 2 2 2 2" xfId="7306"/>
    <cellStyle name="Normal 2 11 6 2 2 3" xfId="7307"/>
    <cellStyle name="Normal 2 11 6 2 2 3 2" xfId="7308"/>
    <cellStyle name="Normal 2 11 6 2 2 4" xfId="7309"/>
    <cellStyle name="Normal 2 11 6 2 2 4 2" xfId="7310"/>
    <cellStyle name="Normal 2 11 6 2 2 5" xfId="7311"/>
    <cellStyle name="Normal 2 11 6 2 2 5 2" xfId="7312"/>
    <cellStyle name="Normal 2 11 6 2 2 6" xfId="7313"/>
    <cellStyle name="Normal 2 11 6 2 2 6 2" xfId="7314"/>
    <cellStyle name="Normal 2 11 6 2 2 7" xfId="7315"/>
    <cellStyle name="Normal 2 11 6 2 2 7 2" xfId="7316"/>
    <cellStyle name="Normal 2 11 6 2 2 8" xfId="7317"/>
    <cellStyle name="Normal 2 11 6 2 2 8 2" xfId="7318"/>
    <cellStyle name="Normal 2 11 6 2 2 9" xfId="7319"/>
    <cellStyle name="Normal 2 11 6 2 2 9 2" xfId="7320"/>
    <cellStyle name="Normal 2 11 6 2 3" xfId="7321"/>
    <cellStyle name="Normal 2 11 6 2 3 2" xfId="7322"/>
    <cellStyle name="Normal 2 11 6 2 4" xfId="7323"/>
    <cellStyle name="Normal 2 11 6 2 4 2" xfId="7324"/>
    <cellStyle name="Normal 2 11 6 2 5" xfId="7325"/>
    <cellStyle name="Normal 2 11 6 2 5 2" xfId="7326"/>
    <cellStyle name="Normal 2 11 6 2 6" xfId="7327"/>
    <cellStyle name="Normal 2 11 6 2 6 2" xfId="7328"/>
    <cellStyle name="Normal 2 11 6 2 7" xfId="7329"/>
    <cellStyle name="Normal 2 11 6 2 7 2" xfId="7330"/>
    <cellStyle name="Normal 2 11 6 2 8" xfId="7331"/>
    <cellStyle name="Normal 2 11 6 2 8 2" xfId="7332"/>
    <cellStyle name="Normal 2 11 6 2 9" xfId="7333"/>
    <cellStyle name="Normal 2 11 6 2 9 2" xfId="7334"/>
    <cellStyle name="Normal 2 11 6 3" xfId="7335"/>
    <cellStyle name="Normal 2 11 6 3 10" xfId="7336"/>
    <cellStyle name="Normal 2 11 6 3 10 2" xfId="7337"/>
    <cellStyle name="Normal 2 11 6 3 11" xfId="7338"/>
    <cellStyle name="Normal 2 11 6 3 2" xfId="7339"/>
    <cellStyle name="Normal 2 11 6 3 2 2" xfId="7340"/>
    <cellStyle name="Normal 2 11 6 3 3" xfId="7341"/>
    <cellStyle name="Normal 2 11 6 3 3 2" xfId="7342"/>
    <cellStyle name="Normal 2 11 6 3 4" xfId="7343"/>
    <cellStyle name="Normal 2 11 6 3 4 2" xfId="7344"/>
    <cellStyle name="Normal 2 11 6 3 5" xfId="7345"/>
    <cellStyle name="Normal 2 11 6 3 5 2" xfId="7346"/>
    <cellStyle name="Normal 2 11 6 3 6" xfId="7347"/>
    <cellStyle name="Normal 2 11 6 3 6 2" xfId="7348"/>
    <cellStyle name="Normal 2 11 6 3 7" xfId="7349"/>
    <cellStyle name="Normal 2 11 6 3 7 2" xfId="7350"/>
    <cellStyle name="Normal 2 11 6 3 8" xfId="7351"/>
    <cellStyle name="Normal 2 11 6 3 8 2" xfId="7352"/>
    <cellStyle name="Normal 2 11 6 3 9" xfId="7353"/>
    <cellStyle name="Normal 2 11 6 3 9 2" xfId="7354"/>
    <cellStyle name="Normal 2 11 6 4" xfId="7355"/>
    <cellStyle name="Normal 2 11 6 4 2" xfId="7356"/>
    <cellStyle name="Normal 2 11 6 5" xfId="7357"/>
    <cellStyle name="Normal 2 11 6 5 2" xfId="7358"/>
    <cellStyle name="Normal 2 11 6 6" xfId="7359"/>
    <cellStyle name="Normal 2 11 6 6 2" xfId="7360"/>
    <cellStyle name="Normal 2 11 6 7" xfId="7361"/>
    <cellStyle name="Normal 2 11 6 7 2" xfId="7362"/>
    <cellStyle name="Normal 2 11 6 8" xfId="7363"/>
    <cellStyle name="Normal 2 11 6 8 2" xfId="7364"/>
    <cellStyle name="Normal 2 11 6 9" xfId="7365"/>
    <cellStyle name="Normal 2 11 6 9 2" xfId="7366"/>
    <cellStyle name="Normal 2 11 7" xfId="7367"/>
    <cellStyle name="Normal 2 12" xfId="7368"/>
    <cellStyle name="Normal 2 12 10" xfId="7369"/>
    <cellStyle name="Normal 2 12 10 2" xfId="7370"/>
    <cellStyle name="Normal 2 12 11" xfId="7371"/>
    <cellStyle name="Normal 2 12 11 2" xfId="7372"/>
    <cellStyle name="Normal 2 12 12" xfId="7373"/>
    <cellStyle name="Normal 2 12 12 2" xfId="7374"/>
    <cellStyle name="Normal 2 12 13" xfId="7375"/>
    <cellStyle name="Normal 2 12 2" xfId="7376"/>
    <cellStyle name="Normal 2 12 2 10" xfId="7377"/>
    <cellStyle name="Normal 2 12 2 10 2" xfId="7378"/>
    <cellStyle name="Normal 2 12 2 11" xfId="7379"/>
    <cellStyle name="Normal 2 12 2 11 2" xfId="7380"/>
    <cellStyle name="Normal 2 12 2 12" xfId="7381"/>
    <cellStyle name="Normal 2 12 2 2" xfId="7382"/>
    <cellStyle name="Normal 2 12 2 2 10" xfId="7383"/>
    <cellStyle name="Normal 2 12 2 2 10 2" xfId="7384"/>
    <cellStyle name="Normal 2 12 2 2 11" xfId="7385"/>
    <cellStyle name="Normal 2 12 2 2 2" xfId="7386"/>
    <cellStyle name="Normal 2 12 2 2 2 2" xfId="7387"/>
    <cellStyle name="Normal 2 12 2 2 3" xfId="7388"/>
    <cellStyle name="Normal 2 12 2 2 3 2" xfId="7389"/>
    <cellStyle name="Normal 2 12 2 2 4" xfId="7390"/>
    <cellStyle name="Normal 2 12 2 2 4 2" xfId="7391"/>
    <cellStyle name="Normal 2 12 2 2 5" xfId="7392"/>
    <cellStyle name="Normal 2 12 2 2 5 2" xfId="7393"/>
    <cellStyle name="Normal 2 12 2 2 6" xfId="7394"/>
    <cellStyle name="Normal 2 12 2 2 6 2" xfId="7395"/>
    <cellStyle name="Normal 2 12 2 2 7" xfId="7396"/>
    <cellStyle name="Normal 2 12 2 2 7 2" xfId="7397"/>
    <cellStyle name="Normal 2 12 2 2 8" xfId="7398"/>
    <cellStyle name="Normal 2 12 2 2 8 2" xfId="7399"/>
    <cellStyle name="Normal 2 12 2 2 9" xfId="7400"/>
    <cellStyle name="Normal 2 12 2 2 9 2" xfId="7401"/>
    <cellStyle name="Normal 2 12 2 3" xfId="7402"/>
    <cellStyle name="Normal 2 12 2 3 2" xfId="7403"/>
    <cellStyle name="Normal 2 12 2 4" xfId="7404"/>
    <cellStyle name="Normal 2 12 2 4 2" xfId="7405"/>
    <cellStyle name="Normal 2 12 2 5" xfId="7406"/>
    <cellStyle name="Normal 2 12 2 5 2" xfId="7407"/>
    <cellStyle name="Normal 2 12 2 6" xfId="7408"/>
    <cellStyle name="Normal 2 12 2 6 2" xfId="7409"/>
    <cellStyle name="Normal 2 12 2 7" xfId="7410"/>
    <cellStyle name="Normal 2 12 2 7 2" xfId="7411"/>
    <cellStyle name="Normal 2 12 2 8" xfId="7412"/>
    <cellStyle name="Normal 2 12 2 8 2" xfId="7413"/>
    <cellStyle name="Normal 2 12 2 9" xfId="7414"/>
    <cellStyle name="Normal 2 12 2 9 2" xfId="7415"/>
    <cellStyle name="Normal 2 12 3" xfId="7416"/>
    <cellStyle name="Normal 2 12 3 10" xfId="7417"/>
    <cellStyle name="Normal 2 12 3 10 2" xfId="7418"/>
    <cellStyle name="Normal 2 12 3 11" xfId="7419"/>
    <cellStyle name="Normal 2 12 3 2" xfId="7420"/>
    <cellStyle name="Normal 2 12 3 2 2" xfId="7421"/>
    <cellStyle name="Normal 2 12 3 3" xfId="7422"/>
    <cellStyle name="Normal 2 12 3 3 2" xfId="7423"/>
    <cellStyle name="Normal 2 12 3 4" xfId="7424"/>
    <cellStyle name="Normal 2 12 3 4 2" xfId="7425"/>
    <cellStyle name="Normal 2 12 3 5" xfId="7426"/>
    <cellStyle name="Normal 2 12 3 5 2" xfId="7427"/>
    <cellStyle name="Normal 2 12 3 6" xfId="7428"/>
    <cellStyle name="Normal 2 12 3 6 2" xfId="7429"/>
    <cellStyle name="Normal 2 12 3 7" xfId="7430"/>
    <cellStyle name="Normal 2 12 3 7 2" xfId="7431"/>
    <cellStyle name="Normal 2 12 3 8" xfId="7432"/>
    <cellStyle name="Normal 2 12 3 8 2" xfId="7433"/>
    <cellStyle name="Normal 2 12 3 9" xfId="7434"/>
    <cellStyle name="Normal 2 12 3 9 2" xfId="7435"/>
    <cellStyle name="Normal 2 12 4" xfId="7436"/>
    <cellStyle name="Normal 2 12 4 2" xfId="7437"/>
    <cellStyle name="Normal 2 12 5" xfId="7438"/>
    <cellStyle name="Normal 2 12 5 2" xfId="7439"/>
    <cellStyle name="Normal 2 12 6" xfId="7440"/>
    <cellStyle name="Normal 2 12 6 2" xfId="7441"/>
    <cellStyle name="Normal 2 12 7" xfId="7442"/>
    <cellStyle name="Normal 2 12 7 2" xfId="7443"/>
    <cellStyle name="Normal 2 12 8" xfId="7444"/>
    <cellStyle name="Normal 2 12 8 2" xfId="7445"/>
    <cellStyle name="Normal 2 12 9" xfId="7446"/>
    <cellStyle name="Normal 2 12 9 2" xfId="7447"/>
    <cellStyle name="Normal 2 13" xfId="7448"/>
    <cellStyle name="Normal 2 13 10" xfId="7449"/>
    <cellStyle name="Normal 2 13 10 2" xfId="7450"/>
    <cellStyle name="Normal 2 13 11" xfId="7451"/>
    <cellStyle name="Normal 2 13 11 2" xfId="7452"/>
    <cellStyle name="Normal 2 13 12" xfId="7453"/>
    <cellStyle name="Normal 2 13 12 2" xfId="7454"/>
    <cellStyle name="Normal 2 13 13" xfId="7455"/>
    <cellStyle name="Normal 2 13 2" xfId="7456"/>
    <cellStyle name="Normal 2 13 2 10" xfId="7457"/>
    <cellStyle name="Normal 2 13 2 10 2" xfId="7458"/>
    <cellStyle name="Normal 2 13 2 11" xfId="7459"/>
    <cellStyle name="Normal 2 13 2 11 2" xfId="7460"/>
    <cellStyle name="Normal 2 13 2 12" xfId="7461"/>
    <cellStyle name="Normal 2 13 2 2" xfId="7462"/>
    <cellStyle name="Normal 2 13 2 2 10" xfId="7463"/>
    <cellStyle name="Normal 2 13 2 2 10 2" xfId="7464"/>
    <cellStyle name="Normal 2 13 2 2 11" xfId="7465"/>
    <cellStyle name="Normal 2 13 2 2 2" xfId="7466"/>
    <cellStyle name="Normal 2 13 2 2 2 2" xfId="7467"/>
    <cellStyle name="Normal 2 13 2 2 3" xfId="7468"/>
    <cellStyle name="Normal 2 13 2 2 3 2" xfId="7469"/>
    <cellStyle name="Normal 2 13 2 2 4" xfId="7470"/>
    <cellStyle name="Normal 2 13 2 2 4 2" xfId="7471"/>
    <cellStyle name="Normal 2 13 2 2 5" xfId="7472"/>
    <cellStyle name="Normal 2 13 2 2 5 2" xfId="7473"/>
    <cellStyle name="Normal 2 13 2 2 6" xfId="7474"/>
    <cellStyle name="Normal 2 13 2 2 6 2" xfId="7475"/>
    <cellStyle name="Normal 2 13 2 2 7" xfId="7476"/>
    <cellStyle name="Normal 2 13 2 2 7 2" xfId="7477"/>
    <cellStyle name="Normal 2 13 2 2 8" xfId="7478"/>
    <cellStyle name="Normal 2 13 2 2 8 2" xfId="7479"/>
    <cellStyle name="Normal 2 13 2 2 9" xfId="7480"/>
    <cellStyle name="Normal 2 13 2 2 9 2" xfId="7481"/>
    <cellStyle name="Normal 2 13 2 3" xfId="7482"/>
    <cellStyle name="Normal 2 13 2 3 2" xfId="7483"/>
    <cellStyle name="Normal 2 13 2 4" xfId="7484"/>
    <cellStyle name="Normal 2 13 2 4 2" xfId="7485"/>
    <cellStyle name="Normal 2 13 2 5" xfId="7486"/>
    <cellStyle name="Normal 2 13 2 5 2" xfId="7487"/>
    <cellStyle name="Normal 2 13 2 6" xfId="7488"/>
    <cellStyle name="Normal 2 13 2 6 2" xfId="7489"/>
    <cellStyle name="Normal 2 13 2 7" xfId="7490"/>
    <cellStyle name="Normal 2 13 2 7 2" xfId="7491"/>
    <cellStyle name="Normal 2 13 2 8" xfId="7492"/>
    <cellStyle name="Normal 2 13 2 8 2" xfId="7493"/>
    <cellStyle name="Normal 2 13 2 9" xfId="7494"/>
    <cellStyle name="Normal 2 13 2 9 2" xfId="7495"/>
    <cellStyle name="Normal 2 13 3" xfId="7496"/>
    <cellStyle name="Normal 2 13 3 10" xfId="7497"/>
    <cellStyle name="Normal 2 13 3 10 2" xfId="7498"/>
    <cellStyle name="Normal 2 13 3 11" xfId="7499"/>
    <cellStyle name="Normal 2 13 3 2" xfId="7500"/>
    <cellStyle name="Normal 2 13 3 2 2" xfId="7501"/>
    <cellStyle name="Normal 2 13 3 3" xfId="7502"/>
    <cellStyle name="Normal 2 13 3 3 2" xfId="7503"/>
    <cellStyle name="Normal 2 13 3 4" xfId="7504"/>
    <cellStyle name="Normal 2 13 3 4 2" xfId="7505"/>
    <cellStyle name="Normal 2 13 3 5" xfId="7506"/>
    <cellStyle name="Normal 2 13 3 5 2" xfId="7507"/>
    <cellStyle name="Normal 2 13 3 6" xfId="7508"/>
    <cellStyle name="Normal 2 13 3 6 2" xfId="7509"/>
    <cellStyle name="Normal 2 13 3 7" xfId="7510"/>
    <cellStyle name="Normal 2 13 3 7 2" xfId="7511"/>
    <cellStyle name="Normal 2 13 3 8" xfId="7512"/>
    <cellStyle name="Normal 2 13 3 8 2" xfId="7513"/>
    <cellStyle name="Normal 2 13 3 9" xfId="7514"/>
    <cellStyle name="Normal 2 13 3 9 2" xfId="7515"/>
    <cellStyle name="Normal 2 13 4" xfId="7516"/>
    <cellStyle name="Normal 2 13 4 2" xfId="7517"/>
    <cellStyle name="Normal 2 13 5" xfId="7518"/>
    <cellStyle name="Normal 2 13 5 2" xfId="7519"/>
    <cellStyle name="Normal 2 13 6" xfId="7520"/>
    <cellStyle name="Normal 2 13 6 2" xfId="7521"/>
    <cellStyle name="Normal 2 13 7" xfId="7522"/>
    <cellStyle name="Normal 2 13 7 2" xfId="7523"/>
    <cellStyle name="Normal 2 13 8" xfId="7524"/>
    <cellStyle name="Normal 2 13 8 2" xfId="7525"/>
    <cellStyle name="Normal 2 13 9" xfId="7526"/>
    <cellStyle name="Normal 2 13 9 2" xfId="7527"/>
    <cellStyle name="Normal 2 14" xfId="7528"/>
    <cellStyle name="Normal 2 14 10" xfId="7529"/>
    <cellStyle name="Normal 2 14 10 2" xfId="7530"/>
    <cellStyle name="Normal 2 14 11" xfId="7531"/>
    <cellStyle name="Normal 2 14 11 2" xfId="7532"/>
    <cellStyle name="Normal 2 14 12" xfId="7533"/>
    <cellStyle name="Normal 2 14 12 2" xfId="7534"/>
    <cellStyle name="Normal 2 14 13" xfId="7535"/>
    <cellStyle name="Normal 2 14 2" xfId="7536"/>
    <cellStyle name="Normal 2 14 2 10" xfId="7537"/>
    <cellStyle name="Normal 2 14 2 10 2" xfId="7538"/>
    <cellStyle name="Normal 2 14 2 11" xfId="7539"/>
    <cellStyle name="Normal 2 14 2 11 2" xfId="7540"/>
    <cellStyle name="Normal 2 14 2 12" xfId="7541"/>
    <cellStyle name="Normal 2 14 2 2" xfId="7542"/>
    <cellStyle name="Normal 2 14 2 2 10" xfId="7543"/>
    <cellStyle name="Normal 2 14 2 2 10 2" xfId="7544"/>
    <cellStyle name="Normal 2 14 2 2 11" xfId="7545"/>
    <cellStyle name="Normal 2 14 2 2 2" xfId="7546"/>
    <cellStyle name="Normal 2 14 2 2 2 2" xfId="7547"/>
    <cellStyle name="Normal 2 14 2 2 3" xfId="7548"/>
    <cellStyle name="Normal 2 14 2 2 3 2" xfId="7549"/>
    <cellStyle name="Normal 2 14 2 2 4" xfId="7550"/>
    <cellStyle name="Normal 2 14 2 2 4 2" xfId="7551"/>
    <cellStyle name="Normal 2 14 2 2 5" xfId="7552"/>
    <cellStyle name="Normal 2 14 2 2 5 2" xfId="7553"/>
    <cellStyle name="Normal 2 14 2 2 6" xfId="7554"/>
    <cellStyle name="Normal 2 14 2 2 6 2" xfId="7555"/>
    <cellStyle name="Normal 2 14 2 2 7" xfId="7556"/>
    <cellStyle name="Normal 2 14 2 2 7 2" xfId="7557"/>
    <cellStyle name="Normal 2 14 2 2 8" xfId="7558"/>
    <cellStyle name="Normal 2 14 2 2 8 2" xfId="7559"/>
    <cellStyle name="Normal 2 14 2 2 9" xfId="7560"/>
    <cellStyle name="Normal 2 14 2 2 9 2" xfId="7561"/>
    <cellStyle name="Normal 2 14 2 3" xfId="7562"/>
    <cellStyle name="Normal 2 14 2 3 2" xfId="7563"/>
    <cellStyle name="Normal 2 14 2 4" xfId="7564"/>
    <cellStyle name="Normal 2 14 2 4 2" xfId="7565"/>
    <cellStyle name="Normal 2 14 2 5" xfId="7566"/>
    <cellStyle name="Normal 2 14 2 5 2" xfId="7567"/>
    <cellStyle name="Normal 2 14 2 6" xfId="7568"/>
    <cellStyle name="Normal 2 14 2 6 2" xfId="7569"/>
    <cellStyle name="Normal 2 14 2 7" xfId="7570"/>
    <cellStyle name="Normal 2 14 2 7 2" xfId="7571"/>
    <cellStyle name="Normal 2 14 2 8" xfId="7572"/>
    <cellStyle name="Normal 2 14 2 8 2" xfId="7573"/>
    <cellStyle name="Normal 2 14 2 9" xfId="7574"/>
    <cellStyle name="Normal 2 14 2 9 2" xfId="7575"/>
    <cellStyle name="Normal 2 14 3" xfId="7576"/>
    <cellStyle name="Normal 2 14 3 10" xfId="7577"/>
    <cellStyle name="Normal 2 14 3 10 2" xfId="7578"/>
    <cellStyle name="Normal 2 14 3 11" xfId="7579"/>
    <cellStyle name="Normal 2 14 3 2" xfId="7580"/>
    <cellStyle name="Normal 2 14 3 2 2" xfId="7581"/>
    <cellStyle name="Normal 2 14 3 3" xfId="7582"/>
    <cellStyle name="Normal 2 14 3 3 2" xfId="7583"/>
    <cellStyle name="Normal 2 14 3 4" xfId="7584"/>
    <cellStyle name="Normal 2 14 3 4 2" xfId="7585"/>
    <cellStyle name="Normal 2 14 3 5" xfId="7586"/>
    <cellStyle name="Normal 2 14 3 5 2" xfId="7587"/>
    <cellStyle name="Normal 2 14 3 6" xfId="7588"/>
    <cellStyle name="Normal 2 14 3 6 2" xfId="7589"/>
    <cellStyle name="Normal 2 14 3 7" xfId="7590"/>
    <cellStyle name="Normal 2 14 3 7 2" xfId="7591"/>
    <cellStyle name="Normal 2 14 3 8" xfId="7592"/>
    <cellStyle name="Normal 2 14 3 8 2" xfId="7593"/>
    <cellStyle name="Normal 2 14 3 9" xfId="7594"/>
    <cellStyle name="Normal 2 14 3 9 2" xfId="7595"/>
    <cellStyle name="Normal 2 14 4" xfId="7596"/>
    <cellStyle name="Normal 2 14 4 2" xfId="7597"/>
    <cellStyle name="Normal 2 14 5" xfId="7598"/>
    <cellStyle name="Normal 2 14 5 2" xfId="7599"/>
    <cellStyle name="Normal 2 14 6" xfId="7600"/>
    <cellStyle name="Normal 2 14 6 2" xfId="7601"/>
    <cellStyle name="Normal 2 14 7" xfId="7602"/>
    <cellStyle name="Normal 2 14 7 2" xfId="7603"/>
    <cellStyle name="Normal 2 14 8" xfId="7604"/>
    <cellStyle name="Normal 2 14 8 2" xfId="7605"/>
    <cellStyle name="Normal 2 14 9" xfId="7606"/>
    <cellStyle name="Normal 2 14 9 2" xfId="7607"/>
    <cellStyle name="Normal 2 15" xfId="7608"/>
    <cellStyle name="Normal 2 15 2" xfId="7609"/>
    <cellStyle name="Normal 2 15 2 10" xfId="7610"/>
    <cellStyle name="Normal 2 15 2 10 2" xfId="7611"/>
    <cellStyle name="Normal 2 15 2 11" xfId="7612"/>
    <cellStyle name="Normal 2 15 2 11 2" xfId="7613"/>
    <cellStyle name="Normal 2 15 2 12" xfId="7614"/>
    <cellStyle name="Normal 2 15 2 12 2" xfId="7615"/>
    <cellStyle name="Normal 2 15 2 13" xfId="7616"/>
    <cellStyle name="Normal 2 15 2 2" xfId="7617"/>
    <cellStyle name="Normal 2 15 2 2 10" xfId="7618"/>
    <cellStyle name="Normal 2 15 2 2 10 2" xfId="7619"/>
    <cellStyle name="Normal 2 15 2 2 11" xfId="7620"/>
    <cellStyle name="Normal 2 15 2 2 11 2" xfId="7621"/>
    <cellStyle name="Normal 2 15 2 2 12" xfId="7622"/>
    <cellStyle name="Normal 2 15 2 2 2" xfId="7623"/>
    <cellStyle name="Normal 2 15 2 2 2 10" xfId="7624"/>
    <cellStyle name="Normal 2 15 2 2 2 10 2" xfId="7625"/>
    <cellStyle name="Normal 2 15 2 2 2 11" xfId="7626"/>
    <cellStyle name="Normal 2 15 2 2 2 2" xfId="7627"/>
    <cellStyle name="Normal 2 15 2 2 2 2 2" xfId="7628"/>
    <cellStyle name="Normal 2 15 2 2 2 3" xfId="7629"/>
    <cellStyle name="Normal 2 15 2 2 2 3 2" xfId="7630"/>
    <cellStyle name="Normal 2 15 2 2 2 4" xfId="7631"/>
    <cellStyle name="Normal 2 15 2 2 2 4 2" xfId="7632"/>
    <cellStyle name="Normal 2 15 2 2 2 5" xfId="7633"/>
    <cellStyle name="Normal 2 15 2 2 2 5 2" xfId="7634"/>
    <cellStyle name="Normal 2 15 2 2 2 6" xfId="7635"/>
    <cellStyle name="Normal 2 15 2 2 2 6 2" xfId="7636"/>
    <cellStyle name="Normal 2 15 2 2 2 7" xfId="7637"/>
    <cellStyle name="Normal 2 15 2 2 2 7 2" xfId="7638"/>
    <cellStyle name="Normal 2 15 2 2 2 8" xfId="7639"/>
    <cellStyle name="Normal 2 15 2 2 2 8 2" xfId="7640"/>
    <cellStyle name="Normal 2 15 2 2 2 9" xfId="7641"/>
    <cellStyle name="Normal 2 15 2 2 2 9 2" xfId="7642"/>
    <cellStyle name="Normal 2 15 2 2 3" xfId="7643"/>
    <cellStyle name="Normal 2 15 2 2 3 2" xfId="7644"/>
    <cellStyle name="Normal 2 15 2 2 4" xfId="7645"/>
    <cellStyle name="Normal 2 15 2 2 4 2" xfId="7646"/>
    <cellStyle name="Normal 2 15 2 2 5" xfId="7647"/>
    <cellStyle name="Normal 2 15 2 2 5 2" xfId="7648"/>
    <cellStyle name="Normal 2 15 2 2 6" xfId="7649"/>
    <cellStyle name="Normal 2 15 2 2 6 2" xfId="7650"/>
    <cellStyle name="Normal 2 15 2 2 7" xfId="7651"/>
    <cellStyle name="Normal 2 15 2 2 7 2" xfId="7652"/>
    <cellStyle name="Normal 2 15 2 2 8" xfId="7653"/>
    <cellStyle name="Normal 2 15 2 2 8 2" xfId="7654"/>
    <cellStyle name="Normal 2 15 2 2 9" xfId="7655"/>
    <cellStyle name="Normal 2 15 2 2 9 2" xfId="7656"/>
    <cellStyle name="Normal 2 15 2 3" xfId="7657"/>
    <cellStyle name="Normal 2 15 2 3 10" xfId="7658"/>
    <cellStyle name="Normal 2 15 2 3 10 2" xfId="7659"/>
    <cellStyle name="Normal 2 15 2 3 11" xfId="7660"/>
    <cellStyle name="Normal 2 15 2 3 2" xfId="7661"/>
    <cellStyle name="Normal 2 15 2 3 2 2" xfId="7662"/>
    <cellStyle name="Normal 2 15 2 3 3" xfId="7663"/>
    <cellStyle name="Normal 2 15 2 3 3 2" xfId="7664"/>
    <cellStyle name="Normal 2 15 2 3 4" xfId="7665"/>
    <cellStyle name="Normal 2 15 2 3 4 2" xfId="7666"/>
    <cellStyle name="Normal 2 15 2 3 5" xfId="7667"/>
    <cellStyle name="Normal 2 15 2 3 5 2" xfId="7668"/>
    <cellStyle name="Normal 2 15 2 3 6" xfId="7669"/>
    <cellStyle name="Normal 2 15 2 3 6 2" xfId="7670"/>
    <cellStyle name="Normal 2 15 2 3 7" xfId="7671"/>
    <cellStyle name="Normal 2 15 2 3 7 2" xfId="7672"/>
    <cellStyle name="Normal 2 15 2 3 8" xfId="7673"/>
    <cellStyle name="Normal 2 15 2 3 8 2" xfId="7674"/>
    <cellStyle name="Normal 2 15 2 3 9" xfId="7675"/>
    <cellStyle name="Normal 2 15 2 3 9 2" xfId="7676"/>
    <cellStyle name="Normal 2 15 2 4" xfId="7677"/>
    <cellStyle name="Normal 2 15 2 4 2" xfId="7678"/>
    <cellStyle name="Normal 2 15 2 5" xfId="7679"/>
    <cellStyle name="Normal 2 15 2 5 2" xfId="7680"/>
    <cellStyle name="Normal 2 15 2 6" xfId="7681"/>
    <cellStyle name="Normal 2 15 2 6 2" xfId="7682"/>
    <cellStyle name="Normal 2 15 2 7" xfId="7683"/>
    <cellStyle name="Normal 2 15 2 7 2" xfId="7684"/>
    <cellStyle name="Normal 2 15 2 8" xfId="7685"/>
    <cellStyle name="Normal 2 15 2 8 2" xfId="7686"/>
    <cellStyle name="Normal 2 15 2 9" xfId="7687"/>
    <cellStyle name="Normal 2 15 2 9 2" xfId="7688"/>
    <cellStyle name="Normal 2 15 3" xfId="7689"/>
    <cellStyle name="Normal 2 15 3 10" xfId="7690"/>
    <cellStyle name="Normal 2 15 3 10 2" xfId="7691"/>
    <cellStyle name="Normal 2 15 3 11" xfId="7692"/>
    <cellStyle name="Normal 2 15 3 11 2" xfId="7693"/>
    <cellStyle name="Normal 2 15 3 12" xfId="7694"/>
    <cellStyle name="Normal 2 15 3 12 2" xfId="7695"/>
    <cellStyle name="Normal 2 15 3 13" xfId="7696"/>
    <cellStyle name="Normal 2 15 3 2" xfId="7697"/>
    <cellStyle name="Normal 2 15 3 2 10" xfId="7698"/>
    <cellStyle name="Normal 2 15 3 2 10 2" xfId="7699"/>
    <cellStyle name="Normal 2 15 3 2 11" xfId="7700"/>
    <cellStyle name="Normal 2 15 3 2 11 2" xfId="7701"/>
    <cellStyle name="Normal 2 15 3 2 12" xfId="7702"/>
    <cellStyle name="Normal 2 15 3 2 2" xfId="7703"/>
    <cellStyle name="Normal 2 15 3 2 2 10" xfId="7704"/>
    <cellStyle name="Normal 2 15 3 2 2 10 2" xfId="7705"/>
    <cellStyle name="Normal 2 15 3 2 2 11" xfId="7706"/>
    <cellStyle name="Normal 2 15 3 2 2 2" xfId="7707"/>
    <cellStyle name="Normal 2 15 3 2 2 2 2" xfId="7708"/>
    <cellStyle name="Normal 2 15 3 2 2 3" xfId="7709"/>
    <cellStyle name="Normal 2 15 3 2 2 3 2" xfId="7710"/>
    <cellStyle name="Normal 2 15 3 2 2 4" xfId="7711"/>
    <cellStyle name="Normal 2 15 3 2 2 4 2" xfId="7712"/>
    <cellStyle name="Normal 2 15 3 2 2 5" xfId="7713"/>
    <cellStyle name="Normal 2 15 3 2 2 5 2" xfId="7714"/>
    <cellStyle name="Normal 2 15 3 2 2 6" xfId="7715"/>
    <cellStyle name="Normal 2 15 3 2 2 6 2" xfId="7716"/>
    <cellStyle name="Normal 2 15 3 2 2 7" xfId="7717"/>
    <cellStyle name="Normal 2 15 3 2 2 7 2" xfId="7718"/>
    <cellStyle name="Normal 2 15 3 2 2 8" xfId="7719"/>
    <cellStyle name="Normal 2 15 3 2 2 8 2" xfId="7720"/>
    <cellStyle name="Normal 2 15 3 2 2 9" xfId="7721"/>
    <cellStyle name="Normal 2 15 3 2 2 9 2" xfId="7722"/>
    <cellStyle name="Normal 2 15 3 2 3" xfId="7723"/>
    <cellStyle name="Normal 2 15 3 2 3 2" xfId="7724"/>
    <cellStyle name="Normal 2 15 3 2 4" xfId="7725"/>
    <cellStyle name="Normal 2 15 3 2 4 2" xfId="7726"/>
    <cellStyle name="Normal 2 15 3 2 5" xfId="7727"/>
    <cellStyle name="Normal 2 15 3 2 5 2" xfId="7728"/>
    <cellStyle name="Normal 2 15 3 2 6" xfId="7729"/>
    <cellStyle name="Normal 2 15 3 2 6 2" xfId="7730"/>
    <cellStyle name="Normal 2 15 3 2 7" xfId="7731"/>
    <cellStyle name="Normal 2 15 3 2 7 2" xfId="7732"/>
    <cellStyle name="Normal 2 15 3 2 8" xfId="7733"/>
    <cellStyle name="Normal 2 15 3 2 8 2" xfId="7734"/>
    <cellStyle name="Normal 2 15 3 2 9" xfId="7735"/>
    <cellStyle name="Normal 2 15 3 2 9 2" xfId="7736"/>
    <cellStyle name="Normal 2 15 3 3" xfId="7737"/>
    <cellStyle name="Normal 2 15 3 3 10" xfId="7738"/>
    <cellStyle name="Normal 2 15 3 3 10 2" xfId="7739"/>
    <cellStyle name="Normal 2 15 3 3 11" xfId="7740"/>
    <cellStyle name="Normal 2 15 3 3 2" xfId="7741"/>
    <cellStyle name="Normal 2 15 3 3 2 2" xfId="7742"/>
    <cellStyle name="Normal 2 15 3 3 3" xfId="7743"/>
    <cellStyle name="Normal 2 15 3 3 3 2" xfId="7744"/>
    <cellStyle name="Normal 2 15 3 3 4" xfId="7745"/>
    <cellStyle name="Normal 2 15 3 3 4 2" xfId="7746"/>
    <cellStyle name="Normal 2 15 3 3 5" xfId="7747"/>
    <cellStyle name="Normal 2 15 3 3 5 2" xfId="7748"/>
    <cellStyle name="Normal 2 15 3 3 6" xfId="7749"/>
    <cellStyle name="Normal 2 15 3 3 6 2" xfId="7750"/>
    <cellStyle name="Normal 2 15 3 3 7" xfId="7751"/>
    <cellStyle name="Normal 2 15 3 3 7 2" xfId="7752"/>
    <cellStyle name="Normal 2 15 3 3 8" xfId="7753"/>
    <cellStyle name="Normal 2 15 3 3 8 2" xfId="7754"/>
    <cellStyle name="Normal 2 15 3 3 9" xfId="7755"/>
    <cellStyle name="Normal 2 15 3 3 9 2" xfId="7756"/>
    <cellStyle name="Normal 2 15 3 4" xfId="7757"/>
    <cellStyle name="Normal 2 15 3 4 2" xfId="7758"/>
    <cellStyle name="Normal 2 15 3 5" xfId="7759"/>
    <cellStyle name="Normal 2 15 3 5 2" xfId="7760"/>
    <cellStyle name="Normal 2 15 3 6" xfId="7761"/>
    <cellStyle name="Normal 2 15 3 6 2" xfId="7762"/>
    <cellStyle name="Normal 2 15 3 7" xfId="7763"/>
    <cellStyle name="Normal 2 15 3 7 2" xfId="7764"/>
    <cellStyle name="Normal 2 15 3 8" xfId="7765"/>
    <cellStyle name="Normal 2 15 3 8 2" xfId="7766"/>
    <cellStyle name="Normal 2 15 3 9" xfId="7767"/>
    <cellStyle name="Normal 2 15 3 9 2" xfId="7768"/>
    <cellStyle name="Normal 2 15 4" xfId="7769"/>
    <cellStyle name="Normal 2 15 4 10" xfId="7770"/>
    <cellStyle name="Normal 2 15 4 10 2" xfId="7771"/>
    <cellStyle name="Normal 2 15 4 11" xfId="7772"/>
    <cellStyle name="Normal 2 15 4 11 2" xfId="7773"/>
    <cellStyle name="Normal 2 15 4 12" xfId="7774"/>
    <cellStyle name="Normal 2 15 4 12 2" xfId="7775"/>
    <cellStyle name="Normal 2 15 4 13" xfId="7776"/>
    <cellStyle name="Normal 2 15 4 2" xfId="7777"/>
    <cellStyle name="Normal 2 15 4 2 10" xfId="7778"/>
    <cellStyle name="Normal 2 15 4 2 10 2" xfId="7779"/>
    <cellStyle name="Normal 2 15 4 2 11" xfId="7780"/>
    <cellStyle name="Normal 2 15 4 2 11 2" xfId="7781"/>
    <cellStyle name="Normal 2 15 4 2 12" xfId="7782"/>
    <cellStyle name="Normal 2 15 4 2 2" xfId="7783"/>
    <cellStyle name="Normal 2 15 4 2 2 10" xfId="7784"/>
    <cellStyle name="Normal 2 15 4 2 2 10 2" xfId="7785"/>
    <cellStyle name="Normal 2 15 4 2 2 11" xfId="7786"/>
    <cellStyle name="Normal 2 15 4 2 2 2" xfId="7787"/>
    <cellStyle name="Normal 2 15 4 2 2 2 2" xfId="7788"/>
    <cellStyle name="Normal 2 15 4 2 2 3" xfId="7789"/>
    <cellStyle name="Normal 2 15 4 2 2 3 2" xfId="7790"/>
    <cellStyle name="Normal 2 15 4 2 2 4" xfId="7791"/>
    <cellStyle name="Normal 2 15 4 2 2 4 2" xfId="7792"/>
    <cellStyle name="Normal 2 15 4 2 2 5" xfId="7793"/>
    <cellStyle name="Normal 2 15 4 2 2 5 2" xfId="7794"/>
    <cellStyle name="Normal 2 15 4 2 2 6" xfId="7795"/>
    <cellStyle name="Normal 2 15 4 2 2 6 2" xfId="7796"/>
    <cellStyle name="Normal 2 15 4 2 2 7" xfId="7797"/>
    <cellStyle name="Normal 2 15 4 2 2 7 2" xfId="7798"/>
    <cellStyle name="Normal 2 15 4 2 2 8" xfId="7799"/>
    <cellStyle name="Normal 2 15 4 2 2 8 2" xfId="7800"/>
    <cellStyle name="Normal 2 15 4 2 2 9" xfId="7801"/>
    <cellStyle name="Normal 2 15 4 2 2 9 2" xfId="7802"/>
    <cellStyle name="Normal 2 15 4 2 3" xfId="7803"/>
    <cellStyle name="Normal 2 15 4 2 3 2" xfId="7804"/>
    <cellStyle name="Normal 2 15 4 2 4" xfId="7805"/>
    <cellStyle name="Normal 2 15 4 2 4 2" xfId="7806"/>
    <cellStyle name="Normal 2 15 4 2 5" xfId="7807"/>
    <cellStyle name="Normal 2 15 4 2 5 2" xfId="7808"/>
    <cellStyle name="Normal 2 15 4 2 6" xfId="7809"/>
    <cellStyle name="Normal 2 15 4 2 6 2" xfId="7810"/>
    <cellStyle name="Normal 2 15 4 2 7" xfId="7811"/>
    <cellStyle name="Normal 2 15 4 2 7 2" xfId="7812"/>
    <cellStyle name="Normal 2 15 4 2 8" xfId="7813"/>
    <cellStyle name="Normal 2 15 4 2 8 2" xfId="7814"/>
    <cellStyle name="Normal 2 15 4 2 9" xfId="7815"/>
    <cellStyle name="Normal 2 15 4 2 9 2" xfId="7816"/>
    <cellStyle name="Normal 2 15 4 3" xfId="7817"/>
    <cellStyle name="Normal 2 15 4 3 10" xfId="7818"/>
    <cellStyle name="Normal 2 15 4 3 10 2" xfId="7819"/>
    <cellStyle name="Normal 2 15 4 3 11" xfId="7820"/>
    <cellStyle name="Normal 2 15 4 3 2" xfId="7821"/>
    <cellStyle name="Normal 2 15 4 3 2 2" xfId="7822"/>
    <cellStyle name="Normal 2 15 4 3 3" xfId="7823"/>
    <cellStyle name="Normal 2 15 4 3 3 2" xfId="7824"/>
    <cellStyle name="Normal 2 15 4 3 4" xfId="7825"/>
    <cellStyle name="Normal 2 15 4 3 4 2" xfId="7826"/>
    <cellStyle name="Normal 2 15 4 3 5" xfId="7827"/>
    <cellStyle name="Normal 2 15 4 3 5 2" xfId="7828"/>
    <cellStyle name="Normal 2 15 4 3 6" xfId="7829"/>
    <cellStyle name="Normal 2 15 4 3 6 2" xfId="7830"/>
    <cellStyle name="Normal 2 15 4 3 7" xfId="7831"/>
    <cellStyle name="Normal 2 15 4 3 7 2" xfId="7832"/>
    <cellStyle name="Normal 2 15 4 3 8" xfId="7833"/>
    <cellStyle name="Normal 2 15 4 3 8 2" xfId="7834"/>
    <cellStyle name="Normal 2 15 4 3 9" xfId="7835"/>
    <cellStyle name="Normal 2 15 4 3 9 2" xfId="7836"/>
    <cellStyle name="Normal 2 15 4 4" xfId="7837"/>
    <cellStyle name="Normal 2 15 4 4 2" xfId="7838"/>
    <cellStyle name="Normal 2 15 4 5" xfId="7839"/>
    <cellStyle name="Normal 2 15 4 5 2" xfId="7840"/>
    <cellStyle name="Normal 2 15 4 6" xfId="7841"/>
    <cellStyle name="Normal 2 15 4 6 2" xfId="7842"/>
    <cellStyle name="Normal 2 15 4 7" xfId="7843"/>
    <cellStyle name="Normal 2 15 4 7 2" xfId="7844"/>
    <cellStyle name="Normal 2 15 4 8" xfId="7845"/>
    <cellStyle name="Normal 2 15 4 8 2" xfId="7846"/>
    <cellStyle name="Normal 2 15 4 9" xfId="7847"/>
    <cellStyle name="Normal 2 15 4 9 2" xfId="7848"/>
    <cellStyle name="Normal 2 15 5" xfId="7849"/>
    <cellStyle name="Normal 2 15 5 10" xfId="7850"/>
    <cellStyle name="Normal 2 15 5 10 2" xfId="7851"/>
    <cellStyle name="Normal 2 15 5 11" xfId="7852"/>
    <cellStyle name="Normal 2 15 5 11 2" xfId="7853"/>
    <cellStyle name="Normal 2 15 5 12" xfId="7854"/>
    <cellStyle name="Normal 2 15 5 12 2" xfId="7855"/>
    <cellStyle name="Normal 2 15 5 13" xfId="7856"/>
    <cellStyle name="Normal 2 15 5 2" xfId="7857"/>
    <cellStyle name="Normal 2 15 5 2 10" xfId="7858"/>
    <cellStyle name="Normal 2 15 5 2 10 2" xfId="7859"/>
    <cellStyle name="Normal 2 15 5 2 11" xfId="7860"/>
    <cellStyle name="Normal 2 15 5 2 11 2" xfId="7861"/>
    <cellStyle name="Normal 2 15 5 2 12" xfId="7862"/>
    <cellStyle name="Normal 2 15 5 2 2" xfId="7863"/>
    <cellStyle name="Normal 2 15 5 2 2 10" xfId="7864"/>
    <cellStyle name="Normal 2 15 5 2 2 10 2" xfId="7865"/>
    <cellStyle name="Normal 2 15 5 2 2 11" xfId="7866"/>
    <cellStyle name="Normal 2 15 5 2 2 2" xfId="7867"/>
    <cellStyle name="Normal 2 15 5 2 2 2 2" xfId="7868"/>
    <cellStyle name="Normal 2 15 5 2 2 3" xfId="7869"/>
    <cellStyle name="Normal 2 15 5 2 2 3 2" xfId="7870"/>
    <cellStyle name="Normal 2 15 5 2 2 4" xfId="7871"/>
    <cellStyle name="Normal 2 15 5 2 2 4 2" xfId="7872"/>
    <cellStyle name="Normal 2 15 5 2 2 5" xfId="7873"/>
    <cellStyle name="Normal 2 15 5 2 2 5 2" xfId="7874"/>
    <cellStyle name="Normal 2 15 5 2 2 6" xfId="7875"/>
    <cellStyle name="Normal 2 15 5 2 2 6 2" xfId="7876"/>
    <cellStyle name="Normal 2 15 5 2 2 7" xfId="7877"/>
    <cellStyle name="Normal 2 15 5 2 2 7 2" xfId="7878"/>
    <cellStyle name="Normal 2 15 5 2 2 8" xfId="7879"/>
    <cellStyle name="Normal 2 15 5 2 2 8 2" xfId="7880"/>
    <cellStyle name="Normal 2 15 5 2 2 9" xfId="7881"/>
    <cellStyle name="Normal 2 15 5 2 2 9 2" xfId="7882"/>
    <cellStyle name="Normal 2 15 5 2 3" xfId="7883"/>
    <cellStyle name="Normal 2 15 5 2 3 2" xfId="7884"/>
    <cellStyle name="Normal 2 15 5 2 4" xfId="7885"/>
    <cellStyle name="Normal 2 15 5 2 4 2" xfId="7886"/>
    <cellStyle name="Normal 2 15 5 2 5" xfId="7887"/>
    <cellStyle name="Normal 2 15 5 2 5 2" xfId="7888"/>
    <cellStyle name="Normal 2 15 5 2 6" xfId="7889"/>
    <cellStyle name="Normal 2 15 5 2 6 2" xfId="7890"/>
    <cellStyle name="Normal 2 15 5 2 7" xfId="7891"/>
    <cellStyle name="Normal 2 15 5 2 7 2" xfId="7892"/>
    <cellStyle name="Normal 2 15 5 2 8" xfId="7893"/>
    <cellStyle name="Normal 2 15 5 2 8 2" xfId="7894"/>
    <cellStyle name="Normal 2 15 5 2 9" xfId="7895"/>
    <cellStyle name="Normal 2 15 5 2 9 2" xfId="7896"/>
    <cellStyle name="Normal 2 15 5 3" xfId="7897"/>
    <cellStyle name="Normal 2 15 5 3 10" xfId="7898"/>
    <cellStyle name="Normal 2 15 5 3 10 2" xfId="7899"/>
    <cellStyle name="Normal 2 15 5 3 11" xfId="7900"/>
    <cellStyle name="Normal 2 15 5 3 2" xfId="7901"/>
    <cellStyle name="Normal 2 15 5 3 2 2" xfId="7902"/>
    <cellStyle name="Normal 2 15 5 3 3" xfId="7903"/>
    <cellStyle name="Normal 2 15 5 3 3 2" xfId="7904"/>
    <cellStyle name="Normal 2 15 5 3 4" xfId="7905"/>
    <cellStyle name="Normal 2 15 5 3 4 2" xfId="7906"/>
    <cellStyle name="Normal 2 15 5 3 5" xfId="7907"/>
    <cellStyle name="Normal 2 15 5 3 5 2" xfId="7908"/>
    <cellStyle name="Normal 2 15 5 3 6" xfId="7909"/>
    <cellStyle name="Normal 2 15 5 3 6 2" xfId="7910"/>
    <cellStyle name="Normal 2 15 5 3 7" xfId="7911"/>
    <cellStyle name="Normal 2 15 5 3 7 2" xfId="7912"/>
    <cellStyle name="Normal 2 15 5 3 8" xfId="7913"/>
    <cellStyle name="Normal 2 15 5 3 8 2" xfId="7914"/>
    <cellStyle name="Normal 2 15 5 3 9" xfId="7915"/>
    <cellStyle name="Normal 2 15 5 3 9 2" xfId="7916"/>
    <cellStyle name="Normal 2 15 5 4" xfId="7917"/>
    <cellStyle name="Normal 2 15 5 4 2" xfId="7918"/>
    <cellStyle name="Normal 2 15 5 5" xfId="7919"/>
    <cellStyle name="Normal 2 15 5 5 2" xfId="7920"/>
    <cellStyle name="Normal 2 15 5 6" xfId="7921"/>
    <cellStyle name="Normal 2 15 5 6 2" xfId="7922"/>
    <cellStyle name="Normal 2 15 5 7" xfId="7923"/>
    <cellStyle name="Normal 2 15 5 7 2" xfId="7924"/>
    <cellStyle name="Normal 2 15 5 8" xfId="7925"/>
    <cellStyle name="Normal 2 15 5 8 2" xfId="7926"/>
    <cellStyle name="Normal 2 15 5 9" xfId="7927"/>
    <cellStyle name="Normal 2 15 5 9 2" xfId="7928"/>
    <cellStyle name="Normal 2 15 6" xfId="7929"/>
    <cellStyle name="Normal 2 16" xfId="7930"/>
    <cellStyle name="Normal 2 16 2" xfId="7931"/>
    <cellStyle name="Normal 2 17" xfId="7932"/>
    <cellStyle name="Normal 2 17 2" xfId="7933"/>
    <cellStyle name="Normal 2 18" xfId="7934"/>
    <cellStyle name="Normal 2 18 2" xfId="7935"/>
    <cellStyle name="Normal 2 19" xfId="7936"/>
    <cellStyle name="Normal 2 2" xfId="7937"/>
    <cellStyle name="Normal 2 2 10" xfId="7938"/>
    <cellStyle name="Normal 2 2 10 2" xfId="7939"/>
    <cellStyle name="Normal 2 2 11" xfId="7940"/>
    <cellStyle name="Normal 2 2 11 10" xfId="7941"/>
    <cellStyle name="Normal 2 2 11 10 2" xfId="7942"/>
    <cellStyle name="Normal 2 2 11 11" xfId="7943"/>
    <cellStyle name="Normal 2 2 11 11 2" xfId="7944"/>
    <cellStyle name="Normal 2 2 11 12" xfId="7945"/>
    <cellStyle name="Normal 2 2 11 12 2" xfId="7946"/>
    <cellStyle name="Normal 2 2 11 13" xfId="7947"/>
    <cellStyle name="Normal 2 2 11 13 2" xfId="7948"/>
    <cellStyle name="Normal 2 2 11 14" xfId="7949"/>
    <cellStyle name="Normal 2 2 11 14 2" xfId="7950"/>
    <cellStyle name="Normal 2 2 11 15" xfId="7951"/>
    <cellStyle name="Normal 2 2 11 15 2" xfId="7952"/>
    <cellStyle name="Normal 2 2 11 16" xfId="7953"/>
    <cellStyle name="Normal 2 2 11 16 2" xfId="7954"/>
    <cellStyle name="Normal 2 2 11 17" xfId="7955"/>
    <cellStyle name="Normal 2 2 11 17 2" xfId="7956"/>
    <cellStyle name="Normal 2 2 11 18" xfId="7957"/>
    <cellStyle name="Normal 2 2 11 2" xfId="7958"/>
    <cellStyle name="Normal 2 2 11 2 2" xfId="7959"/>
    <cellStyle name="Normal 2 2 11 2 2 10" xfId="7960"/>
    <cellStyle name="Normal 2 2 11 2 2 10 2" xfId="7961"/>
    <cellStyle name="Normal 2 2 11 2 2 11" xfId="7962"/>
    <cellStyle name="Normal 2 2 11 2 2 11 2" xfId="7963"/>
    <cellStyle name="Normal 2 2 11 2 2 12" xfId="7964"/>
    <cellStyle name="Normal 2 2 11 2 2 12 2" xfId="7965"/>
    <cellStyle name="Normal 2 2 11 2 2 13" xfId="7966"/>
    <cellStyle name="Normal 2 2 11 2 2 13 2" xfId="7967"/>
    <cellStyle name="Normal 2 2 11 2 2 14" xfId="7968"/>
    <cellStyle name="Normal 2 2 11 2 2 14 2" xfId="7969"/>
    <cellStyle name="Normal 2 2 11 2 2 15" xfId="7970"/>
    <cellStyle name="Normal 2 2 11 2 2 15 2" xfId="7971"/>
    <cellStyle name="Normal 2 2 11 2 2 16" xfId="7972"/>
    <cellStyle name="Normal 2 2 11 2 2 16 2" xfId="7973"/>
    <cellStyle name="Normal 2 2 11 2 2 17" xfId="7974"/>
    <cellStyle name="Normal 2 2 11 2 2 2" xfId="7975"/>
    <cellStyle name="Normal 2 2 11 2 2 2 2" xfId="7976"/>
    <cellStyle name="Normal 2 2 11 2 2 3" xfId="7977"/>
    <cellStyle name="Normal 2 2 11 2 2 3 2" xfId="7978"/>
    <cellStyle name="Normal 2 2 11 2 2 4" xfId="7979"/>
    <cellStyle name="Normal 2 2 11 2 2 4 2" xfId="7980"/>
    <cellStyle name="Normal 2 2 11 2 2 5" xfId="7981"/>
    <cellStyle name="Normal 2 2 11 2 2 5 2" xfId="7982"/>
    <cellStyle name="Normal 2 2 11 2 2 6" xfId="7983"/>
    <cellStyle name="Normal 2 2 11 2 2 6 10" xfId="7984"/>
    <cellStyle name="Normal 2 2 11 2 2 6 10 2" xfId="7985"/>
    <cellStyle name="Normal 2 2 11 2 2 6 11" xfId="7986"/>
    <cellStyle name="Normal 2 2 11 2 2 6 11 2" xfId="7987"/>
    <cellStyle name="Normal 2 2 11 2 2 6 12" xfId="7988"/>
    <cellStyle name="Normal 2 2 11 2 2 6 2" xfId="7989"/>
    <cellStyle name="Normal 2 2 11 2 2 6 2 10" xfId="7990"/>
    <cellStyle name="Normal 2 2 11 2 2 6 2 10 2" xfId="7991"/>
    <cellStyle name="Normal 2 2 11 2 2 6 2 11" xfId="7992"/>
    <cellStyle name="Normal 2 2 11 2 2 6 2 2" xfId="7993"/>
    <cellStyle name="Normal 2 2 11 2 2 6 2 2 2" xfId="7994"/>
    <cellStyle name="Normal 2 2 11 2 2 6 2 3" xfId="7995"/>
    <cellStyle name="Normal 2 2 11 2 2 6 2 3 2" xfId="7996"/>
    <cellStyle name="Normal 2 2 11 2 2 6 2 4" xfId="7997"/>
    <cellStyle name="Normal 2 2 11 2 2 6 2 4 2" xfId="7998"/>
    <cellStyle name="Normal 2 2 11 2 2 6 2 5" xfId="7999"/>
    <cellStyle name="Normal 2 2 11 2 2 6 2 5 2" xfId="8000"/>
    <cellStyle name="Normal 2 2 11 2 2 6 2 6" xfId="8001"/>
    <cellStyle name="Normal 2 2 11 2 2 6 2 6 2" xfId="8002"/>
    <cellStyle name="Normal 2 2 11 2 2 6 2 7" xfId="8003"/>
    <cellStyle name="Normal 2 2 11 2 2 6 2 7 2" xfId="8004"/>
    <cellStyle name="Normal 2 2 11 2 2 6 2 8" xfId="8005"/>
    <cellStyle name="Normal 2 2 11 2 2 6 2 8 2" xfId="8006"/>
    <cellStyle name="Normal 2 2 11 2 2 6 2 9" xfId="8007"/>
    <cellStyle name="Normal 2 2 11 2 2 6 2 9 2" xfId="8008"/>
    <cellStyle name="Normal 2 2 11 2 2 6 3" xfId="8009"/>
    <cellStyle name="Normal 2 2 11 2 2 6 3 2" xfId="8010"/>
    <cellStyle name="Normal 2 2 11 2 2 6 4" xfId="8011"/>
    <cellStyle name="Normal 2 2 11 2 2 6 4 2" xfId="8012"/>
    <cellStyle name="Normal 2 2 11 2 2 6 5" xfId="8013"/>
    <cellStyle name="Normal 2 2 11 2 2 6 5 2" xfId="8014"/>
    <cellStyle name="Normal 2 2 11 2 2 6 6" xfId="8015"/>
    <cellStyle name="Normal 2 2 11 2 2 6 6 2" xfId="8016"/>
    <cellStyle name="Normal 2 2 11 2 2 6 7" xfId="8017"/>
    <cellStyle name="Normal 2 2 11 2 2 6 7 2" xfId="8018"/>
    <cellStyle name="Normal 2 2 11 2 2 6 8" xfId="8019"/>
    <cellStyle name="Normal 2 2 11 2 2 6 8 2" xfId="8020"/>
    <cellStyle name="Normal 2 2 11 2 2 6 9" xfId="8021"/>
    <cellStyle name="Normal 2 2 11 2 2 6 9 2" xfId="8022"/>
    <cellStyle name="Normal 2 2 11 2 2 7" xfId="8023"/>
    <cellStyle name="Normal 2 2 11 2 2 7 10" xfId="8024"/>
    <cellStyle name="Normal 2 2 11 2 2 7 10 2" xfId="8025"/>
    <cellStyle name="Normal 2 2 11 2 2 7 11" xfId="8026"/>
    <cellStyle name="Normal 2 2 11 2 2 7 2" xfId="8027"/>
    <cellStyle name="Normal 2 2 11 2 2 7 2 2" xfId="8028"/>
    <cellStyle name="Normal 2 2 11 2 2 7 3" xfId="8029"/>
    <cellStyle name="Normal 2 2 11 2 2 7 3 2" xfId="8030"/>
    <cellStyle name="Normal 2 2 11 2 2 7 4" xfId="8031"/>
    <cellStyle name="Normal 2 2 11 2 2 7 4 2" xfId="8032"/>
    <cellStyle name="Normal 2 2 11 2 2 7 5" xfId="8033"/>
    <cellStyle name="Normal 2 2 11 2 2 7 5 2" xfId="8034"/>
    <cellStyle name="Normal 2 2 11 2 2 7 6" xfId="8035"/>
    <cellStyle name="Normal 2 2 11 2 2 7 6 2" xfId="8036"/>
    <cellStyle name="Normal 2 2 11 2 2 7 7" xfId="8037"/>
    <cellStyle name="Normal 2 2 11 2 2 7 7 2" xfId="8038"/>
    <cellStyle name="Normal 2 2 11 2 2 7 8" xfId="8039"/>
    <cellStyle name="Normal 2 2 11 2 2 7 8 2" xfId="8040"/>
    <cellStyle name="Normal 2 2 11 2 2 7 9" xfId="8041"/>
    <cellStyle name="Normal 2 2 11 2 2 7 9 2" xfId="8042"/>
    <cellStyle name="Normal 2 2 11 2 2 8" xfId="8043"/>
    <cellStyle name="Normal 2 2 11 2 2 8 2" xfId="8044"/>
    <cellStyle name="Normal 2 2 11 2 2 9" xfId="8045"/>
    <cellStyle name="Normal 2 2 11 2 2 9 2" xfId="8046"/>
    <cellStyle name="Normal 2 2 11 2 3" xfId="8047"/>
    <cellStyle name="Normal 2 2 11 2 3 10" xfId="8048"/>
    <cellStyle name="Normal 2 2 11 2 3 10 2" xfId="8049"/>
    <cellStyle name="Normal 2 2 11 2 3 11" xfId="8050"/>
    <cellStyle name="Normal 2 2 11 2 3 11 2" xfId="8051"/>
    <cellStyle name="Normal 2 2 11 2 3 12" xfId="8052"/>
    <cellStyle name="Normal 2 2 11 2 3 12 2" xfId="8053"/>
    <cellStyle name="Normal 2 2 11 2 3 13" xfId="8054"/>
    <cellStyle name="Normal 2 2 11 2 3 2" xfId="8055"/>
    <cellStyle name="Normal 2 2 11 2 3 2 10" xfId="8056"/>
    <cellStyle name="Normal 2 2 11 2 3 2 10 2" xfId="8057"/>
    <cellStyle name="Normal 2 2 11 2 3 2 11" xfId="8058"/>
    <cellStyle name="Normal 2 2 11 2 3 2 11 2" xfId="8059"/>
    <cellStyle name="Normal 2 2 11 2 3 2 12" xfId="8060"/>
    <cellStyle name="Normal 2 2 11 2 3 2 2" xfId="8061"/>
    <cellStyle name="Normal 2 2 11 2 3 2 2 10" xfId="8062"/>
    <cellStyle name="Normal 2 2 11 2 3 2 2 10 2" xfId="8063"/>
    <cellStyle name="Normal 2 2 11 2 3 2 2 11" xfId="8064"/>
    <cellStyle name="Normal 2 2 11 2 3 2 2 2" xfId="8065"/>
    <cellStyle name="Normal 2 2 11 2 3 2 2 2 2" xfId="8066"/>
    <cellStyle name="Normal 2 2 11 2 3 2 2 3" xfId="8067"/>
    <cellStyle name="Normal 2 2 11 2 3 2 2 3 2" xfId="8068"/>
    <cellStyle name="Normal 2 2 11 2 3 2 2 4" xfId="8069"/>
    <cellStyle name="Normal 2 2 11 2 3 2 2 4 2" xfId="8070"/>
    <cellStyle name="Normal 2 2 11 2 3 2 2 5" xfId="8071"/>
    <cellStyle name="Normal 2 2 11 2 3 2 2 5 2" xfId="8072"/>
    <cellStyle name="Normal 2 2 11 2 3 2 2 6" xfId="8073"/>
    <cellStyle name="Normal 2 2 11 2 3 2 2 6 2" xfId="8074"/>
    <cellStyle name="Normal 2 2 11 2 3 2 2 7" xfId="8075"/>
    <cellStyle name="Normal 2 2 11 2 3 2 2 7 2" xfId="8076"/>
    <cellStyle name="Normal 2 2 11 2 3 2 2 8" xfId="8077"/>
    <cellStyle name="Normal 2 2 11 2 3 2 2 8 2" xfId="8078"/>
    <cellStyle name="Normal 2 2 11 2 3 2 2 9" xfId="8079"/>
    <cellStyle name="Normal 2 2 11 2 3 2 2 9 2" xfId="8080"/>
    <cellStyle name="Normal 2 2 11 2 3 2 3" xfId="8081"/>
    <cellStyle name="Normal 2 2 11 2 3 2 3 2" xfId="8082"/>
    <cellStyle name="Normal 2 2 11 2 3 2 4" xfId="8083"/>
    <cellStyle name="Normal 2 2 11 2 3 2 4 2" xfId="8084"/>
    <cellStyle name="Normal 2 2 11 2 3 2 5" xfId="8085"/>
    <cellStyle name="Normal 2 2 11 2 3 2 5 2" xfId="8086"/>
    <cellStyle name="Normal 2 2 11 2 3 2 6" xfId="8087"/>
    <cellStyle name="Normal 2 2 11 2 3 2 6 2" xfId="8088"/>
    <cellStyle name="Normal 2 2 11 2 3 2 7" xfId="8089"/>
    <cellStyle name="Normal 2 2 11 2 3 2 7 2" xfId="8090"/>
    <cellStyle name="Normal 2 2 11 2 3 2 8" xfId="8091"/>
    <cellStyle name="Normal 2 2 11 2 3 2 8 2" xfId="8092"/>
    <cellStyle name="Normal 2 2 11 2 3 2 9" xfId="8093"/>
    <cellStyle name="Normal 2 2 11 2 3 2 9 2" xfId="8094"/>
    <cellStyle name="Normal 2 2 11 2 3 3" xfId="8095"/>
    <cellStyle name="Normal 2 2 11 2 3 3 10" xfId="8096"/>
    <cellStyle name="Normal 2 2 11 2 3 3 10 2" xfId="8097"/>
    <cellStyle name="Normal 2 2 11 2 3 3 11" xfId="8098"/>
    <cellStyle name="Normal 2 2 11 2 3 3 2" xfId="8099"/>
    <cellStyle name="Normal 2 2 11 2 3 3 2 2" xfId="8100"/>
    <cellStyle name="Normal 2 2 11 2 3 3 3" xfId="8101"/>
    <cellStyle name="Normal 2 2 11 2 3 3 3 2" xfId="8102"/>
    <cellStyle name="Normal 2 2 11 2 3 3 4" xfId="8103"/>
    <cellStyle name="Normal 2 2 11 2 3 3 4 2" xfId="8104"/>
    <cellStyle name="Normal 2 2 11 2 3 3 5" xfId="8105"/>
    <cellStyle name="Normal 2 2 11 2 3 3 5 2" xfId="8106"/>
    <cellStyle name="Normal 2 2 11 2 3 3 6" xfId="8107"/>
    <cellStyle name="Normal 2 2 11 2 3 3 6 2" xfId="8108"/>
    <cellStyle name="Normal 2 2 11 2 3 3 7" xfId="8109"/>
    <cellStyle name="Normal 2 2 11 2 3 3 7 2" xfId="8110"/>
    <cellStyle name="Normal 2 2 11 2 3 3 8" xfId="8111"/>
    <cellStyle name="Normal 2 2 11 2 3 3 8 2" xfId="8112"/>
    <cellStyle name="Normal 2 2 11 2 3 3 9" xfId="8113"/>
    <cellStyle name="Normal 2 2 11 2 3 3 9 2" xfId="8114"/>
    <cellStyle name="Normal 2 2 11 2 3 4" xfId="8115"/>
    <cellStyle name="Normal 2 2 11 2 3 4 2" xfId="8116"/>
    <cellStyle name="Normal 2 2 11 2 3 5" xfId="8117"/>
    <cellStyle name="Normal 2 2 11 2 3 5 2" xfId="8118"/>
    <cellStyle name="Normal 2 2 11 2 3 6" xfId="8119"/>
    <cellStyle name="Normal 2 2 11 2 3 6 2" xfId="8120"/>
    <cellStyle name="Normal 2 2 11 2 3 7" xfId="8121"/>
    <cellStyle name="Normal 2 2 11 2 3 7 2" xfId="8122"/>
    <cellStyle name="Normal 2 2 11 2 3 8" xfId="8123"/>
    <cellStyle name="Normal 2 2 11 2 3 8 2" xfId="8124"/>
    <cellStyle name="Normal 2 2 11 2 3 9" xfId="8125"/>
    <cellStyle name="Normal 2 2 11 2 3 9 2" xfId="8126"/>
    <cellStyle name="Normal 2 2 11 2 4" xfId="8127"/>
    <cellStyle name="Normal 2 2 11 2 4 10" xfId="8128"/>
    <cellStyle name="Normal 2 2 11 2 4 10 2" xfId="8129"/>
    <cellStyle name="Normal 2 2 11 2 4 11" xfId="8130"/>
    <cellStyle name="Normal 2 2 11 2 4 11 2" xfId="8131"/>
    <cellStyle name="Normal 2 2 11 2 4 12" xfId="8132"/>
    <cellStyle name="Normal 2 2 11 2 4 12 2" xfId="8133"/>
    <cellStyle name="Normal 2 2 11 2 4 13" xfId="8134"/>
    <cellStyle name="Normal 2 2 11 2 4 2" xfId="8135"/>
    <cellStyle name="Normal 2 2 11 2 4 2 10" xfId="8136"/>
    <cellStyle name="Normal 2 2 11 2 4 2 10 2" xfId="8137"/>
    <cellStyle name="Normal 2 2 11 2 4 2 11" xfId="8138"/>
    <cellStyle name="Normal 2 2 11 2 4 2 11 2" xfId="8139"/>
    <cellStyle name="Normal 2 2 11 2 4 2 12" xfId="8140"/>
    <cellStyle name="Normal 2 2 11 2 4 2 2" xfId="8141"/>
    <cellStyle name="Normal 2 2 11 2 4 2 2 10" xfId="8142"/>
    <cellStyle name="Normal 2 2 11 2 4 2 2 10 2" xfId="8143"/>
    <cellStyle name="Normal 2 2 11 2 4 2 2 11" xfId="8144"/>
    <cellStyle name="Normal 2 2 11 2 4 2 2 2" xfId="8145"/>
    <cellStyle name="Normal 2 2 11 2 4 2 2 2 2" xfId="8146"/>
    <cellStyle name="Normal 2 2 11 2 4 2 2 3" xfId="8147"/>
    <cellStyle name="Normal 2 2 11 2 4 2 2 3 2" xfId="8148"/>
    <cellStyle name="Normal 2 2 11 2 4 2 2 4" xfId="8149"/>
    <cellStyle name="Normal 2 2 11 2 4 2 2 4 2" xfId="8150"/>
    <cellStyle name="Normal 2 2 11 2 4 2 2 5" xfId="8151"/>
    <cellStyle name="Normal 2 2 11 2 4 2 2 5 2" xfId="8152"/>
    <cellStyle name="Normal 2 2 11 2 4 2 2 6" xfId="8153"/>
    <cellStyle name="Normal 2 2 11 2 4 2 2 6 2" xfId="8154"/>
    <cellStyle name="Normal 2 2 11 2 4 2 2 7" xfId="8155"/>
    <cellStyle name="Normal 2 2 11 2 4 2 2 7 2" xfId="8156"/>
    <cellStyle name="Normal 2 2 11 2 4 2 2 8" xfId="8157"/>
    <cellStyle name="Normal 2 2 11 2 4 2 2 8 2" xfId="8158"/>
    <cellStyle name="Normal 2 2 11 2 4 2 2 9" xfId="8159"/>
    <cellStyle name="Normal 2 2 11 2 4 2 2 9 2" xfId="8160"/>
    <cellStyle name="Normal 2 2 11 2 4 2 3" xfId="8161"/>
    <cellStyle name="Normal 2 2 11 2 4 2 3 2" xfId="8162"/>
    <cellStyle name="Normal 2 2 11 2 4 2 4" xfId="8163"/>
    <cellStyle name="Normal 2 2 11 2 4 2 4 2" xfId="8164"/>
    <cellStyle name="Normal 2 2 11 2 4 2 5" xfId="8165"/>
    <cellStyle name="Normal 2 2 11 2 4 2 5 2" xfId="8166"/>
    <cellStyle name="Normal 2 2 11 2 4 2 6" xfId="8167"/>
    <cellStyle name="Normal 2 2 11 2 4 2 6 2" xfId="8168"/>
    <cellStyle name="Normal 2 2 11 2 4 2 7" xfId="8169"/>
    <cellStyle name="Normal 2 2 11 2 4 2 7 2" xfId="8170"/>
    <cellStyle name="Normal 2 2 11 2 4 2 8" xfId="8171"/>
    <cellStyle name="Normal 2 2 11 2 4 2 8 2" xfId="8172"/>
    <cellStyle name="Normal 2 2 11 2 4 2 9" xfId="8173"/>
    <cellStyle name="Normal 2 2 11 2 4 2 9 2" xfId="8174"/>
    <cellStyle name="Normal 2 2 11 2 4 3" xfId="8175"/>
    <cellStyle name="Normal 2 2 11 2 4 3 10" xfId="8176"/>
    <cellStyle name="Normal 2 2 11 2 4 3 10 2" xfId="8177"/>
    <cellStyle name="Normal 2 2 11 2 4 3 11" xfId="8178"/>
    <cellStyle name="Normal 2 2 11 2 4 3 2" xfId="8179"/>
    <cellStyle name="Normal 2 2 11 2 4 3 2 2" xfId="8180"/>
    <cellStyle name="Normal 2 2 11 2 4 3 3" xfId="8181"/>
    <cellStyle name="Normal 2 2 11 2 4 3 3 2" xfId="8182"/>
    <cellStyle name="Normal 2 2 11 2 4 3 4" xfId="8183"/>
    <cellStyle name="Normal 2 2 11 2 4 3 4 2" xfId="8184"/>
    <cellStyle name="Normal 2 2 11 2 4 3 5" xfId="8185"/>
    <cellStyle name="Normal 2 2 11 2 4 3 5 2" xfId="8186"/>
    <cellStyle name="Normal 2 2 11 2 4 3 6" xfId="8187"/>
    <cellStyle name="Normal 2 2 11 2 4 3 6 2" xfId="8188"/>
    <cellStyle name="Normal 2 2 11 2 4 3 7" xfId="8189"/>
    <cellStyle name="Normal 2 2 11 2 4 3 7 2" xfId="8190"/>
    <cellStyle name="Normal 2 2 11 2 4 3 8" xfId="8191"/>
    <cellStyle name="Normal 2 2 11 2 4 3 8 2" xfId="8192"/>
    <cellStyle name="Normal 2 2 11 2 4 3 9" xfId="8193"/>
    <cellStyle name="Normal 2 2 11 2 4 3 9 2" xfId="8194"/>
    <cellStyle name="Normal 2 2 11 2 4 4" xfId="8195"/>
    <cellStyle name="Normal 2 2 11 2 4 4 2" xfId="8196"/>
    <cellStyle name="Normal 2 2 11 2 4 5" xfId="8197"/>
    <cellStyle name="Normal 2 2 11 2 4 5 2" xfId="8198"/>
    <cellStyle name="Normal 2 2 11 2 4 6" xfId="8199"/>
    <cellStyle name="Normal 2 2 11 2 4 6 2" xfId="8200"/>
    <cellStyle name="Normal 2 2 11 2 4 7" xfId="8201"/>
    <cellStyle name="Normal 2 2 11 2 4 7 2" xfId="8202"/>
    <cellStyle name="Normal 2 2 11 2 4 8" xfId="8203"/>
    <cellStyle name="Normal 2 2 11 2 4 8 2" xfId="8204"/>
    <cellStyle name="Normal 2 2 11 2 4 9" xfId="8205"/>
    <cellStyle name="Normal 2 2 11 2 4 9 2" xfId="8206"/>
    <cellStyle name="Normal 2 2 11 2 5" xfId="8207"/>
    <cellStyle name="Normal 2 2 11 2 5 10" xfId="8208"/>
    <cellStyle name="Normal 2 2 11 2 5 10 2" xfId="8209"/>
    <cellStyle name="Normal 2 2 11 2 5 11" xfId="8210"/>
    <cellStyle name="Normal 2 2 11 2 5 11 2" xfId="8211"/>
    <cellStyle name="Normal 2 2 11 2 5 12" xfId="8212"/>
    <cellStyle name="Normal 2 2 11 2 5 12 2" xfId="8213"/>
    <cellStyle name="Normal 2 2 11 2 5 13" xfId="8214"/>
    <cellStyle name="Normal 2 2 11 2 5 2" xfId="8215"/>
    <cellStyle name="Normal 2 2 11 2 5 2 10" xfId="8216"/>
    <cellStyle name="Normal 2 2 11 2 5 2 10 2" xfId="8217"/>
    <cellStyle name="Normal 2 2 11 2 5 2 11" xfId="8218"/>
    <cellStyle name="Normal 2 2 11 2 5 2 11 2" xfId="8219"/>
    <cellStyle name="Normal 2 2 11 2 5 2 12" xfId="8220"/>
    <cellStyle name="Normal 2 2 11 2 5 2 2" xfId="8221"/>
    <cellStyle name="Normal 2 2 11 2 5 2 2 10" xfId="8222"/>
    <cellStyle name="Normal 2 2 11 2 5 2 2 10 2" xfId="8223"/>
    <cellStyle name="Normal 2 2 11 2 5 2 2 11" xfId="8224"/>
    <cellStyle name="Normal 2 2 11 2 5 2 2 2" xfId="8225"/>
    <cellStyle name="Normal 2 2 11 2 5 2 2 2 2" xfId="8226"/>
    <cellStyle name="Normal 2 2 11 2 5 2 2 3" xfId="8227"/>
    <cellStyle name="Normal 2 2 11 2 5 2 2 3 2" xfId="8228"/>
    <cellStyle name="Normal 2 2 11 2 5 2 2 4" xfId="8229"/>
    <cellStyle name="Normal 2 2 11 2 5 2 2 4 2" xfId="8230"/>
    <cellStyle name="Normal 2 2 11 2 5 2 2 5" xfId="8231"/>
    <cellStyle name="Normal 2 2 11 2 5 2 2 5 2" xfId="8232"/>
    <cellStyle name="Normal 2 2 11 2 5 2 2 6" xfId="8233"/>
    <cellStyle name="Normal 2 2 11 2 5 2 2 6 2" xfId="8234"/>
    <cellStyle name="Normal 2 2 11 2 5 2 2 7" xfId="8235"/>
    <cellStyle name="Normal 2 2 11 2 5 2 2 7 2" xfId="8236"/>
    <cellStyle name="Normal 2 2 11 2 5 2 2 8" xfId="8237"/>
    <cellStyle name="Normal 2 2 11 2 5 2 2 8 2" xfId="8238"/>
    <cellStyle name="Normal 2 2 11 2 5 2 2 9" xfId="8239"/>
    <cellStyle name="Normal 2 2 11 2 5 2 2 9 2" xfId="8240"/>
    <cellStyle name="Normal 2 2 11 2 5 2 3" xfId="8241"/>
    <cellStyle name="Normal 2 2 11 2 5 2 3 2" xfId="8242"/>
    <cellStyle name="Normal 2 2 11 2 5 2 4" xfId="8243"/>
    <cellStyle name="Normal 2 2 11 2 5 2 4 2" xfId="8244"/>
    <cellStyle name="Normal 2 2 11 2 5 2 5" xfId="8245"/>
    <cellStyle name="Normal 2 2 11 2 5 2 5 2" xfId="8246"/>
    <cellStyle name="Normal 2 2 11 2 5 2 6" xfId="8247"/>
    <cellStyle name="Normal 2 2 11 2 5 2 6 2" xfId="8248"/>
    <cellStyle name="Normal 2 2 11 2 5 2 7" xfId="8249"/>
    <cellStyle name="Normal 2 2 11 2 5 2 7 2" xfId="8250"/>
    <cellStyle name="Normal 2 2 11 2 5 2 8" xfId="8251"/>
    <cellStyle name="Normal 2 2 11 2 5 2 8 2" xfId="8252"/>
    <cellStyle name="Normal 2 2 11 2 5 2 9" xfId="8253"/>
    <cellStyle name="Normal 2 2 11 2 5 2 9 2" xfId="8254"/>
    <cellStyle name="Normal 2 2 11 2 5 3" xfId="8255"/>
    <cellStyle name="Normal 2 2 11 2 5 3 10" xfId="8256"/>
    <cellStyle name="Normal 2 2 11 2 5 3 10 2" xfId="8257"/>
    <cellStyle name="Normal 2 2 11 2 5 3 11" xfId="8258"/>
    <cellStyle name="Normal 2 2 11 2 5 3 2" xfId="8259"/>
    <cellStyle name="Normal 2 2 11 2 5 3 2 2" xfId="8260"/>
    <cellStyle name="Normal 2 2 11 2 5 3 3" xfId="8261"/>
    <cellStyle name="Normal 2 2 11 2 5 3 3 2" xfId="8262"/>
    <cellStyle name="Normal 2 2 11 2 5 3 4" xfId="8263"/>
    <cellStyle name="Normal 2 2 11 2 5 3 4 2" xfId="8264"/>
    <cellStyle name="Normal 2 2 11 2 5 3 5" xfId="8265"/>
    <cellStyle name="Normal 2 2 11 2 5 3 5 2" xfId="8266"/>
    <cellStyle name="Normal 2 2 11 2 5 3 6" xfId="8267"/>
    <cellStyle name="Normal 2 2 11 2 5 3 6 2" xfId="8268"/>
    <cellStyle name="Normal 2 2 11 2 5 3 7" xfId="8269"/>
    <cellStyle name="Normal 2 2 11 2 5 3 7 2" xfId="8270"/>
    <cellStyle name="Normal 2 2 11 2 5 3 8" xfId="8271"/>
    <cellStyle name="Normal 2 2 11 2 5 3 8 2" xfId="8272"/>
    <cellStyle name="Normal 2 2 11 2 5 3 9" xfId="8273"/>
    <cellStyle name="Normal 2 2 11 2 5 3 9 2" xfId="8274"/>
    <cellStyle name="Normal 2 2 11 2 5 4" xfId="8275"/>
    <cellStyle name="Normal 2 2 11 2 5 4 2" xfId="8276"/>
    <cellStyle name="Normal 2 2 11 2 5 5" xfId="8277"/>
    <cellStyle name="Normal 2 2 11 2 5 5 2" xfId="8278"/>
    <cellStyle name="Normal 2 2 11 2 5 6" xfId="8279"/>
    <cellStyle name="Normal 2 2 11 2 5 6 2" xfId="8280"/>
    <cellStyle name="Normal 2 2 11 2 5 7" xfId="8281"/>
    <cellStyle name="Normal 2 2 11 2 5 7 2" xfId="8282"/>
    <cellStyle name="Normal 2 2 11 2 5 8" xfId="8283"/>
    <cellStyle name="Normal 2 2 11 2 5 8 2" xfId="8284"/>
    <cellStyle name="Normal 2 2 11 2 5 9" xfId="8285"/>
    <cellStyle name="Normal 2 2 11 2 5 9 2" xfId="8286"/>
    <cellStyle name="Normal 2 2 11 2 6" xfId="8287"/>
    <cellStyle name="Normal 2 2 11 3" xfId="8288"/>
    <cellStyle name="Normal 2 2 11 3 2" xfId="8289"/>
    <cellStyle name="Normal 2 2 11 4" xfId="8290"/>
    <cellStyle name="Normal 2 2 11 4 2" xfId="8291"/>
    <cellStyle name="Normal 2 2 11 5" xfId="8292"/>
    <cellStyle name="Normal 2 2 11 5 2" xfId="8293"/>
    <cellStyle name="Normal 2 2 11 6" xfId="8294"/>
    <cellStyle name="Normal 2 2 11 6 2" xfId="8295"/>
    <cellStyle name="Normal 2 2 11 7" xfId="8296"/>
    <cellStyle name="Normal 2 2 11 7 10" xfId="8297"/>
    <cellStyle name="Normal 2 2 11 7 10 2" xfId="8298"/>
    <cellStyle name="Normal 2 2 11 7 11" xfId="8299"/>
    <cellStyle name="Normal 2 2 11 7 11 2" xfId="8300"/>
    <cellStyle name="Normal 2 2 11 7 12" xfId="8301"/>
    <cellStyle name="Normal 2 2 11 7 2" xfId="8302"/>
    <cellStyle name="Normal 2 2 11 7 2 10" xfId="8303"/>
    <cellStyle name="Normal 2 2 11 7 2 10 2" xfId="8304"/>
    <cellStyle name="Normal 2 2 11 7 2 11" xfId="8305"/>
    <cellStyle name="Normal 2 2 11 7 2 2" xfId="8306"/>
    <cellStyle name="Normal 2 2 11 7 2 2 2" xfId="8307"/>
    <cellStyle name="Normal 2 2 11 7 2 3" xfId="8308"/>
    <cellStyle name="Normal 2 2 11 7 2 3 2" xfId="8309"/>
    <cellStyle name="Normal 2 2 11 7 2 4" xfId="8310"/>
    <cellStyle name="Normal 2 2 11 7 2 4 2" xfId="8311"/>
    <cellStyle name="Normal 2 2 11 7 2 5" xfId="8312"/>
    <cellStyle name="Normal 2 2 11 7 2 5 2" xfId="8313"/>
    <cellStyle name="Normal 2 2 11 7 2 6" xfId="8314"/>
    <cellStyle name="Normal 2 2 11 7 2 6 2" xfId="8315"/>
    <cellStyle name="Normal 2 2 11 7 2 7" xfId="8316"/>
    <cellStyle name="Normal 2 2 11 7 2 7 2" xfId="8317"/>
    <cellStyle name="Normal 2 2 11 7 2 8" xfId="8318"/>
    <cellStyle name="Normal 2 2 11 7 2 8 2" xfId="8319"/>
    <cellStyle name="Normal 2 2 11 7 2 9" xfId="8320"/>
    <cellStyle name="Normal 2 2 11 7 2 9 2" xfId="8321"/>
    <cellStyle name="Normal 2 2 11 7 3" xfId="8322"/>
    <cellStyle name="Normal 2 2 11 7 3 2" xfId="8323"/>
    <cellStyle name="Normal 2 2 11 7 4" xfId="8324"/>
    <cellStyle name="Normal 2 2 11 7 4 2" xfId="8325"/>
    <cellStyle name="Normal 2 2 11 7 5" xfId="8326"/>
    <cellStyle name="Normal 2 2 11 7 5 2" xfId="8327"/>
    <cellStyle name="Normal 2 2 11 7 6" xfId="8328"/>
    <cellStyle name="Normal 2 2 11 7 6 2" xfId="8329"/>
    <cellStyle name="Normal 2 2 11 7 7" xfId="8330"/>
    <cellStyle name="Normal 2 2 11 7 7 2" xfId="8331"/>
    <cellStyle name="Normal 2 2 11 7 8" xfId="8332"/>
    <cellStyle name="Normal 2 2 11 7 8 2" xfId="8333"/>
    <cellStyle name="Normal 2 2 11 7 9" xfId="8334"/>
    <cellStyle name="Normal 2 2 11 7 9 2" xfId="8335"/>
    <cellStyle name="Normal 2 2 11 8" xfId="8336"/>
    <cellStyle name="Normal 2 2 11 8 10" xfId="8337"/>
    <cellStyle name="Normal 2 2 11 8 10 2" xfId="8338"/>
    <cellStyle name="Normal 2 2 11 8 11" xfId="8339"/>
    <cellStyle name="Normal 2 2 11 8 2" xfId="8340"/>
    <cellStyle name="Normal 2 2 11 8 2 2" xfId="8341"/>
    <cellStyle name="Normal 2 2 11 8 3" xfId="8342"/>
    <cellStyle name="Normal 2 2 11 8 3 2" xfId="8343"/>
    <cellStyle name="Normal 2 2 11 8 4" xfId="8344"/>
    <cellStyle name="Normal 2 2 11 8 4 2" xfId="8345"/>
    <cellStyle name="Normal 2 2 11 8 5" xfId="8346"/>
    <cellStyle name="Normal 2 2 11 8 5 2" xfId="8347"/>
    <cellStyle name="Normal 2 2 11 8 6" xfId="8348"/>
    <cellStyle name="Normal 2 2 11 8 6 2" xfId="8349"/>
    <cellStyle name="Normal 2 2 11 8 7" xfId="8350"/>
    <cellStyle name="Normal 2 2 11 8 7 2" xfId="8351"/>
    <cellStyle name="Normal 2 2 11 8 8" xfId="8352"/>
    <cellStyle name="Normal 2 2 11 8 8 2" xfId="8353"/>
    <cellStyle name="Normal 2 2 11 8 9" xfId="8354"/>
    <cellStyle name="Normal 2 2 11 8 9 2" xfId="8355"/>
    <cellStyle name="Normal 2 2 11 9" xfId="8356"/>
    <cellStyle name="Normal 2 2 11 9 2" xfId="8357"/>
    <cellStyle name="Normal 2 2 12" xfId="8358"/>
    <cellStyle name="Normal 2 2 12 2" xfId="8359"/>
    <cellStyle name="Normal 2 2 13" xfId="8360"/>
    <cellStyle name="Normal 2 2 13 2" xfId="8361"/>
    <cellStyle name="Normal 2 2 14" xfId="8362"/>
    <cellStyle name="Normal 2 2 14 2" xfId="8363"/>
    <cellStyle name="Normal 2 2 15" xfId="8364"/>
    <cellStyle name="Normal 2 2 15 10" xfId="8365"/>
    <cellStyle name="Normal 2 2 15 10 2" xfId="8366"/>
    <cellStyle name="Normal 2 2 15 11" xfId="8367"/>
    <cellStyle name="Normal 2 2 15 11 2" xfId="8368"/>
    <cellStyle name="Normal 2 2 15 12" xfId="8369"/>
    <cellStyle name="Normal 2 2 15 12 2" xfId="8370"/>
    <cellStyle name="Normal 2 2 15 13" xfId="8371"/>
    <cellStyle name="Normal 2 2 15 13 2" xfId="8372"/>
    <cellStyle name="Normal 2 2 15 14" xfId="8373"/>
    <cellStyle name="Normal 2 2 15 14 2" xfId="8374"/>
    <cellStyle name="Normal 2 2 15 15" xfId="8375"/>
    <cellStyle name="Normal 2 2 15 15 2" xfId="8376"/>
    <cellStyle name="Normal 2 2 15 16" xfId="8377"/>
    <cellStyle name="Normal 2 2 15 16 2" xfId="8378"/>
    <cellStyle name="Normal 2 2 15 17" xfId="8379"/>
    <cellStyle name="Normal 2 2 15 2" xfId="8380"/>
    <cellStyle name="Normal 2 2 15 2 2" xfId="8381"/>
    <cellStyle name="Normal 2 2 15 3" xfId="8382"/>
    <cellStyle name="Normal 2 2 15 3 2" xfId="8383"/>
    <cellStyle name="Normal 2 2 15 4" xfId="8384"/>
    <cellStyle name="Normal 2 2 15 4 2" xfId="8385"/>
    <cellStyle name="Normal 2 2 15 5" xfId="8386"/>
    <cellStyle name="Normal 2 2 15 5 2" xfId="8387"/>
    <cellStyle name="Normal 2 2 15 6" xfId="8388"/>
    <cellStyle name="Normal 2 2 15 6 10" xfId="8389"/>
    <cellStyle name="Normal 2 2 15 6 10 2" xfId="8390"/>
    <cellStyle name="Normal 2 2 15 6 11" xfId="8391"/>
    <cellStyle name="Normal 2 2 15 6 11 2" xfId="8392"/>
    <cellStyle name="Normal 2 2 15 6 12" xfId="8393"/>
    <cellStyle name="Normal 2 2 15 6 2" xfId="8394"/>
    <cellStyle name="Normal 2 2 15 6 2 10" xfId="8395"/>
    <cellStyle name="Normal 2 2 15 6 2 10 2" xfId="8396"/>
    <cellStyle name="Normal 2 2 15 6 2 11" xfId="8397"/>
    <cellStyle name="Normal 2 2 15 6 2 2" xfId="8398"/>
    <cellStyle name="Normal 2 2 15 6 2 2 2" xfId="8399"/>
    <cellStyle name="Normal 2 2 15 6 2 3" xfId="8400"/>
    <cellStyle name="Normal 2 2 15 6 2 3 2" xfId="8401"/>
    <cellStyle name="Normal 2 2 15 6 2 4" xfId="8402"/>
    <cellStyle name="Normal 2 2 15 6 2 4 2" xfId="8403"/>
    <cellStyle name="Normal 2 2 15 6 2 5" xfId="8404"/>
    <cellStyle name="Normal 2 2 15 6 2 5 2" xfId="8405"/>
    <cellStyle name="Normal 2 2 15 6 2 6" xfId="8406"/>
    <cellStyle name="Normal 2 2 15 6 2 6 2" xfId="8407"/>
    <cellStyle name="Normal 2 2 15 6 2 7" xfId="8408"/>
    <cellStyle name="Normal 2 2 15 6 2 7 2" xfId="8409"/>
    <cellStyle name="Normal 2 2 15 6 2 8" xfId="8410"/>
    <cellStyle name="Normal 2 2 15 6 2 8 2" xfId="8411"/>
    <cellStyle name="Normal 2 2 15 6 2 9" xfId="8412"/>
    <cellStyle name="Normal 2 2 15 6 2 9 2" xfId="8413"/>
    <cellStyle name="Normal 2 2 15 6 3" xfId="8414"/>
    <cellStyle name="Normal 2 2 15 6 3 2" xfId="8415"/>
    <cellStyle name="Normal 2 2 15 6 4" xfId="8416"/>
    <cellStyle name="Normal 2 2 15 6 4 2" xfId="8417"/>
    <cellStyle name="Normal 2 2 15 6 5" xfId="8418"/>
    <cellStyle name="Normal 2 2 15 6 5 2" xfId="8419"/>
    <cellStyle name="Normal 2 2 15 6 6" xfId="8420"/>
    <cellStyle name="Normal 2 2 15 6 6 2" xfId="8421"/>
    <cellStyle name="Normal 2 2 15 6 7" xfId="8422"/>
    <cellStyle name="Normal 2 2 15 6 7 2" xfId="8423"/>
    <cellStyle name="Normal 2 2 15 6 8" xfId="8424"/>
    <cellStyle name="Normal 2 2 15 6 8 2" xfId="8425"/>
    <cellStyle name="Normal 2 2 15 6 9" xfId="8426"/>
    <cellStyle name="Normal 2 2 15 6 9 2" xfId="8427"/>
    <cellStyle name="Normal 2 2 15 7" xfId="8428"/>
    <cellStyle name="Normal 2 2 15 7 10" xfId="8429"/>
    <cellStyle name="Normal 2 2 15 7 10 2" xfId="8430"/>
    <cellStyle name="Normal 2 2 15 7 11" xfId="8431"/>
    <cellStyle name="Normal 2 2 15 7 2" xfId="8432"/>
    <cellStyle name="Normal 2 2 15 7 2 2" xfId="8433"/>
    <cellStyle name="Normal 2 2 15 7 3" xfId="8434"/>
    <cellStyle name="Normal 2 2 15 7 3 2" xfId="8435"/>
    <cellStyle name="Normal 2 2 15 7 4" xfId="8436"/>
    <cellStyle name="Normal 2 2 15 7 4 2" xfId="8437"/>
    <cellStyle name="Normal 2 2 15 7 5" xfId="8438"/>
    <cellStyle name="Normal 2 2 15 7 5 2" xfId="8439"/>
    <cellStyle name="Normal 2 2 15 7 6" xfId="8440"/>
    <cellStyle name="Normal 2 2 15 7 6 2" xfId="8441"/>
    <cellStyle name="Normal 2 2 15 7 7" xfId="8442"/>
    <cellStyle name="Normal 2 2 15 7 7 2" xfId="8443"/>
    <cellStyle name="Normal 2 2 15 7 8" xfId="8444"/>
    <cellStyle name="Normal 2 2 15 7 8 2" xfId="8445"/>
    <cellStyle name="Normal 2 2 15 7 9" xfId="8446"/>
    <cellStyle name="Normal 2 2 15 7 9 2" xfId="8447"/>
    <cellStyle name="Normal 2 2 15 8" xfId="8448"/>
    <cellStyle name="Normal 2 2 15 8 2" xfId="8449"/>
    <cellStyle name="Normal 2 2 15 9" xfId="8450"/>
    <cellStyle name="Normal 2 2 15 9 2" xfId="8451"/>
    <cellStyle name="Normal 2 2 16" xfId="8452"/>
    <cellStyle name="Normal 2 2 16 10" xfId="8453"/>
    <cellStyle name="Normal 2 2 16 10 2" xfId="8454"/>
    <cellStyle name="Normal 2 2 16 11" xfId="8455"/>
    <cellStyle name="Normal 2 2 16 11 2" xfId="8456"/>
    <cellStyle name="Normal 2 2 16 12" xfId="8457"/>
    <cellStyle name="Normal 2 2 16 12 2" xfId="8458"/>
    <cellStyle name="Normal 2 2 16 13" xfId="8459"/>
    <cellStyle name="Normal 2 2 16 2" xfId="8460"/>
    <cellStyle name="Normal 2 2 16 2 10" xfId="8461"/>
    <cellStyle name="Normal 2 2 16 2 10 2" xfId="8462"/>
    <cellStyle name="Normal 2 2 16 2 11" xfId="8463"/>
    <cellStyle name="Normal 2 2 16 2 11 2" xfId="8464"/>
    <cellStyle name="Normal 2 2 16 2 12" xfId="8465"/>
    <cellStyle name="Normal 2 2 16 2 2" xfId="8466"/>
    <cellStyle name="Normal 2 2 16 2 2 10" xfId="8467"/>
    <cellStyle name="Normal 2 2 16 2 2 10 2" xfId="8468"/>
    <cellStyle name="Normal 2 2 16 2 2 11" xfId="8469"/>
    <cellStyle name="Normal 2 2 16 2 2 2" xfId="8470"/>
    <cellStyle name="Normal 2 2 16 2 2 2 2" xfId="8471"/>
    <cellStyle name="Normal 2 2 16 2 2 3" xfId="8472"/>
    <cellStyle name="Normal 2 2 16 2 2 3 2" xfId="8473"/>
    <cellStyle name="Normal 2 2 16 2 2 4" xfId="8474"/>
    <cellStyle name="Normal 2 2 16 2 2 4 2" xfId="8475"/>
    <cellStyle name="Normal 2 2 16 2 2 5" xfId="8476"/>
    <cellStyle name="Normal 2 2 16 2 2 5 2" xfId="8477"/>
    <cellStyle name="Normal 2 2 16 2 2 6" xfId="8478"/>
    <cellStyle name="Normal 2 2 16 2 2 6 2" xfId="8479"/>
    <cellStyle name="Normal 2 2 16 2 2 7" xfId="8480"/>
    <cellStyle name="Normal 2 2 16 2 2 7 2" xfId="8481"/>
    <cellStyle name="Normal 2 2 16 2 2 8" xfId="8482"/>
    <cellStyle name="Normal 2 2 16 2 2 8 2" xfId="8483"/>
    <cellStyle name="Normal 2 2 16 2 2 9" xfId="8484"/>
    <cellStyle name="Normal 2 2 16 2 2 9 2" xfId="8485"/>
    <cellStyle name="Normal 2 2 16 2 3" xfId="8486"/>
    <cellStyle name="Normal 2 2 16 2 3 2" xfId="8487"/>
    <cellStyle name="Normal 2 2 16 2 4" xfId="8488"/>
    <cellStyle name="Normal 2 2 16 2 4 2" xfId="8489"/>
    <cellStyle name="Normal 2 2 16 2 5" xfId="8490"/>
    <cellStyle name="Normal 2 2 16 2 5 2" xfId="8491"/>
    <cellStyle name="Normal 2 2 16 2 6" xfId="8492"/>
    <cellStyle name="Normal 2 2 16 2 6 2" xfId="8493"/>
    <cellStyle name="Normal 2 2 16 2 7" xfId="8494"/>
    <cellStyle name="Normal 2 2 16 2 7 2" xfId="8495"/>
    <cellStyle name="Normal 2 2 16 2 8" xfId="8496"/>
    <cellStyle name="Normal 2 2 16 2 8 2" xfId="8497"/>
    <cellStyle name="Normal 2 2 16 2 9" xfId="8498"/>
    <cellStyle name="Normal 2 2 16 2 9 2" xfId="8499"/>
    <cellStyle name="Normal 2 2 16 3" xfId="8500"/>
    <cellStyle name="Normal 2 2 16 3 10" xfId="8501"/>
    <cellStyle name="Normal 2 2 16 3 10 2" xfId="8502"/>
    <cellStyle name="Normal 2 2 16 3 11" xfId="8503"/>
    <cellStyle name="Normal 2 2 16 3 2" xfId="8504"/>
    <cellStyle name="Normal 2 2 16 3 2 2" xfId="8505"/>
    <cellStyle name="Normal 2 2 16 3 3" xfId="8506"/>
    <cellStyle name="Normal 2 2 16 3 3 2" xfId="8507"/>
    <cellStyle name="Normal 2 2 16 3 4" xfId="8508"/>
    <cellStyle name="Normal 2 2 16 3 4 2" xfId="8509"/>
    <cellStyle name="Normal 2 2 16 3 5" xfId="8510"/>
    <cellStyle name="Normal 2 2 16 3 5 2" xfId="8511"/>
    <cellStyle name="Normal 2 2 16 3 6" xfId="8512"/>
    <cellStyle name="Normal 2 2 16 3 6 2" xfId="8513"/>
    <cellStyle name="Normal 2 2 16 3 7" xfId="8514"/>
    <cellStyle name="Normal 2 2 16 3 7 2" xfId="8515"/>
    <cellStyle name="Normal 2 2 16 3 8" xfId="8516"/>
    <cellStyle name="Normal 2 2 16 3 8 2" xfId="8517"/>
    <cellStyle name="Normal 2 2 16 3 9" xfId="8518"/>
    <cellStyle name="Normal 2 2 16 3 9 2" xfId="8519"/>
    <cellStyle name="Normal 2 2 16 4" xfId="8520"/>
    <cellStyle name="Normal 2 2 16 4 2" xfId="8521"/>
    <cellStyle name="Normal 2 2 16 5" xfId="8522"/>
    <cellStyle name="Normal 2 2 16 5 2" xfId="8523"/>
    <cellStyle name="Normal 2 2 16 6" xfId="8524"/>
    <cellStyle name="Normal 2 2 16 6 2" xfId="8525"/>
    <cellStyle name="Normal 2 2 16 7" xfId="8526"/>
    <cellStyle name="Normal 2 2 16 7 2" xfId="8527"/>
    <cellStyle name="Normal 2 2 16 8" xfId="8528"/>
    <cellStyle name="Normal 2 2 16 8 2" xfId="8529"/>
    <cellStyle name="Normal 2 2 16 9" xfId="8530"/>
    <cellStyle name="Normal 2 2 16 9 2" xfId="8531"/>
    <cellStyle name="Normal 2 2 17" xfId="8532"/>
    <cellStyle name="Normal 2 2 17 10" xfId="8533"/>
    <cellStyle name="Normal 2 2 17 10 2" xfId="8534"/>
    <cellStyle name="Normal 2 2 17 11" xfId="8535"/>
    <cellStyle name="Normal 2 2 17 11 2" xfId="8536"/>
    <cellStyle name="Normal 2 2 17 12" xfId="8537"/>
    <cellStyle name="Normal 2 2 17 12 2" xfId="8538"/>
    <cellStyle name="Normal 2 2 17 13" xfId="8539"/>
    <cellStyle name="Normal 2 2 17 2" xfId="8540"/>
    <cellStyle name="Normal 2 2 17 2 10" xfId="8541"/>
    <cellStyle name="Normal 2 2 17 2 10 2" xfId="8542"/>
    <cellStyle name="Normal 2 2 17 2 11" xfId="8543"/>
    <cellStyle name="Normal 2 2 17 2 11 2" xfId="8544"/>
    <cellStyle name="Normal 2 2 17 2 12" xfId="8545"/>
    <cellStyle name="Normal 2 2 17 2 2" xfId="8546"/>
    <cellStyle name="Normal 2 2 17 2 2 10" xfId="8547"/>
    <cellStyle name="Normal 2 2 17 2 2 10 2" xfId="8548"/>
    <cellStyle name="Normal 2 2 17 2 2 11" xfId="8549"/>
    <cellStyle name="Normal 2 2 17 2 2 2" xfId="8550"/>
    <cellStyle name="Normal 2 2 17 2 2 2 2" xfId="8551"/>
    <cellStyle name="Normal 2 2 17 2 2 3" xfId="8552"/>
    <cellStyle name="Normal 2 2 17 2 2 3 2" xfId="8553"/>
    <cellStyle name="Normal 2 2 17 2 2 4" xfId="8554"/>
    <cellStyle name="Normal 2 2 17 2 2 4 2" xfId="8555"/>
    <cellStyle name="Normal 2 2 17 2 2 5" xfId="8556"/>
    <cellStyle name="Normal 2 2 17 2 2 5 2" xfId="8557"/>
    <cellStyle name="Normal 2 2 17 2 2 6" xfId="8558"/>
    <cellStyle name="Normal 2 2 17 2 2 6 2" xfId="8559"/>
    <cellStyle name="Normal 2 2 17 2 2 7" xfId="8560"/>
    <cellStyle name="Normal 2 2 17 2 2 7 2" xfId="8561"/>
    <cellStyle name="Normal 2 2 17 2 2 8" xfId="8562"/>
    <cellStyle name="Normal 2 2 17 2 2 8 2" xfId="8563"/>
    <cellStyle name="Normal 2 2 17 2 2 9" xfId="8564"/>
    <cellStyle name="Normal 2 2 17 2 2 9 2" xfId="8565"/>
    <cellStyle name="Normal 2 2 17 2 3" xfId="8566"/>
    <cellStyle name="Normal 2 2 17 2 3 2" xfId="8567"/>
    <cellStyle name="Normal 2 2 17 2 4" xfId="8568"/>
    <cellStyle name="Normal 2 2 17 2 4 2" xfId="8569"/>
    <cellStyle name="Normal 2 2 17 2 5" xfId="8570"/>
    <cellStyle name="Normal 2 2 17 2 5 2" xfId="8571"/>
    <cellStyle name="Normal 2 2 17 2 6" xfId="8572"/>
    <cellStyle name="Normal 2 2 17 2 6 2" xfId="8573"/>
    <cellStyle name="Normal 2 2 17 2 7" xfId="8574"/>
    <cellStyle name="Normal 2 2 17 2 7 2" xfId="8575"/>
    <cellStyle name="Normal 2 2 17 2 8" xfId="8576"/>
    <cellStyle name="Normal 2 2 17 2 8 2" xfId="8577"/>
    <cellStyle name="Normal 2 2 17 2 9" xfId="8578"/>
    <cellStyle name="Normal 2 2 17 2 9 2" xfId="8579"/>
    <cellStyle name="Normal 2 2 17 3" xfId="8580"/>
    <cellStyle name="Normal 2 2 17 3 10" xfId="8581"/>
    <cellStyle name="Normal 2 2 17 3 10 2" xfId="8582"/>
    <cellStyle name="Normal 2 2 17 3 11" xfId="8583"/>
    <cellStyle name="Normal 2 2 17 3 2" xfId="8584"/>
    <cellStyle name="Normal 2 2 17 3 2 2" xfId="8585"/>
    <cellStyle name="Normal 2 2 17 3 3" xfId="8586"/>
    <cellStyle name="Normal 2 2 17 3 3 2" xfId="8587"/>
    <cellStyle name="Normal 2 2 17 3 4" xfId="8588"/>
    <cellStyle name="Normal 2 2 17 3 4 2" xfId="8589"/>
    <cellStyle name="Normal 2 2 17 3 5" xfId="8590"/>
    <cellStyle name="Normal 2 2 17 3 5 2" xfId="8591"/>
    <cellStyle name="Normal 2 2 17 3 6" xfId="8592"/>
    <cellStyle name="Normal 2 2 17 3 6 2" xfId="8593"/>
    <cellStyle name="Normal 2 2 17 3 7" xfId="8594"/>
    <cellStyle name="Normal 2 2 17 3 7 2" xfId="8595"/>
    <cellStyle name="Normal 2 2 17 3 8" xfId="8596"/>
    <cellStyle name="Normal 2 2 17 3 8 2" xfId="8597"/>
    <cellStyle name="Normal 2 2 17 3 9" xfId="8598"/>
    <cellStyle name="Normal 2 2 17 3 9 2" xfId="8599"/>
    <cellStyle name="Normal 2 2 17 4" xfId="8600"/>
    <cellStyle name="Normal 2 2 17 4 2" xfId="8601"/>
    <cellStyle name="Normal 2 2 17 5" xfId="8602"/>
    <cellStyle name="Normal 2 2 17 5 2" xfId="8603"/>
    <cellStyle name="Normal 2 2 17 6" xfId="8604"/>
    <cellStyle name="Normal 2 2 17 6 2" xfId="8605"/>
    <cellStyle name="Normal 2 2 17 7" xfId="8606"/>
    <cellStyle name="Normal 2 2 17 7 2" xfId="8607"/>
    <cellStyle name="Normal 2 2 17 8" xfId="8608"/>
    <cellStyle name="Normal 2 2 17 8 2" xfId="8609"/>
    <cellStyle name="Normal 2 2 17 9" xfId="8610"/>
    <cellStyle name="Normal 2 2 17 9 2" xfId="8611"/>
    <cellStyle name="Normal 2 2 18" xfId="8612"/>
    <cellStyle name="Normal 2 2 18 10" xfId="8613"/>
    <cellStyle name="Normal 2 2 18 10 2" xfId="8614"/>
    <cellStyle name="Normal 2 2 18 11" xfId="8615"/>
    <cellStyle name="Normal 2 2 18 11 2" xfId="8616"/>
    <cellStyle name="Normal 2 2 18 12" xfId="8617"/>
    <cellStyle name="Normal 2 2 18 12 2" xfId="8618"/>
    <cellStyle name="Normal 2 2 18 13" xfId="8619"/>
    <cellStyle name="Normal 2 2 18 2" xfId="8620"/>
    <cellStyle name="Normal 2 2 18 2 10" xfId="8621"/>
    <cellStyle name="Normal 2 2 18 2 10 2" xfId="8622"/>
    <cellStyle name="Normal 2 2 18 2 11" xfId="8623"/>
    <cellStyle name="Normal 2 2 18 2 11 2" xfId="8624"/>
    <cellStyle name="Normal 2 2 18 2 12" xfId="8625"/>
    <cellStyle name="Normal 2 2 18 2 2" xfId="8626"/>
    <cellStyle name="Normal 2 2 18 2 2 10" xfId="8627"/>
    <cellStyle name="Normal 2 2 18 2 2 10 2" xfId="8628"/>
    <cellStyle name="Normal 2 2 18 2 2 11" xfId="8629"/>
    <cellStyle name="Normal 2 2 18 2 2 2" xfId="8630"/>
    <cellStyle name="Normal 2 2 18 2 2 2 2" xfId="8631"/>
    <cellStyle name="Normal 2 2 18 2 2 3" xfId="8632"/>
    <cellStyle name="Normal 2 2 18 2 2 3 2" xfId="8633"/>
    <cellStyle name="Normal 2 2 18 2 2 4" xfId="8634"/>
    <cellStyle name="Normal 2 2 18 2 2 4 2" xfId="8635"/>
    <cellStyle name="Normal 2 2 18 2 2 5" xfId="8636"/>
    <cellStyle name="Normal 2 2 18 2 2 5 2" xfId="8637"/>
    <cellStyle name="Normal 2 2 18 2 2 6" xfId="8638"/>
    <cellStyle name="Normal 2 2 18 2 2 6 2" xfId="8639"/>
    <cellStyle name="Normal 2 2 18 2 2 7" xfId="8640"/>
    <cellStyle name="Normal 2 2 18 2 2 7 2" xfId="8641"/>
    <cellStyle name="Normal 2 2 18 2 2 8" xfId="8642"/>
    <cellStyle name="Normal 2 2 18 2 2 8 2" xfId="8643"/>
    <cellStyle name="Normal 2 2 18 2 2 9" xfId="8644"/>
    <cellStyle name="Normal 2 2 18 2 2 9 2" xfId="8645"/>
    <cellStyle name="Normal 2 2 18 2 3" xfId="8646"/>
    <cellStyle name="Normal 2 2 18 2 3 2" xfId="8647"/>
    <cellStyle name="Normal 2 2 18 2 4" xfId="8648"/>
    <cellStyle name="Normal 2 2 18 2 4 2" xfId="8649"/>
    <cellStyle name="Normal 2 2 18 2 5" xfId="8650"/>
    <cellStyle name="Normal 2 2 18 2 5 2" xfId="8651"/>
    <cellStyle name="Normal 2 2 18 2 6" xfId="8652"/>
    <cellStyle name="Normal 2 2 18 2 6 2" xfId="8653"/>
    <cellStyle name="Normal 2 2 18 2 7" xfId="8654"/>
    <cellStyle name="Normal 2 2 18 2 7 2" xfId="8655"/>
    <cellStyle name="Normal 2 2 18 2 8" xfId="8656"/>
    <cellStyle name="Normal 2 2 18 2 8 2" xfId="8657"/>
    <cellStyle name="Normal 2 2 18 2 9" xfId="8658"/>
    <cellStyle name="Normal 2 2 18 2 9 2" xfId="8659"/>
    <cellStyle name="Normal 2 2 18 3" xfId="8660"/>
    <cellStyle name="Normal 2 2 18 3 10" xfId="8661"/>
    <cellStyle name="Normal 2 2 18 3 10 2" xfId="8662"/>
    <cellStyle name="Normal 2 2 18 3 11" xfId="8663"/>
    <cellStyle name="Normal 2 2 18 3 2" xfId="8664"/>
    <cellStyle name="Normal 2 2 18 3 2 2" xfId="8665"/>
    <cellStyle name="Normal 2 2 18 3 3" xfId="8666"/>
    <cellStyle name="Normal 2 2 18 3 3 2" xfId="8667"/>
    <cellStyle name="Normal 2 2 18 3 4" xfId="8668"/>
    <cellStyle name="Normal 2 2 18 3 4 2" xfId="8669"/>
    <cellStyle name="Normal 2 2 18 3 5" xfId="8670"/>
    <cellStyle name="Normal 2 2 18 3 5 2" xfId="8671"/>
    <cellStyle name="Normal 2 2 18 3 6" xfId="8672"/>
    <cellStyle name="Normal 2 2 18 3 6 2" xfId="8673"/>
    <cellStyle name="Normal 2 2 18 3 7" xfId="8674"/>
    <cellStyle name="Normal 2 2 18 3 7 2" xfId="8675"/>
    <cellStyle name="Normal 2 2 18 3 8" xfId="8676"/>
    <cellStyle name="Normal 2 2 18 3 8 2" xfId="8677"/>
    <cellStyle name="Normal 2 2 18 3 9" xfId="8678"/>
    <cellStyle name="Normal 2 2 18 3 9 2" xfId="8679"/>
    <cellStyle name="Normal 2 2 18 4" xfId="8680"/>
    <cellStyle name="Normal 2 2 18 4 2" xfId="8681"/>
    <cellStyle name="Normal 2 2 18 5" xfId="8682"/>
    <cellStyle name="Normal 2 2 18 5 2" xfId="8683"/>
    <cellStyle name="Normal 2 2 18 6" xfId="8684"/>
    <cellStyle name="Normal 2 2 18 6 2" xfId="8685"/>
    <cellStyle name="Normal 2 2 18 7" xfId="8686"/>
    <cellStyle name="Normal 2 2 18 7 2" xfId="8687"/>
    <cellStyle name="Normal 2 2 18 8" xfId="8688"/>
    <cellStyle name="Normal 2 2 18 8 2" xfId="8689"/>
    <cellStyle name="Normal 2 2 18 9" xfId="8690"/>
    <cellStyle name="Normal 2 2 18 9 2" xfId="8691"/>
    <cellStyle name="Normal 2 2 19" xfId="8692"/>
    <cellStyle name="Normal 2 2 2" xfId="8693"/>
    <cellStyle name="Normal 2 2 2 10" xfId="8694"/>
    <cellStyle name="Normal 2 2 2 10 10" xfId="8695"/>
    <cellStyle name="Normal 2 2 2 10 10 2" xfId="8696"/>
    <cellStyle name="Normal 2 2 2 10 11" xfId="8697"/>
    <cellStyle name="Normal 2 2 2 10 11 2" xfId="8698"/>
    <cellStyle name="Normal 2 2 2 10 12" xfId="8699"/>
    <cellStyle name="Normal 2 2 2 10 12 2" xfId="8700"/>
    <cellStyle name="Normal 2 2 2 10 13" xfId="8701"/>
    <cellStyle name="Normal 2 2 2 10 2" xfId="8702"/>
    <cellStyle name="Normal 2 2 2 10 2 10" xfId="8703"/>
    <cellStyle name="Normal 2 2 2 10 2 10 2" xfId="8704"/>
    <cellStyle name="Normal 2 2 2 10 2 11" xfId="8705"/>
    <cellStyle name="Normal 2 2 2 10 2 11 2" xfId="8706"/>
    <cellStyle name="Normal 2 2 2 10 2 12" xfId="8707"/>
    <cellStyle name="Normal 2 2 2 10 2 2" xfId="8708"/>
    <cellStyle name="Normal 2 2 2 10 2 2 10" xfId="8709"/>
    <cellStyle name="Normal 2 2 2 10 2 2 10 2" xfId="8710"/>
    <cellStyle name="Normal 2 2 2 10 2 2 11" xfId="8711"/>
    <cellStyle name="Normal 2 2 2 10 2 2 2" xfId="8712"/>
    <cellStyle name="Normal 2 2 2 10 2 2 2 2" xfId="8713"/>
    <cellStyle name="Normal 2 2 2 10 2 2 3" xfId="8714"/>
    <cellStyle name="Normal 2 2 2 10 2 2 3 2" xfId="8715"/>
    <cellStyle name="Normal 2 2 2 10 2 2 4" xfId="8716"/>
    <cellStyle name="Normal 2 2 2 10 2 2 4 2" xfId="8717"/>
    <cellStyle name="Normal 2 2 2 10 2 2 5" xfId="8718"/>
    <cellStyle name="Normal 2 2 2 10 2 2 5 2" xfId="8719"/>
    <cellStyle name="Normal 2 2 2 10 2 2 6" xfId="8720"/>
    <cellStyle name="Normal 2 2 2 10 2 2 6 2" xfId="8721"/>
    <cellStyle name="Normal 2 2 2 10 2 2 7" xfId="8722"/>
    <cellStyle name="Normal 2 2 2 10 2 2 7 2" xfId="8723"/>
    <cellStyle name="Normal 2 2 2 10 2 2 8" xfId="8724"/>
    <cellStyle name="Normal 2 2 2 10 2 2 8 2" xfId="8725"/>
    <cellStyle name="Normal 2 2 2 10 2 2 9" xfId="8726"/>
    <cellStyle name="Normal 2 2 2 10 2 2 9 2" xfId="8727"/>
    <cellStyle name="Normal 2 2 2 10 2 3" xfId="8728"/>
    <cellStyle name="Normal 2 2 2 10 2 3 2" xfId="8729"/>
    <cellStyle name="Normal 2 2 2 10 2 4" xfId="8730"/>
    <cellStyle name="Normal 2 2 2 10 2 4 2" xfId="8731"/>
    <cellStyle name="Normal 2 2 2 10 2 5" xfId="8732"/>
    <cellStyle name="Normal 2 2 2 10 2 5 2" xfId="8733"/>
    <cellStyle name="Normal 2 2 2 10 2 6" xfId="8734"/>
    <cellStyle name="Normal 2 2 2 10 2 6 2" xfId="8735"/>
    <cellStyle name="Normal 2 2 2 10 2 7" xfId="8736"/>
    <cellStyle name="Normal 2 2 2 10 2 7 2" xfId="8737"/>
    <cellStyle name="Normal 2 2 2 10 2 8" xfId="8738"/>
    <cellStyle name="Normal 2 2 2 10 2 8 2" xfId="8739"/>
    <cellStyle name="Normal 2 2 2 10 2 9" xfId="8740"/>
    <cellStyle name="Normal 2 2 2 10 2 9 2" xfId="8741"/>
    <cellStyle name="Normal 2 2 2 10 3" xfId="8742"/>
    <cellStyle name="Normal 2 2 2 10 3 10" xfId="8743"/>
    <cellStyle name="Normal 2 2 2 10 3 10 2" xfId="8744"/>
    <cellStyle name="Normal 2 2 2 10 3 11" xfId="8745"/>
    <cellStyle name="Normal 2 2 2 10 3 2" xfId="8746"/>
    <cellStyle name="Normal 2 2 2 10 3 2 2" xfId="8747"/>
    <cellStyle name="Normal 2 2 2 10 3 3" xfId="8748"/>
    <cellStyle name="Normal 2 2 2 10 3 3 2" xfId="8749"/>
    <cellStyle name="Normal 2 2 2 10 3 4" xfId="8750"/>
    <cellStyle name="Normal 2 2 2 10 3 4 2" xfId="8751"/>
    <cellStyle name="Normal 2 2 2 10 3 5" xfId="8752"/>
    <cellStyle name="Normal 2 2 2 10 3 5 2" xfId="8753"/>
    <cellStyle name="Normal 2 2 2 10 3 6" xfId="8754"/>
    <cellStyle name="Normal 2 2 2 10 3 6 2" xfId="8755"/>
    <cellStyle name="Normal 2 2 2 10 3 7" xfId="8756"/>
    <cellStyle name="Normal 2 2 2 10 3 7 2" xfId="8757"/>
    <cellStyle name="Normal 2 2 2 10 3 8" xfId="8758"/>
    <cellStyle name="Normal 2 2 2 10 3 8 2" xfId="8759"/>
    <cellStyle name="Normal 2 2 2 10 3 9" xfId="8760"/>
    <cellStyle name="Normal 2 2 2 10 3 9 2" xfId="8761"/>
    <cellStyle name="Normal 2 2 2 10 4" xfId="8762"/>
    <cellStyle name="Normal 2 2 2 10 4 2" xfId="8763"/>
    <cellStyle name="Normal 2 2 2 10 5" xfId="8764"/>
    <cellStyle name="Normal 2 2 2 10 5 2" xfId="8765"/>
    <cellStyle name="Normal 2 2 2 10 6" xfId="8766"/>
    <cellStyle name="Normal 2 2 2 10 6 2" xfId="8767"/>
    <cellStyle name="Normal 2 2 2 10 7" xfId="8768"/>
    <cellStyle name="Normal 2 2 2 10 7 2" xfId="8769"/>
    <cellStyle name="Normal 2 2 2 10 8" xfId="8770"/>
    <cellStyle name="Normal 2 2 2 10 8 2" xfId="8771"/>
    <cellStyle name="Normal 2 2 2 10 9" xfId="8772"/>
    <cellStyle name="Normal 2 2 2 10 9 2" xfId="8773"/>
    <cellStyle name="Normal 2 2 2 11" xfId="8774"/>
    <cellStyle name="Normal 2 2 2 11 10" xfId="8775"/>
    <cellStyle name="Normal 2 2 2 11 10 2" xfId="8776"/>
    <cellStyle name="Normal 2 2 2 11 11" xfId="8777"/>
    <cellStyle name="Normal 2 2 2 11 11 2" xfId="8778"/>
    <cellStyle name="Normal 2 2 2 11 12" xfId="8779"/>
    <cellStyle name="Normal 2 2 2 11 12 2" xfId="8780"/>
    <cellStyle name="Normal 2 2 2 11 13" xfId="8781"/>
    <cellStyle name="Normal 2 2 2 11 2" xfId="8782"/>
    <cellStyle name="Normal 2 2 2 11 2 10" xfId="8783"/>
    <cellStyle name="Normal 2 2 2 11 2 10 2" xfId="8784"/>
    <cellStyle name="Normal 2 2 2 11 2 11" xfId="8785"/>
    <cellStyle name="Normal 2 2 2 11 2 11 2" xfId="8786"/>
    <cellStyle name="Normal 2 2 2 11 2 12" xfId="8787"/>
    <cellStyle name="Normal 2 2 2 11 2 2" xfId="8788"/>
    <cellStyle name="Normal 2 2 2 11 2 2 10" xfId="8789"/>
    <cellStyle name="Normal 2 2 2 11 2 2 10 2" xfId="8790"/>
    <cellStyle name="Normal 2 2 2 11 2 2 11" xfId="8791"/>
    <cellStyle name="Normal 2 2 2 11 2 2 2" xfId="8792"/>
    <cellStyle name="Normal 2 2 2 11 2 2 2 2" xfId="8793"/>
    <cellStyle name="Normal 2 2 2 11 2 2 3" xfId="8794"/>
    <cellStyle name="Normal 2 2 2 11 2 2 3 2" xfId="8795"/>
    <cellStyle name="Normal 2 2 2 11 2 2 4" xfId="8796"/>
    <cellStyle name="Normal 2 2 2 11 2 2 4 2" xfId="8797"/>
    <cellStyle name="Normal 2 2 2 11 2 2 5" xfId="8798"/>
    <cellStyle name="Normal 2 2 2 11 2 2 5 2" xfId="8799"/>
    <cellStyle name="Normal 2 2 2 11 2 2 6" xfId="8800"/>
    <cellStyle name="Normal 2 2 2 11 2 2 6 2" xfId="8801"/>
    <cellStyle name="Normal 2 2 2 11 2 2 7" xfId="8802"/>
    <cellStyle name="Normal 2 2 2 11 2 2 7 2" xfId="8803"/>
    <cellStyle name="Normal 2 2 2 11 2 2 8" xfId="8804"/>
    <cellStyle name="Normal 2 2 2 11 2 2 8 2" xfId="8805"/>
    <cellStyle name="Normal 2 2 2 11 2 2 9" xfId="8806"/>
    <cellStyle name="Normal 2 2 2 11 2 2 9 2" xfId="8807"/>
    <cellStyle name="Normal 2 2 2 11 2 3" xfId="8808"/>
    <cellStyle name="Normal 2 2 2 11 2 3 2" xfId="8809"/>
    <cellStyle name="Normal 2 2 2 11 2 4" xfId="8810"/>
    <cellStyle name="Normal 2 2 2 11 2 4 2" xfId="8811"/>
    <cellStyle name="Normal 2 2 2 11 2 5" xfId="8812"/>
    <cellStyle name="Normal 2 2 2 11 2 5 2" xfId="8813"/>
    <cellStyle name="Normal 2 2 2 11 2 6" xfId="8814"/>
    <cellStyle name="Normal 2 2 2 11 2 6 2" xfId="8815"/>
    <cellStyle name="Normal 2 2 2 11 2 7" xfId="8816"/>
    <cellStyle name="Normal 2 2 2 11 2 7 2" xfId="8817"/>
    <cellStyle name="Normal 2 2 2 11 2 8" xfId="8818"/>
    <cellStyle name="Normal 2 2 2 11 2 8 2" xfId="8819"/>
    <cellStyle name="Normal 2 2 2 11 2 9" xfId="8820"/>
    <cellStyle name="Normal 2 2 2 11 2 9 2" xfId="8821"/>
    <cellStyle name="Normal 2 2 2 11 3" xfId="8822"/>
    <cellStyle name="Normal 2 2 2 11 3 10" xfId="8823"/>
    <cellStyle name="Normal 2 2 2 11 3 10 2" xfId="8824"/>
    <cellStyle name="Normal 2 2 2 11 3 11" xfId="8825"/>
    <cellStyle name="Normal 2 2 2 11 3 2" xfId="8826"/>
    <cellStyle name="Normal 2 2 2 11 3 2 2" xfId="8827"/>
    <cellStyle name="Normal 2 2 2 11 3 3" xfId="8828"/>
    <cellStyle name="Normal 2 2 2 11 3 3 2" xfId="8829"/>
    <cellStyle name="Normal 2 2 2 11 3 4" xfId="8830"/>
    <cellStyle name="Normal 2 2 2 11 3 4 2" xfId="8831"/>
    <cellStyle name="Normal 2 2 2 11 3 5" xfId="8832"/>
    <cellStyle name="Normal 2 2 2 11 3 5 2" xfId="8833"/>
    <cellStyle name="Normal 2 2 2 11 3 6" xfId="8834"/>
    <cellStyle name="Normal 2 2 2 11 3 6 2" xfId="8835"/>
    <cellStyle name="Normal 2 2 2 11 3 7" xfId="8836"/>
    <cellStyle name="Normal 2 2 2 11 3 7 2" xfId="8837"/>
    <cellStyle name="Normal 2 2 2 11 3 8" xfId="8838"/>
    <cellStyle name="Normal 2 2 2 11 3 8 2" xfId="8839"/>
    <cellStyle name="Normal 2 2 2 11 3 9" xfId="8840"/>
    <cellStyle name="Normal 2 2 2 11 3 9 2" xfId="8841"/>
    <cellStyle name="Normal 2 2 2 11 4" xfId="8842"/>
    <cellStyle name="Normal 2 2 2 11 4 2" xfId="8843"/>
    <cellStyle name="Normal 2 2 2 11 5" xfId="8844"/>
    <cellStyle name="Normal 2 2 2 11 5 2" xfId="8845"/>
    <cellStyle name="Normal 2 2 2 11 6" xfId="8846"/>
    <cellStyle name="Normal 2 2 2 11 6 2" xfId="8847"/>
    <cellStyle name="Normal 2 2 2 11 7" xfId="8848"/>
    <cellStyle name="Normal 2 2 2 11 7 2" xfId="8849"/>
    <cellStyle name="Normal 2 2 2 11 8" xfId="8850"/>
    <cellStyle name="Normal 2 2 2 11 8 2" xfId="8851"/>
    <cellStyle name="Normal 2 2 2 11 9" xfId="8852"/>
    <cellStyle name="Normal 2 2 2 11 9 2" xfId="8853"/>
    <cellStyle name="Normal 2 2 2 12" xfId="8854"/>
    <cellStyle name="Normal 2 2 2 12 10" xfId="8855"/>
    <cellStyle name="Normal 2 2 2 12 10 2" xfId="8856"/>
    <cellStyle name="Normal 2 2 2 12 11" xfId="8857"/>
    <cellStyle name="Normal 2 2 2 12 11 2" xfId="8858"/>
    <cellStyle name="Normal 2 2 2 12 12" xfId="8859"/>
    <cellStyle name="Normal 2 2 2 12 12 2" xfId="8860"/>
    <cellStyle name="Normal 2 2 2 12 13" xfId="8861"/>
    <cellStyle name="Normal 2 2 2 12 2" xfId="8862"/>
    <cellStyle name="Normal 2 2 2 12 2 10" xfId="8863"/>
    <cellStyle name="Normal 2 2 2 12 2 10 2" xfId="8864"/>
    <cellStyle name="Normal 2 2 2 12 2 11" xfId="8865"/>
    <cellStyle name="Normal 2 2 2 12 2 11 2" xfId="8866"/>
    <cellStyle name="Normal 2 2 2 12 2 12" xfId="8867"/>
    <cellStyle name="Normal 2 2 2 12 2 2" xfId="8868"/>
    <cellStyle name="Normal 2 2 2 12 2 2 10" xfId="8869"/>
    <cellStyle name="Normal 2 2 2 12 2 2 10 2" xfId="8870"/>
    <cellStyle name="Normal 2 2 2 12 2 2 11" xfId="8871"/>
    <cellStyle name="Normal 2 2 2 12 2 2 2" xfId="8872"/>
    <cellStyle name="Normal 2 2 2 12 2 2 2 2" xfId="8873"/>
    <cellStyle name="Normal 2 2 2 12 2 2 3" xfId="8874"/>
    <cellStyle name="Normal 2 2 2 12 2 2 3 2" xfId="8875"/>
    <cellStyle name="Normal 2 2 2 12 2 2 4" xfId="8876"/>
    <cellStyle name="Normal 2 2 2 12 2 2 4 2" xfId="8877"/>
    <cellStyle name="Normal 2 2 2 12 2 2 5" xfId="8878"/>
    <cellStyle name="Normal 2 2 2 12 2 2 5 2" xfId="8879"/>
    <cellStyle name="Normal 2 2 2 12 2 2 6" xfId="8880"/>
    <cellStyle name="Normal 2 2 2 12 2 2 6 2" xfId="8881"/>
    <cellStyle name="Normal 2 2 2 12 2 2 7" xfId="8882"/>
    <cellStyle name="Normal 2 2 2 12 2 2 7 2" xfId="8883"/>
    <cellStyle name="Normal 2 2 2 12 2 2 8" xfId="8884"/>
    <cellStyle name="Normal 2 2 2 12 2 2 8 2" xfId="8885"/>
    <cellStyle name="Normal 2 2 2 12 2 2 9" xfId="8886"/>
    <cellStyle name="Normal 2 2 2 12 2 2 9 2" xfId="8887"/>
    <cellStyle name="Normal 2 2 2 12 2 3" xfId="8888"/>
    <cellStyle name="Normal 2 2 2 12 2 3 2" xfId="8889"/>
    <cellStyle name="Normal 2 2 2 12 2 4" xfId="8890"/>
    <cellStyle name="Normal 2 2 2 12 2 4 2" xfId="8891"/>
    <cellStyle name="Normal 2 2 2 12 2 5" xfId="8892"/>
    <cellStyle name="Normal 2 2 2 12 2 5 2" xfId="8893"/>
    <cellStyle name="Normal 2 2 2 12 2 6" xfId="8894"/>
    <cellStyle name="Normal 2 2 2 12 2 6 2" xfId="8895"/>
    <cellStyle name="Normal 2 2 2 12 2 7" xfId="8896"/>
    <cellStyle name="Normal 2 2 2 12 2 7 2" xfId="8897"/>
    <cellStyle name="Normal 2 2 2 12 2 8" xfId="8898"/>
    <cellStyle name="Normal 2 2 2 12 2 8 2" xfId="8899"/>
    <cellStyle name="Normal 2 2 2 12 2 9" xfId="8900"/>
    <cellStyle name="Normal 2 2 2 12 2 9 2" xfId="8901"/>
    <cellStyle name="Normal 2 2 2 12 3" xfId="8902"/>
    <cellStyle name="Normal 2 2 2 12 3 10" xfId="8903"/>
    <cellStyle name="Normal 2 2 2 12 3 10 2" xfId="8904"/>
    <cellStyle name="Normal 2 2 2 12 3 11" xfId="8905"/>
    <cellStyle name="Normal 2 2 2 12 3 2" xfId="8906"/>
    <cellStyle name="Normal 2 2 2 12 3 2 2" xfId="8907"/>
    <cellStyle name="Normal 2 2 2 12 3 3" xfId="8908"/>
    <cellStyle name="Normal 2 2 2 12 3 3 2" xfId="8909"/>
    <cellStyle name="Normal 2 2 2 12 3 4" xfId="8910"/>
    <cellStyle name="Normal 2 2 2 12 3 4 2" xfId="8911"/>
    <cellStyle name="Normal 2 2 2 12 3 5" xfId="8912"/>
    <cellStyle name="Normal 2 2 2 12 3 5 2" xfId="8913"/>
    <cellStyle name="Normal 2 2 2 12 3 6" xfId="8914"/>
    <cellStyle name="Normal 2 2 2 12 3 6 2" xfId="8915"/>
    <cellStyle name="Normal 2 2 2 12 3 7" xfId="8916"/>
    <cellStyle name="Normal 2 2 2 12 3 7 2" xfId="8917"/>
    <cellStyle name="Normal 2 2 2 12 3 8" xfId="8918"/>
    <cellStyle name="Normal 2 2 2 12 3 8 2" xfId="8919"/>
    <cellStyle name="Normal 2 2 2 12 3 9" xfId="8920"/>
    <cellStyle name="Normal 2 2 2 12 3 9 2" xfId="8921"/>
    <cellStyle name="Normal 2 2 2 12 4" xfId="8922"/>
    <cellStyle name="Normal 2 2 2 12 4 2" xfId="8923"/>
    <cellStyle name="Normal 2 2 2 12 5" xfId="8924"/>
    <cellStyle name="Normal 2 2 2 12 5 2" xfId="8925"/>
    <cellStyle name="Normal 2 2 2 12 6" xfId="8926"/>
    <cellStyle name="Normal 2 2 2 12 6 2" xfId="8927"/>
    <cellStyle name="Normal 2 2 2 12 7" xfId="8928"/>
    <cellStyle name="Normal 2 2 2 12 7 2" xfId="8929"/>
    <cellStyle name="Normal 2 2 2 12 8" xfId="8930"/>
    <cellStyle name="Normal 2 2 2 12 8 2" xfId="8931"/>
    <cellStyle name="Normal 2 2 2 12 9" xfId="8932"/>
    <cellStyle name="Normal 2 2 2 12 9 2" xfId="8933"/>
    <cellStyle name="Normal 2 2 2 13" xfId="8934"/>
    <cellStyle name="Normal 2 2 2 13 2" xfId="8935"/>
    <cellStyle name="Normal 2 2 2 13 2 10" xfId="8936"/>
    <cellStyle name="Normal 2 2 2 13 2 10 2" xfId="8937"/>
    <cellStyle name="Normal 2 2 2 13 2 11" xfId="8938"/>
    <cellStyle name="Normal 2 2 2 13 2 11 2" xfId="8939"/>
    <cellStyle name="Normal 2 2 2 13 2 12" xfId="8940"/>
    <cellStyle name="Normal 2 2 2 13 2 12 2" xfId="8941"/>
    <cellStyle name="Normal 2 2 2 13 2 13" xfId="8942"/>
    <cellStyle name="Normal 2 2 2 13 2 2" xfId="8943"/>
    <cellStyle name="Normal 2 2 2 13 2 2 10" xfId="8944"/>
    <cellStyle name="Normal 2 2 2 13 2 2 10 2" xfId="8945"/>
    <cellStyle name="Normal 2 2 2 13 2 2 11" xfId="8946"/>
    <cellStyle name="Normal 2 2 2 13 2 2 11 2" xfId="8947"/>
    <cellStyle name="Normal 2 2 2 13 2 2 12" xfId="8948"/>
    <cellStyle name="Normal 2 2 2 13 2 2 2" xfId="8949"/>
    <cellStyle name="Normal 2 2 2 13 2 2 2 10" xfId="8950"/>
    <cellStyle name="Normal 2 2 2 13 2 2 2 10 2" xfId="8951"/>
    <cellStyle name="Normal 2 2 2 13 2 2 2 11" xfId="8952"/>
    <cellStyle name="Normal 2 2 2 13 2 2 2 2" xfId="8953"/>
    <cellStyle name="Normal 2 2 2 13 2 2 2 2 2" xfId="8954"/>
    <cellStyle name="Normal 2 2 2 13 2 2 2 3" xfId="8955"/>
    <cellStyle name="Normal 2 2 2 13 2 2 2 3 2" xfId="8956"/>
    <cellStyle name="Normal 2 2 2 13 2 2 2 4" xfId="8957"/>
    <cellStyle name="Normal 2 2 2 13 2 2 2 4 2" xfId="8958"/>
    <cellStyle name="Normal 2 2 2 13 2 2 2 5" xfId="8959"/>
    <cellStyle name="Normal 2 2 2 13 2 2 2 5 2" xfId="8960"/>
    <cellStyle name="Normal 2 2 2 13 2 2 2 6" xfId="8961"/>
    <cellStyle name="Normal 2 2 2 13 2 2 2 6 2" xfId="8962"/>
    <cellStyle name="Normal 2 2 2 13 2 2 2 7" xfId="8963"/>
    <cellStyle name="Normal 2 2 2 13 2 2 2 7 2" xfId="8964"/>
    <cellStyle name="Normal 2 2 2 13 2 2 2 8" xfId="8965"/>
    <cellStyle name="Normal 2 2 2 13 2 2 2 8 2" xfId="8966"/>
    <cellStyle name="Normal 2 2 2 13 2 2 2 9" xfId="8967"/>
    <cellStyle name="Normal 2 2 2 13 2 2 2 9 2" xfId="8968"/>
    <cellStyle name="Normal 2 2 2 13 2 2 3" xfId="8969"/>
    <cellStyle name="Normal 2 2 2 13 2 2 3 2" xfId="8970"/>
    <cellStyle name="Normal 2 2 2 13 2 2 4" xfId="8971"/>
    <cellStyle name="Normal 2 2 2 13 2 2 4 2" xfId="8972"/>
    <cellStyle name="Normal 2 2 2 13 2 2 5" xfId="8973"/>
    <cellStyle name="Normal 2 2 2 13 2 2 5 2" xfId="8974"/>
    <cellStyle name="Normal 2 2 2 13 2 2 6" xfId="8975"/>
    <cellStyle name="Normal 2 2 2 13 2 2 6 2" xfId="8976"/>
    <cellStyle name="Normal 2 2 2 13 2 2 7" xfId="8977"/>
    <cellStyle name="Normal 2 2 2 13 2 2 7 2" xfId="8978"/>
    <cellStyle name="Normal 2 2 2 13 2 2 8" xfId="8979"/>
    <cellStyle name="Normal 2 2 2 13 2 2 8 2" xfId="8980"/>
    <cellStyle name="Normal 2 2 2 13 2 2 9" xfId="8981"/>
    <cellStyle name="Normal 2 2 2 13 2 2 9 2" xfId="8982"/>
    <cellStyle name="Normal 2 2 2 13 2 3" xfId="8983"/>
    <cellStyle name="Normal 2 2 2 13 2 3 10" xfId="8984"/>
    <cellStyle name="Normal 2 2 2 13 2 3 10 2" xfId="8985"/>
    <cellStyle name="Normal 2 2 2 13 2 3 11" xfId="8986"/>
    <cellStyle name="Normal 2 2 2 13 2 3 2" xfId="8987"/>
    <cellStyle name="Normal 2 2 2 13 2 3 2 2" xfId="8988"/>
    <cellStyle name="Normal 2 2 2 13 2 3 3" xfId="8989"/>
    <cellStyle name="Normal 2 2 2 13 2 3 3 2" xfId="8990"/>
    <cellStyle name="Normal 2 2 2 13 2 3 4" xfId="8991"/>
    <cellStyle name="Normal 2 2 2 13 2 3 4 2" xfId="8992"/>
    <cellStyle name="Normal 2 2 2 13 2 3 5" xfId="8993"/>
    <cellStyle name="Normal 2 2 2 13 2 3 5 2" xfId="8994"/>
    <cellStyle name="Normal 2 2 2 13 2 3 6" xfId="8995"/>
    <cellStyle name="Normal 2 2 2 13 2 3 6 2" xfId="8996"/>
    <cellStyle name="Normal 2 2 2 13 2 3 7" xfId="8997"/>
    <cellStyle name="Normal 2 2 2 13 2 3 7 2" xfId="8998"/>
    <cellStyle name="Normal 2 2 2 13 2 3 8" xfId="8999"/>
    <cellStyle name="Normal 2 2 2 13 2 3 8 2" xfId="9000"/>
    <cellStyle name="Normal 2 2 2 13 2 3 9" xfId="9001"/>
    <cellStyle name="Normal 2 2 2 13 2 3 9 2" xfId="9002"/>
    <cellStyle name="Normal 2 2 2 13 2 4" xfId="9003"/>
    <cellStyle name="Normal 2 2 2 13 2 4 2" xfId="9004"/>
    <cellStyle name="Normal 2 2 2 13 2 5" xfId="9005"/>
    <cellStyle name="Normal 2 2 2 13 2 5 2" xfId="9006"/>
    <cellStyle name="Normal 2 2 2 13 2 6" xfId="9007"/>
    <cellStyle name="Normal 2 2 2 13 2 6 2" xfId="9008"/>
    <cellStyle name="Normal 2 2 2 13 2 7" xfId="9009"/>
    <cellStyle name="Normal 2 2 2 13 2 7 2" xfId="9010"/>
    <cellStyle name="Normal 2 2 2 13 2 8" xfId="9011"/>
    <cellStyle name="Normal 2 2 2 13 2 8 2" xfId="9012"/>
    <cellStyle name="Normal 2 2 2 13 2 9" xfId="9013"/>
    <cellStyle name="Normal 2 2 2 13 2 9 2" xfId="9014"/>
    <cellStyle name="Normal 2 2 2 13 3" xfId="9015"/>
    <cellStyle name="Normal 2 2 2 13 3 10" xfId="9016"/>
    <cellStyle name="Normal 2 2 2 13 3 10 2" xfId="9017"/>
    <cellStyle name="Normal 2 2 2 13 3 11" xfId="9018"/>
    <cellStyle name="Normal 2 2 2 13 3 11 2" xfId="9019"/>
    <cellStyle name="Normal 2 2 2 13 3 12" xfId="9020"/>
    <cellStyle name="Normal 2 2 2 13 3 12 2" xfId="9021"/>
    <cellStyle name="Normal 2 2 2 13 3 13" xfId="9022"/>
    <cellStyle name="Normal 2 2 2 13 3 2" xfId="9023"/>
    <cellStyle name="Normal 2 2 2 13 3 2 10" xfId="9024"/>
    <cellStyle name="Normal 2 2 2 13 3 2 10 2" xfId="9025"/>
    <cellStyle name="Normal 2 2 2 13 3 2 11" xfId="9026"/>
    <cellStyle name="Normal 2 2 2 13 3 2 11 2" xfId="9027"/>
    <cellStyle name="Normal 2 2 2 13 3 2 12" xfId="9028"/>
    <cellStyle name="Normal 2 2 2 13 3 2 2" xfId="9029"/>
    <cellStyle name="Normal 2 2 2 13 3 2 2 10" xfId="9030"/>
    <cellStyle name="Normal 2 2 2 13 3 2 2 10 2" xfId="9031"/>
    <cellStyle name="Normal 2 2 2 13 3 2 2 11" xfId="9032"/>
    <cellStyle name="Normal 2 2 2 13 3 2 2 2" xfId="9033"/>
    <cellStyle name="Normal 2 2 2 13 3 2 2 2 2" xfId="9034"/>
    <cellStyle name="Normal 2 2 2 13 3 2 2 3" xfId="9035"/>
    <cellStyle name="Normal 2 2 2 13 3 2 2 3 2" xfId="9036"/>
    <cellStyle name="Normal 2 2 2 13 3 2 2 4" xfId="9037"/>
    <cellStyle name="Normal 2 2 2 13 3 2 2 4 2" xfId="9038"/>
    <cellStyle name="Normal 2 2 2 13 3 2 2 5" xfId="9039"/>
    <cellStyle name="Normal 2 2 2 13 3 2 2 5 2" xfId="9040"/>
    <cellStyle name="Normal 2 2 2 13 3 2 2 6" xfId="9041"/>
    <cellStyle name="Normal 2 2 2 13 3 2 2 6 2" xfId="9042"/>
    <cellStyle name="Normal 2 2 2 13 3 2 2 7" xfId="9043"/>
    <cellStyle name="Normal 2 2 2 13 3 2 2 7 2" xfId="9044"/>
    <cellStyle name="Normal 2 2 2 13 3 2 2 8" xfId="9045"/>
    <cellStyle name="Normal 2 2 2 13 3 2 2 8 2" xfId="9046"/>
    <cellStyle name="Normal 2 2 2 13 3 2 2 9" xfId="9047"/>
    <cellStyle name="Normal 2 2 2 13 3 2 2 9 2" xfId="9048"/>
    <cellStyle name="Normal 2 2 2 13 3 2 3" xfId="9049"/>
    <cellStyle name="Normal 2 2 2 13 3 2 3 2" xfId="9050"/>
    <cellStyle name="Normal 2 2 2 13 3 2 4" xfId="9051"/>
    <cellStyle name="Normal 2 2 2 13 3 2 4 2" xfId="9052"/>
    <cellStyle name="Normal 2 2 2 13 3 2 5" xfId="9053"/>
    <cellStyle name="Normal 2 2 2 13 3 2 5 2" xfId="9054"/>
    <cellStyle name="Normal 2 2 2 13 3 2 6" xfId="9055"/>
    <cellStyle name="Normal 2 2 2 13 3 2 6 2" xfId="9056"/>
    <cellStyle name="Normal 2 2 2 13 3 2 7" xfId="9057"/>
    <cellStyle name="Normal 2 2 2 13 3 2 7 2" xfId="9058"/>
    <cellStyle name="Normal 2 2 2 13 3 2 8" xfId="9059"/>
    <cellStyle name="Normal 2 2 2 13 3 2 8 2" xfId="9060"/>
    <cellStyle name="Normal 2 2 2 13 3 2 9" xfId="9061"/>
    <cellStyle name="Normal 2 2 2 13 3 2 9 2" xfId="9062"/>
    <cellStyle name="Normal 2 2 2 13 3 3" xfId="9063"/>
    <cellStyle name="Normal 2 2 2 13 3 3 10" xfId="9064"/>
    <cellStyle name="Normal 2 2 2 13 3 3 10 2" xfId="9065"/>
    <cellStyle name="Normal 2 2 2 13 3 3 11" xfId="9066"/>
    <cellStyle name="Normal 2 2 2 13 3 3 2" xfId="9067"/>
    <cellStyle name="Normal 2 2 2 13 3 3 2 2" xfId="9068"/>
    <cellStyle name="Normal 2 2 2 13 3 3 3" xfId="9069"/>
    <cellStyle name="Normal 2 2 2 13 3 3 3 2" xfId="9070"/>
    <cellStyle name="Normal 2 2 2 13 3 3 4" xfId="9071"/>
    <cellStyle name="Normal 2 2 2 13 3 3 4 2" xfId="9072"/>
    <cellStyle name="Normal 2 2 2 13 3 3 5" xfId="9073"/>
    <cellStyle name="Normal 2 2 2 13 3 3 5 2" xfId="9074"/>
    <cellStyle name="Normal 2 2 2 13 3 3 6" xfId="9075"/>
    <cellStyle name="Normal 2 2 2 13 3 3 6 2" xfId="9076"/>
    <cellStyle name="Normal 2 2 2 13 3 3 7" xfId="9077"/>
    <cellStyle name="Normal 2 2 2 13 3 3 7 2" xfId="9078"/>
    <cellStyle name="Normal 2 2 2 13 3 3 8" xfId="9079"/>
    <cellStyle name="Normal 2 2 2 13 3 3 8 2" xfId="9080"/>
    <cellStyle name="Normal 2 2 2 13 3 3 9" xfId="9081"/>
    <cellStyle name="Normal 2 2 2 13 3 3 9 2" xfId="9082"/>
    <cellStyle name="Normal 2 2 2 13 3 4" xfId="9083"/>
    <cellStyle name="Normal 2 2 2 13 3 4 2" xfId="9084"/>
    <cellStyle name="Normal 2 2 2 13 3 5" xfId="9085"/>
    <cellStyle name="Normal 2 2 2 13 3 5 2" xfId="9086"/>
    <cellStyle name="Normal 2 2 2 13 3 6" xfId="9087"/>
    <cellStyle name="Normal 2 2 2 13 3 6 2" xfId="9088"/>
    <cellStyle name="Normal 2 2 2 13 3 7" xfId="9089"/>
    <cellStyle name="Normal 2 2 2 13 3 7 2" xfId="9090"/>
    <cellStyle name="Normal 2 2 2 13 3 8" xfId="9091"/>
    <cellStyle name="Normal 2 2 2 13 3 8 2" xfId="9092"/>
    <cellStyle name="Normal 2 2 2 13 3 9" xfId="9093"/>
    <cellStyle name="Normal 2 2 2 13 3 9 2" xfId="9094"/>
    <cellStyle name="Normal 2 2 2 13 4" xfId="9095"/>
    <cellStyle name="Normal 2 2 2 13 4 10" xfId="9096"/>
    <cellStyle name="Normal 2 2 2 13 4 10 2" xfId="9097"/>
    <cellStyle name="Normal 2 2 2 13 4 11" xfId="9098"/>
    <cellStyle name="Normal 2 2 2 13 4 11 2" xfId="9099"/>
    <cellStyle name="Normal 2 2 2 13 4 12" xfId="9100"/>
    <cellStyle name="Normal 2 2 2 13 4 12 2" xfId="9101"/>
    <cellStyle name="Normal 2 2 2 13 4 13" xfId="9102"/>
    <cellStyle name="Normal 2 2 2 13 4 2" xfId="9103"/>
    <cellStyle name="Normal 2 2 2 13 4 2 10" xfId="9104"/>
    <cellStyle name="Normal 2 2 2 13 4 2 10 2" xfId="9105"/>
    <cellStyle name="Normal 2 2 2 13 4 2 11" xfId="9106"/>
    <cellStyle name="Normal 2 2 2 13 4 2 11 2" xfId="9107"/>
    <cellStyle name="Normal 2 2 2 13 4 2 12" xfId="9108"/>
    <cellStyle name="Normal 2 2 2 13 4 2 2" xfId="9109"/>
    <cellStyle name="Normal 2 2 2 13 4 2 2 10" xfId="9110"/>
    <cellStyle name="Normal 2 2 2 13 4 2 2 10 2" xfId="9111"/>
    <cellStyle name="Normal 2 2 2 13 4 2 2 11" xfId="9112"/>
    <cellStyle name="Normal 2 2 2 13 4 2 2 2" xfId="9113"/>
    <cellStyle name="Normal 2 2 2 13 4 2 2 2 2" xfId="9114"/>
    <cellStyle name="Normal 2 2 2 13 4 2 2 3" xfId="9115"/>
    <cellStyle name="Normal 2 2 2 13 4 2 2 3 2" xfId="9116"/>
    <cellStyle name="Normal 2 2 2 13 4 2 2 4" xfId="9117"/>
    <cellStyle name="Normal 2 2 2 13 4 2 2 4 2" xfId="9118"/>
    <cellStyle name="Normal 2 2 2 13 4 2 2 5" xfId="9119"/>
    <cellStyle name="Normal 2 2 2 13 4 2 2 5 2" xfId="9120"/>
    <cellStyle name="Normal 2 2 2 13 4 2 2 6" xfId="9121"/>
    <cellStyle name="Normal 2 2 2 13 4 2 2 6 2" xfId="9122"/>
    <cellStyle name="Normal 2 2 2 13 4 2 2 7" xfId="9123"/>
    <cellStyle name="Normal 2 2 2 13 4 2 2 7 2" xfId="9124"/>
    <cellStyle name="Normal 2 2 2 13 4 2 2 8" xfId="9125"/>
    <cellStyle name="Normal 2 2 2 13 4 2 2 8 2" xfId="9126"/>
    <cellStyle name="Normal 2 2 2 13 4 2 2 9" xfId="9127"/>
    <cellStyle name="Normal 2 2 2 13 4 2 2 9 2" xfId="9128"/>
    <cellStyle name="Normal 2 2 2 13 4 2 3" xfId="9129"/>
    <cellStyle name="Normal 2 2 2 13 4 2 3 2" xfId="9130"/>
    <cellStyle name="Normal 2 2 2 13 4 2 4" xfId="9131"/>
    <cellStyle name="Normal 2 2 2 13 4 2 4 2" xfId="9132"/>
    <cellStyle name="Normal 2 2 2 13 4 2 5" xfId="9133"/>
    <cellStyle name="Normal 2 2 2 13 4 2 5 2" xfId="9134"/>
    <cellStyle name="Normal 2 2 2 13 4 2 6" xfId="9135"/>
    <cellStyle name="Normal 2 2 2 13 4 2 6 2" xfId="9136"/>
    <cellStyle name="Normal 2 2 2 13 4 2 7" xfId="9137"/>
    <cellStyle name="Normal 2 2 2 13 4 2 7 2" xfId="9138"/>
    <cellStyle name="Normal 2 2 2 13 4 2 8" xfId="9139"/>
    <cellStyle name="Normal 2 2 2 13 4 2 8 2" xfId="9140"/>
    <cellStyle name="Normal 2 2 2 13 4 2 9" xfId="9141"/>
    <cellStyle name="Normal 2 2 2 13 4 2 9 2" xfId="9142"/>
    <cellStyle name="Normal 2 2 2 13 4 3" xfId="9143"/>
    <cellStyle name="Normal 2 2 2 13 4 3 10" xfId="9144"/>
    <cellStyle name="Normal 2 2 2 13 4 3 10 2" xfId="9145"/>
    <cellStyle name="Normal 2 2 2 13 4 3 11" xfId="9146"/>
    <cellStyle name="Normal 2 2 2 13 4 3 2" xfId="9147"/>
    <cellStyle name="Normal 2 2 2 13 4 3 2 2" xfId="9148"/>
    <cellStyle name="Normal 2 2 2 13 4 3 3" xfId="9149"/>
    <cellStyle name="Normal 2 2 2 13 4 3 3 2" xfId="9150"/>
    <cellStyle name="Normal 2 2 2 13 4 3 4" xfId="9151"/>
    <cellStyle name="Normal 2 2 2 13 4 3 4 2" xfId="9152"/>
    <cellStyle name="Normal 2 2 2 13 4 3 5" xfId="9153"/>
    <cellStyle name="Normal 2 2 2 13 4 3 5 2" xfId="9154"/>
    <cellStyle name="Normal 2 2 2 13 4 3 6" xfId="9155"/>
    <cellStyle name="Normal 2 2 2 13 4 3 6 2" xfId="9156"/>
    <cellStyle name="Normal 2 2 2 13 4 3 7" xfId="9157"/>
    <cellStyle name="Normal 2 2 2 13 4 3 7 2" xfId="9158"/>
    <cellStyle name="Normal 2 2 2 13 4 3 8" xfId="9159"/>
    <cellStyle name="Normal 2 2 2 13 4 3 8 2" xfId="9160"/>
    <cellStyle name="Normal 2 2 2 13 4 3 9" xfId="9161"/>
    <cellStyle name="Normal 2 2 2 13 4 3 9 2" xfId="9162"/>
    <cellStyle name="Normal 2 2 2 13 4 4" xfId="9163"/>
    <cellStyle name="Normal 2 2 2 13 4 4 2" xfId="9164"/>
    <cellStyle name="Normal 2 2 2 13 4 5" xfId="9165"/>
    <cellStyle name="Normal 2 2 2 13 4 5 2" xfId="9166"/>
    <cellStyle name="Normal 2 2 2 13 4 6" xfId="9167"/>
    <cellStyle name="Normal 2 2 2 13 4 6 2" xfId="9168"/>
    <cellStyle name="Normal 2 2 2 13 4 7" xfId="9169"/>
    <cellStyle name="Normal 2 2 2 13 4 7 2" xfId="9170"/>
    <cellStyle name="Normal 2 2 2 13 4 8" xfId="9171"/>
    <cellStyle name="Normal 2 2 2 13 4 8 2" xfId="9172"/>
    <cellStyle name="Normal 2 2 2 13 4 9" xfId="9173"/>
    <cellStyle name="Normal 2 2 2 13 4 9 2" xfId="9174"/>
    <cellStyle name="Normal 2 2 2 13 5" xfId="9175"/>
    <cellStyle name="Normal 2 2 2 13 5 10" xfId="9176"/>
    <cellStyle name="Normal 2 2 2 13 5 10 2" xfId="9177"/>
    <cellStyle name="Normal 2 2 2 13 5 11" xfId="9178"/>
    <cellStyle name="Normal 2 2 2 13 5 11 2" xfId="9179"/>
    <cellStyle name="Normal 2 2 2 13 5 12" xfId="9180"/>
    <cellStyle name="Normal 2 2 2 13 5 12 2" xfId="9181"/>
    <cellStyle name="Normal 2 2 2 13 5 13" xfId="9182"/>
    <cellStyle name="Normal 2 2 2 13 5 2" xfId="9183"/>
    <cellStyle name="Normal 2 2 2 13 5 2 10" xfId="9184"/>
    <cellStyle name="Normal 2 2 2 13 5 2 10 2" xfId="9185"/>
    <cellStyle name="Normal 2 2 2 13 5 2 11" xfId="9186"/>
    <cellStyle name="Normal 2 2 2 13 5 2 11 2" xfId="9187"/>
    <cellStyle name="Normal 2 2 2 13 5 2 12" xfId="9188"/>
    <cellStyle name="Normal 2 2 2 13 5 2 2" xfId="9189"/>
    <cellStyle name="Normal 2 2 2 13 5 2 2 10" xfId="9190"/>
    <cellStyle name="Normal 2 2 2 13 5 2 2 10 2" xfId="9191"/>
    <cellStyle name="Normal 2 2 2 13 5 2 2 11" xfId="9192"/>
    <cellStyle name="Normal 2 2 2 13 5 2 2 2" xfId="9193"/>
    <cellStyle name="Normal 2 2 2 13 5 2 2 2 2" xfId="9194"/>
    <cellStyle name="Normal 2 2 2 13 5 2 2 3" xfId="9195"/>
    <cellStyle name="Normal 2 2 2 13 5 2 2 3 2" xfId="9196"/>
    <cellStyle name="Normal 2 2 2 13 5 2 2 4" xfId="9197"/>
    <cellStyle name="Normal 2 2 2 13 5 2 2 4 2" xfId="9198"/>
    <cellStyle name="Normal 2 2 2 13 5 2 2 5" xfId="9199"/>
    <cellStyle name="Normal 2 2 2 13 5 2 2 5 2" xfId="9200"/>
    <cellStyle name="Normal 2 2 2 13 5 2 2 6" xfId="9201"/>
    <cellStyle name="Normal 2 2 2 13 5 2 2 6 2" xfId="9202"/>
    <cellStyle name="Normal 2 2 2 13 5 2 2 7" xfId="9203"/>
    <cellStyle name="Normal 2 2 2 13 5 2 2 7 2" xfId="9204"/>
    <cellStyle name="Normal 2 2 2 13 5 2 2 8" xfId="9205"/>
    <cellStyle name="Normal 2 2 2 13 5 2 2 8 2" xfId="9206"/>
    <cellStyle name="Normal 2 2 2 13 5 2 2 9" xfId="9207"/>
    <cellStyle name="Normal 2 2 2 13 5 2 2 9 2" xfId="9208"/>
    <cellStyle name="Normal 2 2 2 13 5 2 3" xfId="9209"/>
    <cellStyle name="Normal 2 2 2 13 5 2 3 2" xfId="9210"/>
    <cellStyle name="Normal 2 2 2 13 5 2 4" xfId="9211"/>
    <cellStyle name="Normal 2 2 2 13 5 2 4 2" xfId="9212"/>
    <cellStyle name="Normal 2 2 2 13 5 2 5" xfId="9213"/>
    <cellStyle name="Normal 2 2 2 13 5 2 5 2" xfId="9214"/>
    <cellStyle name="Normal 2 2 2 13 5 2 6" xfId="9215"/>
    <cellStyle name="Normal 2 2 2 13 5 2 6 2" xfId="9216"/>
    <cellStyle name="Normal 2 2 2 13 5 2 7" xfId="9217"/>
    <cellStyle name="Normal 2 2 2 13 5 2 7 2" xfId="9218"/>
    <cellStyle name="Normal 2 2 2 13 5 2 8" xfId="9219"/>
    <cellStyle name="Normal 2 2 2 13 5 2 8 2" xfId="9220"/>
    <cellStyle name="Normal 2 2 2 13 5 2 9" xfId="9221"/>
    <cellStyle name="Normal 2 2 2 13 5 2 9 2" xfId="9222"/>
    <cellStyle name="Normal 2 2 2 13 5 3" xfId="9223"/>
    <cellStyle name="Normal 2 2 2 13 5 3 10" xfId="9224"/>
    <cellStyle name="Normal 2 2 2 13 5 3 10 2" xfId="9225"/>
    <cellStyle name="Normal 2 2 2 13 5 3 11" xfId="9226"/>
    <cellStyle name="Normal 2 2 2 13 5 3 2" xfId="9227"/>
    <cellStyle name="Normal 2 2 2 13 5 3 2 2" xfId="9228"/>
    <cellStyle name="Normal 2 2 2 13 5 3 3" xfId="9229"/>
    <cellStyle name="Normal 2 2 2 13 5 3 3 2" xfId="9230"/>
    <cellStyle name="Normal 2 2 2 13 5 3 4" xfId="9231"/>
    <cellStyle name="Normal 2 2 2 13 5 3 4 2" xfId="9232"/>
    <cellStyle name="Normal 2 2 2 13 5 3 5" xfId="9233"/>
    <cellStyle name="Normal 2 2 2 13 5 3 5 2" xfId="9234"/>
    <cellStyle name="Normal 2 2 2 13 5 3 6" xfId="9235"/>
    <cellStyle name="Normal 2 2 2 13 5 3 6 2" xfId="9236"/>
    <cellStyle name="Normal 2 2 2 13 5 3 7" xfId="9237"/>
    <cellStyle name="Normal 2 2 2 13 5 3 7 2" xfId="9238"/>
    <cellStyle name="Normal 2 2 2 13 5 3 8" xfId="9239"/>
    <cellStyle name="Normal 2 2 2 13 5 3 8 2" xfId="9240"/>
    <cellStyle name="Normal 2 2 2 13 5 3 9" xfId="9241"/>
    <cellStyle name="Normal 2 2 2 13 5 3 9 2" xfId="9242"/>
    <cellStyle name="Normal 2 2 2 13 5 4" xfId="9243"/>
    <cellStyle name="Normal 2 2 2 13 5 4 2" xfId="9244"/>
    <cellStyle name="Normal 2 2 2 13 5 5" xfId="9245"/>
    <cellStyle name="Normal 2 2 2 13 5 5 2" xfId="9246"/>
    <cellStyle name="Normal 2 2 2 13 5 6" xfId="9247"/>
    <cellStyle name="Normal 2 2 2 13 5 6 2" xfId="9248"/>
    <cellStyle name="Normal 2 2 2 13 5 7" xfId="9249"/>
    <cellStyle name="Normal 2 2 2 13 5 7 2" xfId="9250"/>
    <cellStyle name="Normal 2 2 2 13 5 8" xfId="9251"/>
    <cellStyle name="Normal 2 2 2 13 5 8 2" xfId="9252"/>
    <cellStyle name="Normal 2 2 2 13 5 9" xfId="9253"/>
    <cellStyle name="Normal 2 2 2 13 5 9 2" xfId="9254"/>
    <cellStyle name="Normal 2 2 2 13 6" xfId="9255"/>
    <cellStyle name="Normal 2 2 2 14" xfId="9256"/>
    <cellStyle name="Normal 2 2 2 14 2" xfId="9257"/>
    <cellStyle name="Normal 2 2 2 15" xfId="9258"/>
    <cellStyle name="Normal 2 2 2 15 2" xfId="9259"/>
    <cellStyle name="Normal 2 2 2 16" xfId="9260"/>
    <cellStyle name="Normal 2 2 2 16 2" xfId="9261"/>
    <cellStyle name="Normal 2 2 2 17" xfId="9262"/>
    <cellStyle name="Normal 2 2 2 17 10" xfId="9263"/>
    <cellStyle name="Normal 2 2 2 17 10 2" xfId="9264"/>
    <cellStyle name="Normal 2 2 2 17 11" xfId="9265"/>
    <cellStyle name="Normal 2 2 2 17 11 2" xfId="9266"/>
    <cellStyle name="Normal 2 2 2 17 12" xfId="9267"/>
    <cellStyle name="Normal 2 2 2 17 12 2" xfId="9268"/>
    <cellStyle name="Normal 2 2 2 17 13" xfId="9269"/>
    <cellStyle name="Normal 2 2 2 17 2" xfId="9270"/>
    <cellStyle name="Normal 2 2 2 17 2 10" xfId="9271"/>
    <cellStyle name="Normal 2 2 2 17 2 10 2" xfId="9272"/>
    <cellStyle name="Normal 2 2 2 17 2 11" xfId="9273"/>
    <cellStyle name="Normal 2 2 2 17 2 11 2" xfId="9274"/>
    <cellStyle name="Normal 2 2 2 17 2 12" xfId="9275"/>
    <cellStyle name="Normal 2 2 2 17 2 2" xfId="9276"/>
    <cellStyle name="Normal 2 2 2 17 2 2 10" xfId="9277"/>
    <cellStyle name="Normal 2 2 2 17 2 2 10 2" xfId="9278"/>
    <cellStyle name="Normal 2 2 2 17 2 2 11" xfId="9279"/>
    <cellStyle name="Normal 2 2 2 17 2 2 2" xfId="9280"/>
    <cellStyle name="Normal 2 2 2 17 2 2 2 2" xfId="9281"/>
    <cellStyle name="Normal 2 2 2 17 2 2 3" xfId="9282"/>
    <cellStyle name="Normal 2 2 2 17 2 2 3 2" xfId="9283"/>
    <cellStyle name="Normal 2 2 2 17 2 2 4" xfId="9284"/>
    <cellStyle name="Normal 2 2 2 17 2 2 4 2" xfId="9285"/>
    <cellStyle name="Normal 2 2 2 17 2 2 5" xfId="9286"/>
    <cellStyle name="Normal 2 2 2 17 2 2 5 2" xfId="9287"/>
    <cellStyle name="Normal 2 2 2 17 2 2 6" xfId="9288"/>
    <cellStyle name="Normal 2 2 2 17 2 2 6 2" xfId="9289"/>
    <cellStyle name="Normal 2 2 2 17 2 2 7" xfId="9290"/>
    <cellStyle name="Normal 2 2 2 17 2 2 7 2" xfId="9291"/>
    <cellStyle name="Normal 2 2 2 17 2 2 8" xfId="9292"/>
    <cellStyle name="Normal 2 2 2 17 2 2 8 2" xfId="9293"/>
    <cellStyle name="Normal 2 2 2 17 2 2 9" xfId="9294"/>
    <cellStyle name="Normal 2 2 2 17 2 2 9 2" xfId="9295"/>
    <cellStyle name="Normal 2 2 2 17 2 3" xfId="9296"/>
    <cellStyle name="Normal 2 2 2 17 2 3 2" xfId="9297"/>
    <cellStyle name="Normal 2 2 2 17 2 4" xfId="9298"/>
    <cellStyle name="Normal 2 2 2 17 2 4 2" xfId="9299"/>
    <cellStyle name="Normal 2 2 2 17 2 5" xfId="9300"/>
    <cellStyle name="Normal 2 2 2 17 2 5 2" xfId="9301"/>
    <cellStyle name="Normal 2 2 2 17 2 6" xfId="9302"/>
    <cellStyle name="Normal 2 2 2 17 2 6 2" xfId="9303"/>
    <cellStyle name="Normal 2 2 2 17 2 7" xfId="9304"/>
    <cellStyle name="Normal 2 2 2 17 2 7 2" xfId="9305"/>
    <cellStyle name="Normal 2 2 2 17 2 8" xfId="9306"/>
    <cellStyle name="Normal 2 2 2 17 2 8 2" xfId="9307"/>
    <cellStyle name="Normal 2 2 2 17 2 9" xfId="9308"/>
    <cellStyle name="Normal 2 2 2 17 2 9 2" xfId="9309"/>
    <cellStyle name="Normal 2 2 2 17 3" xfId="9310"/>
    <cellStyle name="Normal 2 2 2 17 3 10" xfId="9311"/>
    <cellStyle name="Normal 2 2 2 17 3 10 2" xfId="9312"/>
    <cellStyle name="Normal 2 2 2 17 3 11" xfId="9313"/>
    <cellStyle name="Normal 2 2 2 17 3 2" xfId="9314"/>
    <cellStyle name="Normal 2 2 2 17 3 2 2" xfId="9315"/>
    <cellStyle name="Normal 2 2 2 17 3 3" xfId="9316"/>
    <cellStyle name="Normal 2 2 2 17 3 3 2" xfId="9317"/>
    <cellStyle name="Normal 2 2 2 17 3 4" xfId="9318"/>
    <cellStyle name="Normal 2 2 2 17 3 4 2" xfId="9319"/>
    <cellStyle name="Normal 2 2 2 17 3 5" xfId="9320"/>
    <cellStyle name="Normal 2 2 2 17 3 5 2" xfId="9321"/>
    <cellStyle name="Normal 2 2 2 17 3 6" xfId="9322"/>
    <cellStyle name="Normal 2 2 2 17 3 6 2" xfId="9323"/>
    <cellStyle name="Normal 2 2 2 17 3 7" xfId="9324"/>
    <cellStyle name="Normal 2 2 2 17 3 7 2" xfId="9325"/>
    <cellStyle name="Normal 2 2 2 17 3 8" xfId="9326"/>
    <cellStyle name="Normal 2 2 2 17 3 8 2" xfId="9327"/>
    <cellStyle name="Normal 2 2 2 17 3 9" xfId="9328"/>
    <cellStyle name="Normal 2 2 2 17 3 9 2" xfId="9329"/>
    <cellStyle name="Normal 2 2 2 17 4" xfId="9330"/>
    <cellStyle name="Normal 2 2 2 17 4 2" xfId="9331"/>
    <cellStyle name="Normal 2 2 2 17 5" xfId="9332"/>
    <cellStyle name="Normal 2 2 2 17 5 2" xfId="9333"/>
    <cellStyle name="Normal 2 2 2 17 6" xfId="9334"/>
    <cellStyle name="Normal 2 2 2 17 6 2" xfId="9335"/>
    <cellStyle name="Normal 2 2 2 17 7" xfId="9336"/>
    <cellStyle name="Normal 2 2 2 17 7 2" xfId="9337"/>
    <cellStyle name="Normal 2 2 2 17 8" xfId="9338"/>
    <cellStyle name="Normal 2 2 2 17 8 2" xfId="9339"/>
    <cellStyle name="Normal 2 2 2 17 9" xfId="9340"/>
    <cellStyle name="Normal 2 2 2 17 9 2" xfId="9341"/>
    <cellStyle name="Normal 2 2 2 2" xfId="9342"/>
    <cellStyle name="Normal 2 2 2 2 10" xfId="9343"/>
    <cellStyle name="Normal 2 2 2 2 10 2" xfId="9344"/>
    <cellStyle name="Normal 2 2 2 2 11" xfId="9345"/>
    <cellStyle name="Normal 2 2 2 2 11 2" xfId="9346"/>
    <cellStyle name="Normal 2 2 2 2 12" xfId="9347"/>
    <cellStyle name="Normal 2 2 2 2 12 2" xfId="9348"/>
    <cellStyle name="Normal 2 2 2 2 13" xfId="9349"/>
    <cellStyle name="Normal 2 2 2 2 13 10" xfId="9350"/>
    <cellStyle name="Normal 2 2 2 2 13 10 2" xfId="9351"/>
    <cellStyle name="Normal 2 2 2 2 13 11" xfId="9352"/>
    <cellStyle name="Normal 2 2 2 2 13 11 2" xfId="9353"/>
    <cellStyle name="Normal 2 2 2 2 13 12" xfId="9354"/>
    <cellStyle name="Normal 2 2 2 2 13 12 2" xfId="9355"/>
    <cellStyle name="Normal 2 2 2 2 13 13" xfId="9356"/>
    <cellStyle name="Normal 2 2 2 2 13 13 2" xfId="9357"/>
    <cellStyle name="Normal 2 2 2 2 13 14" xfId="9358"/>
    <cellStyle name="Normal 2 2 2 2 13 14 2" xfId="9359"/>
    <cellStyle name="Normal 2 2 2 2 13 15" xfId="9360"/>
    <cellStyle name="Normal 2 2 2 2 13 15 2" xfId="9361"/>
    <cellStyle name="Normal 2 2 2 2 13 16" xfId="9362"/>
    <cellStyle name="Normal 2 2 2 2 13 16 2" xfId="9363"/>
    <cellStyle name="Normal 2 2 2 2 13 17" xfId="9364"/>
    <cellStyle name="Normal 2 2 2 2 13 2" xfId="9365"/>
    <cellStyle name="Normal 2 2 2 2 13 2 2" xfId="9366"/>
    <cellStyle name="Normal 2 2 2 2 13 3" xfId="9367"/>
    <cellStyle name="Normal 2 2 2 2 13 3 2" xfId="9368"/>
    <cellStyle name="Normal 2 2 2 2 13 4" xfId="9369"/>
    <cellStyle name="Normal 2 2 2 2 13 4 2" xfId="9370"/>
    <cellStyle name="Normal 2 2 2 2 13 5" xfId="9371"/>
    <cellStyle name="Normal 2 2 2 2 13 5 2" xfId="9372"/>
    <cellStyle name="Normal 2 2 2 2 13 6" xfId="9373"/>
    <cellStyle name="Normal 2 2 2 2 13 6 10" xfId="9374"/>
    <cellStyle name="Normal 2 2 2 2 13 6 10 2" xfId="9375"/>
    <cellStyle name="Normal 2 2 2 2 13 6 11" xfId="9376"/>
    <cellStyle name="Normal 2 2 2 2 13 6 11 2" xfId="9377"/>
    <cellStyle name="Normal 2 2 2 2 13 6 12" xfId="9378"/>
    <cellStyle name="Normal 2 2 2 2 13 6 2" xfId="9379"/>
    <cellStyle name="Normal 2 2 2 2 13 6 2 10" xfId="9380"/>
    <cellStyle name="Normal 2 2 2 2 13 6 2 10 2" xfId="9381"/>
    <cellStyle name="Normal 2 2 2 2 13 6 2 11" xfId="9382"/>
    <cellStyle name="Normal 2 2 2 2 13 6 2 2" xfId="9383"/>
    <cellStyle name="Normal 2 2 2 2 13 6 2 2 2" xfId="9384"/>
    <cellStyle name="Normal 2 2 2 2 13 6 2 3" xfId="9385"/>
    <cellStyle name="Normal 2 2 2 2 13 6 2 3 2" xfId="9386"/>
    <cellStyle name="Normal 2 2 2 2 13 6 2 4" xfId="9387"/>
    <cellStyle name="Normal 2 2 2 2 13 6 2 4 2" xfId="9388"/>
    <cellStyle name="Normal 2 2 2 2 13 6 2 5" xfId="9389"/>
    <cellStyle name="Normal 2 2 2 2 13 6 2 5 2" xfId="9390"/>
    <cellStyle name="Normal 2 2 2 2 13 6 2 6" xfId="9391"/>
    <cellStyle name="Normal 2 2 2 2 13 6 2 6 2" xfId="9392"/>
    <cellStyle name="Normal 2 2 2 2 13 6 2 7" xfId="9393"/>
    <cellStyle name="Normal 2 2 2 2 13 6 2 7 2" xfId="9394"/>
    <cellStyle name="Normal 2 2 2 2 13 6 2 8" xfId="9395"/>
    <cellStyle name="Normal 2 2 2 2 13 6 2 8 2" xfId="9396"/>
    <cellStyle name="Normal 2 2 2 2 13 6 2 9" xfId="9397"/>
    <cellStyle name="Normal 2 2 2 2 13 6 2 9 2" xfId="9398"/>
    <cellStyle name="Normal 2 2 2 2 13 6 3" xfId="9399"/>
    <cellStyle name="Normal 2 2 2 2 13 6 3 2" xfId="9400"/>
    <cellStyle name="Normal 2 2 2 2 13 6 4" xfId="9401"/>
    <cellStyle name="Normal 2 2 2 2 13 6 4 2" xfId="9402"/>
    <cellStyle name="Normal 2 2 2 2 13 6 5" xfId="9403"/>
    <cellStyle name="Normal 2 2 2 2 13 6 5 2" xfId="9404"/>
    <cellStyle name="Normal 2 2 2 2 13 6 6" xfId="9405"/>
    <cellStyle name="Normal 2 2 2 2 13 6 6 2" xfId="9406"/>
    <cellStyle name="Normal 2 2 2 2 13 6 7" xfId="9407"/>
    <cellStyle name="Normal 2 2 2 2 13 6 7 2" xfId="9408"/>
    <cellStyle name="Normal 2 2 2 2 13 6 8" xfId="9409"/>
    <cellStyle name="Normal 2 2 2 2 13 6 8 2" xfId="9410"/>
    <cellStyle name="Normal 2 2 2 2 13 6 9" xfId="9411"/>
    <cellStyle name="Normal 2 2 2 2 13 6 9 2" xfId="9412"/>
    <cellStyle name="Normal 2 2 2 2 13 7" xfId="9413"/>
    <cellStyle name="Normal 2 2 2 2 13 7 10" xfId="9414"/>
    <cellStyle name="Normal 2 2 2 2 13 7 10 2" xfId="9415"/>
    <cellStyle name="Normal 2 2 2 2 13 7 11" xfId="9416"/>
    <cellStyle name="Normal 2 2 2 2 13 7 2" xfId="9417"/>
    <cellStyle name="Normal 2 2 2 2 13 7 2 2" xfId="9418"/>
    <cellStyle name="Normal 2 2 2 2 13 7 3" xfId="9419"/>
    <cellStyle name="Normal 2 2 2 2 13 7 3 2" xfId="9420"/>
    <cellStyle name="Normal 2 2 2 2 13 7 4" xfId="9421"/>
    <cellStyle name="Normal 2 2 2 2 13 7 4 2" xfId="9422"/>
    <cellStyle name="Normal 2 2 2 2 13 7 5" xfId="9423"/>
    <cellStyle name="Normal 2 2 2 2 13 7 5 2" xfId="9424"/>
    <cellStyle name="Normal 2 2 2 2 13 7 6" xfId="9425"/>
    <cellStyle name="Normal 2 2 2 2 13 7 6 2" xfId="9426"/>
    <cellStyle name="Normal 2 2 2 2 13 7 7" xfId="9427"/>
    <cellStyle name="Normal 2 2 2 2 13 7 7 2" xfId="9428"/>
    <cellStyle name="Normal 2 2 2 2 13 7 8" xfId="9429"/>
    <cellStyle name="Normal 2 2 2 2 13 7 8 2" xfId="9430"/>
    <cellStyle name="Normal 2 2 2 2 13 7 9" xfId="9431"/>
    <cellStyle name="Normal 2 2 2 2 13 7 9 2" xfId="9432"/>
    <cellStyle name="Normal 2 2 2 2 13 8" xfId="9433"/>
    <cellStyle name="Normal 2 2 2 2 13 8 2" xfId="9434"/>
    <cellStyle name="Normal 2 2 2 2 13 9" xfId="9435"/>
    <cellStyle name="Normal 2 2 2 2 13 9 2" xfId="9436"/>
    <cellStyle name="Normal 2 2 2 2 14" xfId="9437"/>
    <cellStyle name="Normal 2 2 2 2 14 10" xfId="9438"/>
    <cellStyle name="Normal 2 2 2 2 14 10 2" xfId="9439"/>
    <cellStyle name="Normal 2 2 2 2 14 11" xfId="9440"/>
    <cellStyle name="Normal 2 2 2 2 14 11 2" xfId="9441"/>
    <cellStyle name="Normal 2 2 2 2 14 12" xfId="9442"/>
    <cellStyle name="Normal 2 2 2 2 14 12 2" xfId="9443"/>
    <cellStyle name="Normal 2 2 2 2 14 13" xfId="9444"/>
    <cellStyle name="Normal 2 2 2 2 14 2" xfId="9445"/>
    <cellStyle name="Normal 2 2 2 2 14 2 10" xfId="9446"/>
    <cellStyle name="Normal 2 2 2 2 14 2 10 2" xfId="9447"/>
    <cellStyle name="Normal 2 2 2 2 14 2 11" xfId="9448"/>
    <cellStyle name="Normal 2 2 2 2 14 2 11 2" xfId="9449"/>
    <cellStyle name="Normal 2 2 2 2 14 2 12" xfId="9450"/>
    <cellStyle name="Normal 2 2 2 2 14 2 2" xfId="9451"/>
    <cellStyle name="Normal 2 2 2 2 14 2 2 10" xfId="9452"/>
    <cellStyle name="Normal 2 2 2 2 14 2 2 10 2" xfId="9453"/>
    <cellStyle name="Normal 2 2 2 2 14 2 2 11" xfId="9454"/>
    <cellStyle name="Normal 2 2 2 2 14 2 2 2" xfId="9455"/>
    <cellStyle name="Normal 2 2 2 2 14 2 2 2 2" xfId="9456"/>
    <cellStyle name="Normal 2 2 2 2 14 2 2 3" xfId="9457"/>
    <cellStyle name="Normal 2 2 2 2 14 2 2 3 2" xfId="9458"/>
    <cellStyle name="Normal 2 2 2 2 14 2 2 4" xfId="9459"/>
    <cellStyle name="Normal 2 2 2 2 14 2 2 4 2" xfId="9460"/>
    <cellStyle name="Normal 2 2 2 2 14 2 2 5" xfId="9461"/>
    <cellStyle name="Normal 2 2 2 2 14 2 2 5 2" xfId="9462"/>
    <cellStyle name="Normal 2 2 2 2 14 2 2 6" xfId="9463"/>
    <cellStyle name="Normal 2 2 2 2 14 2 2 6 2" xfId="9464"/>
    <cellStyle name="Normal 2 2 2 2 14 2 2 7" xfId="9465"/>
    <cellStyle name="Normal 2 2 2 2 14 2 2 7 2" xfId="9466"/>
    <cellStyle name="Normal 2 2 2 2 14 2 2 8" xfId="9467"/>
    <cellStyle name="Normal 2 2 2 2 14 2 2 8 2" xfId="9468"/>
    <cellStyle name="Normal 2 2 2 2 14 2 2 9" xfId="9469"/>
    <cellStyle name="Normal 2 2 2 2 14 2 2 9 2" xfId="9470"/>
    <cellStyle name="Normal 2 2 2 2 14 2 3" xfId="9471"/>
    <cellStyle name="Normal 2 2 2 2 14 2 3 2" xfId="9472"/>
    <cellStyle name="Normal 2 2 2 2 14 2 4" xfId="9473"/>
    <cellStyle name="Normal 2 2 2 2 14 2 4 2" xfId="9474"/>
    <cellStyle name="Normal 2 2 2 2 14 2 5" xfId="9475"/>
    <cellStyle name="Normal 2 2 2 2 14 2 5 2" xfId="9476"/>
    <cellStyle name="Normal 2 2 2 2 14 2 6" xfId="9477"/>
    <cellStyle name="Normal 2 2 2 2 14 2 6 2" xfId="9478"/>
    <cellStyle name="Normal 2 2 2 2 14 2 7" xfId="9479"/>
    <cellStyle name="Normal 2 2 2 2 14 2 7 2" xfId="9480"/>
    <cellStyle name="Normal 2 2 2 2 14 2 8" xfId="9481"/>
    <cellStyle name="Normal 2 2 2 2 14 2 8 2" xfId="9482"/>
    <cellStyle name="Normal 2 2 2 2 14 2 9" xfId="9483"/>
    <cellStyle name="Normal 2 2 2 2 14 2 9 2" xfId="9484"/>
    <cellStyle name="Normal 2 2 2 2 14 3" xfId="9485"/>
    <cellStyle name="Normal 2 2 2 2 14 3 10" xfId="9486"/>
    <cellStyle name="Normal 2 2 2 2 14 3 10 2" xfId="9487"/>
    <cellStyle name="Normal 2 2 2 2 14 3 11" xfId="9488"/>
    <cellStyle name="Normal 2 2 2 2 14 3 2" xfId="9489"/>
    <cellStyle name="Normal 2 2 2 2 14 3 2 2" xfId="9490"/>
    <cellStyle name="Normal 2 2 2 2 14 3 3" xfId="9491"/>
    <cellStyle name="Normal 2 2 2 2 14 3 3 2" xfId="9492"/>
    <cellStyle name="Normal 2 2 2 2 14 3 4" xfId="9493"/>
    <cellStyle name="Normal 2 2 2 2 14 3 4 2" xfId="9494"/>
    <cellStyle name="Normal 2 2 2 2 14 3 5" xfId="9495"/>
    <cellStyle name="Normal 2 2 2 2 14 3 5 2" xfId="9496"/>
    <cellStyle name="Normal 2 2 2 2 14 3 6" xfId="9497"/>
    <cellStyle name="Normal 2 2 2 2 14 3 6 2" xfId="9498"/>
    <cellStyle name="Normal 2 2 2 2 14 3 7" xfId="9499"/>
    <cellStyle name="Normal 2 2 2 2 14 3 7 2" xfId="9500"/>
    <cellStyle name="Normal 2 2 2 2 14 3 8" xfId="9501"/>
    <cellStyle name="Normal 2 2 2 2 14 3 8 2" xfId="9502"/>
    <cellStyle name="Normal 2 2 2 2 14 3 9" xfId="9503"/>
    <cellStyle name="Normal 2 2 2 2 14 3 9 2" xfId="9504"/>
    <cellStyle name="Normal 2 2 2 2 14 4" xfId="9505"/>
    <cellStyle name="Normal 2 2 2 2 14 4 2" xfId="9506"/>
    <cellStyle name="Normal 2 2 2 2 14 5" xfId="9507"/>
    <cellStyle name="Normal 2 2 2 2 14 5 2" xfId="9508"/>
    <cellStyle name="Normal 2 2 2 2 14 6" xfId="9509"/>
    <cellStyle name="Normal 2 2 2 2 14 6 2" xfId="9510"/>
    <cellStyle name="Normal 2 2 2 2 14 7" xfId="9511"/>
    <cellStyle name="Normal 2 2 2 2 14 7 2" xfId="9512"/>
    <cellStyle name="Normal 2 2 2 2 14 8" xfId="9513"/>
    <cellStyle name="Normal 2 2 2 2 14 8 2" xfId="9514"/>
    <cellStyle name="Normal 2 2 2 2 14 9" xfId="9515"/>
    <cellStyle name="Normal 2 2 2 2 14 9 2" xfId="9516"/>
    <cellStyle name="Normal 2 2 2 2 15" xfId="9517"/>
    <cellStyle name="Normal 2 2 2 2 15 10" xfId="9518"/>
    <cellStyle name="Normal 2 2 2 2 15 10 2" xfId="9519"/>
    <cellStyle name="Normal 2 2 2 2 15 11" xfId="9520"/>
    <cellStyle name="Normal 2 2 2 2 15 11 2" xfId="9521"/>
    <cellStyle name="Normal 2 2 2 2 15 12" xfId="9522"/>
    <cellStyle name="Normal 2 2 2 2 15 12 2" xfId="9523"/>
    <cellStyle name="Normal 2 2 2 2 15 13" xfId="9524"/>
    <cellStyle name="Normal 2 2 2 2 15 2" xfId="9525"/>
    <cellStyle name="Normal 2 2 2 2 15 2 10" xfId="9526"/>
    <cellStyle name="Normal 2 2 2 2 15 2 10 2" xfId="9527"/>
    <cellStyle name="Normal 2 2 2 2 15 2 11" xfId="9528"/>
    <cellStyle name="Normal 2 2 2 2 15 2 11 2" xfId="9529"/>
    <cellStyle name="Normal 2 2 2 2 15 2 12" xfId="9530"/>
    <cellStyle name="Normal 2 2 2 2 15 2 2" xfId="9531"/>
    <cellStyle name="Normal 2 2 2 2 15 2 2 10" xfId="9532"/>
    <cellStyle name="Normal 2 2 2 2 15 2 2 10 2" xfId="9533"/>
    <cellStyle name="Normal 2 2 2 2 15 2 2 11" xfId="9534"/>
    <cellStyle name="Normal 2 2 2 2 15 2 2 2" xfId="9535"/>
    <cellStyle name="Normal 2 2 2 2 15 2 2 2 2" xfId="9536"/>
    <cellStyle name="Normal 2 2 2 2 15 2 2 3" xfId="9537"/>
    <cellStyle name="Normal 2 2 2 2 15 2 2 3 2" xfId="9538"/>
    <cellStyle name="Normal 2 2 2 2 15 2 2 4" xfId="9539"/>
    <cellStyle name="Normal 2 2 2 2 15 2 2 4 2" xfId="9540"/>
    <cellStyle name="Normal 2 2 2 2 15 2 2 5" xfId="9541"/>
    <cellStyle name="Normal 2 2 2 2 15 2 2 5 2" xfId="9542"/>
    <cellStyle name="Normal 2 2 2 2 15 2 2 6" xfId="9543"/>
    <cellStyle name="Normal 2 2 2 2 15 2 2 6 2" xfId="9544"/>
    <cellStyle name="Normal 2 2 2 2 15 2 2 7" xfId="9545"/>
    <cellStyle name="Normal 2 2 2 2 15 2 2 7 2" xfId="9546"/>
    <cellStyle name="Normal 2 2 2 2 15 2 2 8" xfId="9547"/>
    <cellStyle name="Normal 2 2 2 2 15 2 2 8 2" xfId="9548"/>
    <cellStyle name="Normal 2 2 2 2 15 2 2 9" xfId="9549"/>
    <cellStyle name="Normal 2 2 2 2 15 2 2 9 2" xfId="9550"/>
    <cellStyle name="Normal 2 2 2 2 15 2 3" xfId="9551"/>
    <cellStyle name="Normal 2 2 2 2 15 2 3 2" xfId="9552"/>
    <cellStyle name="Normal 2 2 2 2 15 2 4" xfId="9553"/>
    <cellStyle name="Normal 2 2 2 2 15 2 4 2" xfId="9554"/>
    <cellStyle name="Normal 2 2 2 2 15 2 5" xfId="9555"/>
    <cellStyle name="Normal 2 2 2 2 15 2 5 2" xfId="9556"/>
    <cellStyle name="Normal 2 2 2 2 15 2 6" xfId="9557"/>
    <cellStyle name="Normal 2 2 2 2 15 2 6 2" xfId="9558"/>
    <cellStyle name="Normal 2 2 2 2 15 2 7" xfId="9559"/>
    <cellStyle name="Normal 2 2 2 2 15 2 7 2" xfId="9560"/>
    <cellStyle name="Normal 2 2 2 2 15 2 8" xfId="9561"/>
    <cellStyle name="Normal 2 2 2 2 15 2 8 2" xfId="9562"/>
    <cellStyle name="Normal 2 2 2 2 15 2 9" xfId="9563"/>
    <cellStyle name="Normal 2 2 2 2 15 2 9 2" xfId="9564"/>
    <cellStyle name="Normal 2 2 2 2 15 3" xfId="9565"/>
    <cellStyle name="Normal 2 2 2 2 15 3 10" xfId="9566"/>
    <cellStyle name="Normal 2 2 2 2 15 3 10 2" xfId="9567"/>
    <cellStyle name="Normal 2 2 2 2 15 3 11" xfId="9568"/>
    <cellStyle name="Normal 2 2 2 2 15 3 2" xfId="9569"/>
    <cellStyle name="Normal 2 2 2 2 15 3 2 2" xfId="9570"/>
    <cellStyle name="Normal 2 2 2 2 15 3 3" xfId="9571"/>
    <cellStyle name="Normal 2 2 2 2 15 3 3 2" xfId="9572"/>
    <cellStyle name="Normal 2 2 2 2 15 3 4" xfId="9573"/>
    <cellStyle name="Normal 2 2 2 2 15 3 4 2" xfId="9574"/>
    <cellStyle name="Normal 2 2 2 2 15 3 5" xfId="9575"/>
    <cellStyle name="Normal 2 2 2 2 15 3 5 2" xfId="9576"/>
    <cellStyle name="Normal 2 2 2 2 15 3 6" xfId="9577"/>
    <cellStyle name="Normal 2 2 2 2 15 3 6 2" xfId="9578"/>
    <cellStyle name="Normal 2 2 2 2 15 3 7" xfId="9579"/>
    <cellStyle name="Normal 2 2 2 2 15 3 7 2" xfId="9580"/>
    <cellStyle name="Normal 2 2 2 2 15 3 8" xfId="9581"/>
    <cellStyle name="Normal 2 2 2 2 15 3 8 2" xfId="9582"/>
    <cellStyle name="Normal 2 2 2 2 15 3 9" xfId="9583"/>
    <cellStyle name="Normal 2 2 2 2 15 3 9 2" xfId="9584"/>
    <cellStyle name="Normal 2 2 2 2 15 4" xfId="9585"/>
    <cellStyle name="Normal 2 2 2 2 15 4 2" xfId="9586"/>
    <cellStyle name="Normal 2 2 2 2 15 5" xfId="9587"/>
    <cellStyle name="Normal 2 2 2 2 15 5 2" xfId="9588"/>
    <cellStyle name="Normal 2 2 2 2 15 6" xfId="9589"/>
    <cellStyle name="Normal 2 2 2 2 15 6 2" xfId="9590"/>
    <cellStyle name="Normal 2 2 2 2 15 7" xfId="9591"/>
    <cellStyle name="Normal 2 2 2 2 15 7 2" xfId="9592"/>
    <cellStyle name="Normal 2 2 2 2 15 8" xfId="9593"/>
    <cellStyle name="Normal 2 2 2 2 15 8 2" xfId="9594"/>
    <cellStyle name="Normal 2 2 2 2 15 9" xfId="9595"/>
    <cellStyle name="Normal 2 2 2 2 15 9 2" xfId="9596"/>
    <cellStyle name="Normal 2 2 2 2 16" xfId="9597"/>
    <cellStyle name="Normal 2 2 2 2 16 10" xfId="9598"/>
    <cellStyle name="Normal 2 2 2 2 16 10 2" xfId="9599"/>
    <cellStyle name="Normal 2 2 2 2 16 11" xfId="9600"/>
    <cellStyle name="Normal 2 2 2 2 16 11 2" xfId="9601"/>
    <cellStyle name="Normal 2 2 2 2 16 12" xfId="9602"/>
    <cellStyle name="Normal 2 2 2 2 16 12 2" xfId="9603"/>
    <cellStyle name="Normal 2 2 2 2 16 13" xfId="9604"/>
    <cellStyle name="Normal 2 2 2 2 16 2" xfId="9605"/>
    <cellStyle name="Normal 2 2 2 2 16 2 10" xfId="9606"/>
    <cellStyle name="Normal 2 2 2 2 16 2 10 2" xfId="9607"/>
    <cellStyle name="Normal 2 2 2 2 16 2 11" xfId="9608"/>
    <cellStyle name="Normal 2 2 2 2 16 2 11 2" xfId="9609"/>
    <cellStyle name="Normal 2 2 2 2 16 2 12" xfId="9610"/>
    <cellStyle name="Normal 2 2 2 2 16 2 2" xfId="9611"/>
    <cellStyle name="Normal 2 2 2 2 16 2 2 10" xfId="9612"/>
    <cellStyle name="Normal 2 2 2 2 16 2 2 10 2" xfId="9613"/>
    <cellStyle name="Normal 2 2 2 2 16 2 2 11" xfId="9614"/>
    <cellStyle name="Normal 2 2 2 2 16 2 2 2" xfId="9615"/>
    <cellStyle name="Normal 2 2 2 2 16 2 2 2 2" xfId="9616"/>
    <cellStyle name="Normal 2 2 2 2 16 2 2 3" xfId="9617"/>
    <cellStyle name="Normal 2 2 2 2 16 2 2 3 2" xfId="9618"/>
    <cellStyle name="Normal 2 2 2 2 16 2 2 4" xfId="9619"/>
    <cellStyle name="Normal 2 2 2 2 16 2 2 4 2" xfId="9620"/>
    <cellStyle name="Normal 2 2 2 2 16 2 2 5" xfId="9621"/>
    <cellStyle name="Normal 2 2 2 2 16 2 2 5 2" xfId="9622"/>
    <cellStyle name="Normal 2 2 2 2 16 2 2 6" xfId="9623"/>
    <cellStyle name="Normal 2 2 2 2 16 2 2 6 2" xfId="9624"/>
    <cellStyle name="Normal 2 2 2 2 16 2 2 7" xfId="9625"/>
    <cellStyle name="Normal 2 2 2 2 16 2 2 7 2" xfId="9626"/>
    <cellStyle name="Normal 2 2 2 2 16 2 2 8" xfId="9627"/>
    <cellStyle name="Normal 2 2 2 2 16 2 2 8 2" xfId="9628"/>
    <cellStyle name="Normal 2 2 2 2 16 2 2 9" xfId="9629"/>
    <cellStyle name="Normal 2 2 2 2 16 2 2 9 2" xfId="9630"/>
    <cellStyle name="Normal 2 2 2 2 16 2 3" xfId="9631"/>
    <cellStyle name="Normal 2 2 2 2 16 2 3 2" xfId="9632"/>
    <cellStyle name="Normal 2 2 2 2 16 2 4" xfId="9633"/>
    <cellStyle name="Normal 2 2 2 2 16 2 4 2" xfId="9634"/>
    <cellStyle name="Normal 2 2 2 2 16 2 5" xfId="9635"/>
    <cellStyle name="Normal 2 2 2 2 16 2 5 2" xfId="9636"/>
    <cellStyle name="Normal 2 2 2 2 16 2 6" xfId="9637"/>
    <cellStyle name="Normal 2 2 2 2 16 2 6 2" xfId="9638"/>
    <cellStyle name="Normal 2 2 2 2 16 2 7" xfId="9639"/>
    <cellStyle name="Normal 2 2 2 2 16 2 7 2" xfId="9640"/>
    <cellStyle name="Normal 2 2 2 2 16 2 8" xfId="9641"/>
    <cellStyle name="Normal 2 2 2 2 16 2 8 2" xfId="9642"/>
    <cellStyle name="Normal 2 2 2 2 16 2 9" xfId="9643"/>
    <cellStyle name="Normal 2 2 2 2 16 2 9 2" xfId="9644"/>
    <cellStyle name="Normal 2 2 2 2 16 3" xfId="9645"/>
    <cellStyle name="Normal 2 2 2 2 16 3 10" xfId="9646"/>
    <cellStyle name="Normal 2 2 2 2 16 3 10 2" xfId="9647"/>
    <cellStyle name="Normal 2 2 2 2 16 3 11" xfId="9648"/>
    <cellStyle name="Normal 2 2 2 2 16 3 2" xfId="9649"/>
    <cellStyle name="Normal 2 2 2 2 16 3 2 2" xfId="9650"/>
    <cellStyle name="Normal 2 2 2 2 16 3 3" xfId="9651"/>
    <cellStyle name="Normal 2 2 2 2 16 3 3 2" xfId="9652"/>
    <cellStyle name="Normal 2 2 2 2 16 3 4" xfId="9653"/>
    <cellStyle name="Normal 2 2 2 2 16 3 4 2" xfId="9654"/>
    <cellStyle name="Normal 2 2 2 2 16 3 5" xfId="9655"/>
    <cellStyle name="Normal 2 2 2 2 16 3 5 2" xfId="9656"/>
    <cellStyle name="Normal 2 2 2 2 16 3 6" xfId="9657"/>
    <cellStyle name="Normal 2 2 2 2 16 3 6 2" xfId="9658"/>
    <cellStyle name="Normal 2 2 2 2 16 3 7" xfId="9659"/>
    <cellStyle name="Normal 2 2 2 2 16 3 7 2" xfId="9660"/>
    <cellStyle name="Normal 2 2 2 2 16 3 8" xfId="9661"/>
    <cellStyle name="Normal 2 2 2 2 16 3 8 2" xfId="9662"/>
    <cellStyle name="Normal 2 2 2 2 16 3 9" xfId="9663"/>
    <cellStyle name="Normal 2 2 2 2 16 3 9 2" xfId="9664"/>
    <cellStyle name="Normal 2 2 2 2 16 4" xfId="9665"/>
    <cellStyle name="Normal 2 2 2 2 16 4 2" xfId="9666"/>
    <cellStyle name="Normal 2 2 2 2 16 5" xfId="9667"/>
    <cellStyle name="Normal 2 2 2 2 16 5 2" xfId="9668"/>
    <cellStyle name="Normal 2 2 2 2 16 6" xfId="9669"/>
    <cellStyle name="Normal 2 2 2 2 16 6 2" xfId="9670"/>
    <cellStyle name="Normal 2 2 2 2 16 7" xfId="9671"/>
    <cellStyle name="Normal 2 2 2 2 16 7 2" xfId="9672"/>
    <cellStyle name="Normal 2 2 2 2 16 8" xfId="9673"/>
    <cellStyle name="Normal 2 2 2 2 16 8 2" xfId="9674"/>
    <cellStyle name="Normal 2 2 2 2 16 9" xfId="9675"/>
    <cellStyle name="Normal 2 2 2 2 16 9 2" xfId="9676"/>
    <cellStyle name="Normal 2 2 2 2 17" xfId="9677"/>
    <cellStyle name="Normal 2 2 2 2 2" xfId="9678"/>
    <cellStyle name="Normal 2 2 2 2 2 10" xfId="9679"/>
    <cellStyle name="Normal 2 2 2 2 2 10 10" xfId="9680"/>
    <cellStyle name="Normal 2 2 2 2 2 10 10 2" xfId="9681"/>
    <cellStyle name="Normal 2 2 2 2 2 10 11" xfId="9682"/>
    <cellStyle name="Normal 2 2 2 2 2 10 11 2" xfId="9683"/>
    <cellStyle name="Normal 2 2 2 2 2 10 12" xfId="9684"/>
    <cellStyle name="Normal 2 2 2 2 2 10 2" xfId="9685"/>
    <cellStyle name="Normal 2 2 2 2 2 10 2 10" xfId="9686"/>
    <cellStyle name="Normal 2 2 2 2 2 10 2 10 2" xfId="9687"/>
    <cellStyle name="Normal 2 2 2 2 2 10 2 11" xfId="9688"/>
    <cellStyle name="Normal 2 2 2 2 2 10 2 2" xfId="9689"/>
    <cellStyle name="Normal 2 2 2 2 2 10 2 2 2" xfId="9690"/>
    <cellStyle name="Normal 2 2 2 2 2 10 2 3" xfId="9691"/>
    <cellStyle name="Normal 2 2 2 2 2 10 2 3 2" xfId="9692"/>
    <cellStyle name="Normal 2 2 2 2 2 10 2 4" xfId="9693"/>
    <cellStyle name="Normal 2 2 2 2 2 10 2 4 2" xfId="9694"/>
    <cellStyle name="Normal 2 2 2 2 2 10 2 5" xfId="9695"/>
    <cellStyle name="Normal 2 2 2 2 2 10 2 5 2" xfId="9696"/>
    <cellStyle name="Normal 2 2 2 2 2 10 2 6" xfId="9697"/>
    <cellStyle name="Normal 2 2 2 2 2 10 2 6 2" xfId="9698"/>
    <cellStyle name="Normal 2 2 2 2 2 10 2 7" xfId="9699"/>
    <cellStyle name="Normal 2 2 2 2 2 10 2 7 2" xfId="9700"/>
    <cellStyle name="Normal 2 2 2 2 2 10 2 8" xfId="9701"/>
    <cellStyle name="Normal 2 2 2 2 2 10 2 8 2" xfId="9702"/>
    <cellStyle name="Normal 2 2 2 2 2 10 2 9" xfId="9703"/>
    <cellStyle name="Normal 2 2 2 2 2 10 2 9 2" xfId="9704"/>
    <cellStyle name="Normal 2 2 2 2 2 10 3" xfId="9705"/>
    <cellStyle name="Normal 2 2 2 2 2 10 3 2" xfId="9706"/>
    <cellStyle name="Normal 2 2 2 2 2 10 4" xfId="9707"/>
    <cellStyle name="Normal 2 2 2 2 2 10 4 2" xfId="9708"/>
    <cellStyle name="Normal 2 2 2 2 2 10 5" xfId="9709"/>
    <cellStyle name="Normal 2 2 2 2 2 10 5 2" xfId="9710"/>
    <cellStyle name="Normal 2 2 2 2 2 10 6" xfId="9711"/>
    <cellStyle name="Normal 2 2 2 2 2 10 6 2" xfId="9712"/>
    <cellStyle name="Normal 2 2 2 2 2 10 7" xfId="9713"/>
    <cellStyle name="Normal 2 2 2 2 2 10 7 2" xfId="9714"/>
    <cellStyle name="Normal 2 2 2 2 2 10 8" xfId="9715"/>
    <cellStyle name="Normal 2 2 2 2 2 10 8 2" xfId="9716"/>
    <cellStyle name="Normal 2 2 2 2 2 10 9" xfId="9717"/>
    <cellStyle name="Normal 2 2 2 2 2 10 9 2" xfId="9718"/>
    <cellStyle name="Normal 2 2 2 2 2 11" xfId="9719"/>
    <cellStyle name="Normal 2 2 2 2 2 11 10" xfId="9720"/>
    <cellStyle name="Normal 2 2 2 2 2 11 10 2" xfId="9721"/>
    <cellStyle name="Normal 2 2 2 2 2 11 11" xfId="9722"/>
    <cellStyle name="Normal 2 2 2 2 2 11 2" xfId="9723"/>
    <cellStyle name="Normal 2 2 2 2 2 11 2 2" xfId="9724"/>
    <cellStyle name="Normal 2 2 2 2 2 11 3" xfId="9725"/>
    <cellStyle name="Normal 2 2 2 2 2 11 3 2" xfId="9726"/>
    <cellStyle name="Normal 2 2 2 2 2 11 4" xfId="9727"/>
    <cellStyle name="Normal 2 2 2 2 2 11 4 2" xfId="9728"/>
    <cellStyle name="Normal 2 2 2 2 2 11 5" xfId="9729"/>
    <cellStyle name="Normal 2 2 2 2 2 11 5 2" xfId="9730"/>
    <cellStyle name="Normal 2 2 2 2 2 11 6" xfId="9731"/>
    <cellStyle name="Normal 2 2 2 2 2 11 6 2" xfId="9732"/>
    <cellStyle name="Normal 2 2 2 2 2 11 7" xfId="9733"/>
    <cellStyle name="Normal 2 2 2 2 2 11 7 2" xfId="9734"/>
    <cellStyle name="Normal 2 2 2 2 2 11 8" xfId="9735"/>
    <cellStyle name="Normal 2 2 2 2 2 11 8 2" xfId="9736"/>
    <cellStyle name="Normal 2 2 2 2 2 11 9" xfId="9737"/>
    <cellStyle name="Normal 2 2 2 2 2 11 9 2" xfId="9738"/>
    <cellStyle name="Normal 2 2 2 2 2 12" xfId="9739"/>
    <cellStyle name="Normal 2 2 2 2 2 12 2" xfId="9740"/>
    <cellStyle name="Normal 2 2 2 2 2 13" xfId="9741"/>
    <cellStyle name="Normal 2 2 2 2 2 13 2" xfId="9742"/>
    <cellStyle name="Normal 2 2 2 2 2 14" xfId="9743"/>
    <cellStyle name="Normal 2 2 2 2 2 14 2" xfId="9744"/>
    <cellStyle name="Normal 2 2 2 2 2 15" xfId="9745"/>
    <cellStyle name="Normal 2 2 2 2 2 15 2" xfId="9746"/>
    <cellStyle name="Normal 2 2 2 2 2 16" xfId="9747"/>
    <cellStyle name="Normal 2 2 2 2 2 16 2" xfId="9748"/>
    <cellStyle name="Normal 2 2 2 2 2 17" xfId="9749"/>
    <cellStyle name="Normal 2 2 2 2 2 17 2" xfId="9750"/>
    <cellStyle name="Normal 2 2 2 2 2 18" xfId="9751"/>
    <cellStyle name="Normal 2 2 2 2 2 18 2" xfId="9752"/>
    <cellStyle name="Normal 2 2 2 2 2 19" xfId="9753"/>
    <cellStyle name="Normal 2 2 2 2 2 19 2" xfId="9754"/>
    <cellStyle name="Normal 2 2 2 2 2 2" xfId="9755"/>
    <cellStyle name="Normal 2 2 2 2 2 2 10" xfId="9756"/>
    <cellStyle name="Normal 2 2 2 2 2 2 2" xfId="9757"/>
    <cellStyle name="Normal 2 2 2 2 2 2 2 10" xfId="9758"/>
    <cellStyle name="Normal 2 2 2 2 2 2 2 10 2" xfId="9759"/>
    <cellStyle name="Normal 2 2 2 2 2 2 2 11" xfId="9760"/>
    <cellStyle name="Normal 2 2 2 2 2 2 2 11 2" xfId="9761"/>
    <cellStyle name="Normal 2 2 2 2 2 2 2 12" xfId="9762"/>
    <cellStyle name="Normal 2 2 2 2 2 2 2 12 2" xfId="9763"/>
    <cellStyle name="Normal 2 2 2 2 2 2 2 13" xfId="9764"/>
    <cellStyle name="Normal 2 2 2 2 2 2 2 13 2" xfId="9765"/>
    <cellStyle name="Normal 2 2 2 2 2 2 2 14" xfId="9766"/>
    <cellStyle name="Normal 2 2 2 2 2 2 2 14 2" xfId="9767"/>
    <cellStyle name="Normal 2 2 2 2 2 2 2 15" xfId="9768"/>
    <cellStyle name="Normal 2 2 2 2 2 2 2 15 2" xfId="9769"/>
    <cellStyle name="Normal 2 2 2 2 2 2 2 16" xfId="9770"/>
    <cellStyle name="Normal 2 2 2 2 2 2 2 16 2" xfId="9771"/>
    <cellStyle name="Normal 2 2 2 2 2 2 2 17" xfId="9772"/>
    <cellStyle name="Normal 2 2 2 2 2 2 2 17 2" xfId="9773"/>
    <cellStyle name="Normal 2 2 2 2 2 2 2 18" xfId="9774"/>
    <cellStyle name="Normal 2 2 2 2 2 2 2 2" xfId="9775"/>
    <cellStyle name="Normal 2 2 2 2 2 2 2 2 2" xfId="9776"/>
    <cellStyle name="Normal 2 2 2 2 2 2 2 2 2 10" xfId="9777"/>
    <cellStyle name="Normal 2 2 2 2 2 2 2 2 2 10 2" xfId="9778"/>
    <cellStyle name="Normal 2 2 2 2 2 2 2 2 2 11" xfId="9779"/>
    <cellStyle name="Normal 2 2 2 2 2 2 2 2 2 11 2" xfId="9780"/>
    <cellStyle name="Normal 2 2 2 2 2 2 2 2 2 12" xfId="9781"/>
    <cellStyle name="Normal 2 2 2 2 2 2 2 2 2 12 2" xfId="9782"/>
    <cellStyle name="Normal 2 2 2 2 2 2 2 2 2 13" xfId="9783"/>
    <cellStyle name="Normal 2 2 2 2 2 2 2 2 2 13 2" xfId="9784"/>
    <cellStyle name="Normal 2 2 2 2 2 2 2 2 2 14" xfId="9785"/>
    <cellStyle name="Normal 2 2 2 2 2 2 2 2 2 14 2" xfId="9786"/>
    <cellStyle name="Normal 2 2 2 2 2 2 2 2 2 15" xfId="9787"/>
    <cellStyle name="Normal 2 2 2 2 2 2 2 2 2 15 2" xfId="9788"/>
    <cellStyle name="Normal 2 2 2 2 2 2 2 2 2 16" xfId="9789"/>
    <cellStyle name="Normal 2 2 2 2 2 2 2 2 2 16 2" xfId="9790"/>
    <cellStyle name="Normal 2 2 2 2 2 2 2 2 2 17" xfId="9791"/>
    <cellStyle name="Normal 2 2 2 2 2 2 2 2 2 2" xfId="9792"/>
    <cellStyle name="Normal 2 2 2 2 2 2 2 2 2 2 2" xfId="9793"/>
    <cellStyle name="Normal 2 2 2 2 2 2 2 2 2 3" xfId="9794"/>
    <cellStyle name="Normal 2 2 2 2 2 2 2 2 2 3 2" xfId="9795"/>
    <cellStyle name="Normal 2 2 2 2 2 2 2 2 2 4" xfId="9796"/>
    <cellStyle name="Normal 2 2 2 2 2 2 2 2 2 4 2" xfId="9797"/>
    <cellStyle name="Normal 2 2 2 2 2 2 2 2 2 5" xfId="9798"/>
    <cellStyle name="Normal 2 2 2 2 2 2 2 2 2 5 2" xfId="9799"/>
    <cellStyle name="Normal 2 2 2 2 2 2 2 2 2 6" xfId="9800"/>
    <cellStyle name="Normal 2 2 2 2 2 2 2 2 2 6 10" xfId="9801"/>
    <cellStyle name="Normal 2 2 2 2 2 2 2 2 2 6 10 2" xfId="9802"/>
    <cellStyle name="Normal 2 2 2 2 2 2 2 2 2 6 11" xfId="9803"/>
    <cellStyle name="Normal 2 2 2 2 2 2 2 2 2 6 11 2" xfId="9804"/>
    <cellStyle name="Normal 2 2 2 2 2 2 2 2 2 6 12" xfId="9805"/>
    <cellStyle name="Normal 2 2 2 2 2 2 2 2 2 6 2" xfId="9806"/>
    <cellStyle name="Normal 2 2 2 2 2 2 2 2 2 6 2 10" xfId="9807"/>
    <cellStyle name="Normal 2 2 2 2 2 2 2 2 2 6 2 10 2" xfId="9808"/>
    <cellStyle name="Normal 2 2 2 2 2 2 2 2 2 6 2 11" xfId="9809"/>
    <cellStyle name="Normal 2 2 2 2 2 2 2 2 2 6 2 2" xfId="9810"/>
    <cellStyle name="Normal 2 2 2 2 2 2 2 2 2 6 2 2 2" xfId="9811"/>
    <cellStyle name="Normal 2 2 2 2 2 2 2 2 2 6 2 3" xfId="9812"/>
    <cellStyle name="Normal 2 2 2 2 2 2 2 2 2 6 2 3 2" xfId="9813"/>
    <cellStyle name="Normal 2 2 2 2 2 2 2 2 2 6 2 4" xfId="9814"/>
    <cellStyle name="Normal 2 2 2 2 2 2 2 2 2 6 2 4 2" xfId="9815"/>
    <cellStyle name="Normal 2 2 2 2 2 2 2 2 2 6 2 5" xfId="9816"/>
    <cellStyle name="Normal 2 2 2 2 2 2 2 2 2 6 2 5 2" xfId="9817"/>
    <cellStyle name="Normal 2 2 2 2 2 2 2 2 2 6 2 6" xfId="9818"/>
    <cellStyle name="Normal 2 2 2 2 2 2 2 2 2 6 2 6 2" xfId="9819"/>
    <cellStyle name="Normal 2 2 2 2 2 2 2 2 2 6 2 7" xfId="9820"/>
    <cellStyle name="Normal 2 2 2 2 2 2 2 2 2 6 2 7 2" xfId="9821"/>
    <cellStyle name="Normal 2 2 2 2 2 2 2 2 2 6 2 8" xfId="9822"/>
    <cellStyle name="Normal 2 2 2 2 2 2 2 2 2 6 2 8 2" xfId="9823"/>
    <cellStyle name="Normal 2 2 2 2 2 2 2 2 2 6 2 9" xfId="9824"/>
    <cellStyle name="Normal 2 2 2 2 2 2 2 2 2 6 2 9 2" xfId="9825"/>
    <cellStyle name="Normal 2 2 2 2 2 2 2 2 2 6 3" xfId="9826"/>
    <cellStyle name="Normal 2 2 2 2 2 2 2 2 2 6 3 2" xfId="9827"/>
    <cellStyle name="Normal 2 2 2 2 2 2 2 2 2 6 4" xfId="9828"/>
    <cellStyle name="Normal 2 2 2 2 2 2 2 2 2 6 4 2" xfId="9829"/>
    <cellStyle name="Normal 2 2 2 2 2 2 2 2 2 6 5" xfId="9830"/>
    <cellStyle name="Normal 2 2 2 2 2 2 2 2 2 6 5 2" xfId="9831"/>
    <cellStyle name="Normal 2 2 2 2 2 2 2 2 2 6 6" xfId="9832"/>
    <cellStyle name="Normal 2 2 2 2 2 2 2 2 2 6 6 2" xfId="9833"/>
    <cellStyle name="Normal 2 2 2 2 2 2 2 2 2 6 7" xfId="9834"/>
    <cellStyle name="Normal 2 2 2 2 2 2 2 2 2 6 7 2" xfId="9835"/>
    <cellStyle name="Normal 2 2 2 2 2 2 2 2 2 6 8" xfId="9836"/>
    <cellStyle name="Normal 2 2 2 2 2 2 2 2 2 6 8 2" xfId="9837"/>
    <cellStyle name="Normal 2 2 2 2 2 2 2 2 2 6 9" xfId="9838"/>
    <cellStyle name="Normal 2 2 2 2 2 2 2 2 2 6 9 2" xfId="9839"/>
    <cellStyle name="Normal 2 2 2 2 2 2 2 2 2 7" xfId="9840"/>
    <cellStyle name="Normal 2 2 2 2 2 2 2 2 2 7 10" xfId="9841"/>
    <cellStyle name="Normal 2 2 2 2 2 2 2 2 2 7 10 2" xfId="9842"/>
    <cellStyle name="Normal 2 2 2 2 2 2 2 2 2 7 11" xfId="9843"/>
    <cellStyle name="Normal 2 2 2 2 2 2 2 2 2 7 2" xfId="9844"/>
    <cellStyle name="Normal 2 2 2 2 2 2 2 2 2 7 2 2" xfId="9845"/>
    <cellStyle name="Normal 2 2 2 2 2 2 2 2 2 7 3" xfId="9846"/>
    <cellStyle name="Normal 2 2 2 2 2 2 2 2 2 7 3 2" xfId="9847"/>
    <cellStyle name="Normal 2 2 2 2 2 2 2 2 2 7 4" xfId="9848"/>
    <cellStyle name="Normal 2 2 2 2 2 2 2 2 2 7 4 2" xfId="9849"/>
    <cellStyle name="Normal 2 2 2 2 2 2 2 2 2 7 5" xfId="9850"/>
    <cellStyle name="Normal 2 2 2 2 2 2 2 2 2 7 5 2" xfId="9851"/>
    <cellStyle name="Normal 2 2 2 2 2 2 2 2 2 7 6" xfId="9852"/>
    <cellStyle name="Normal 2 2 2 2 2 2 2 2 2 7 6 2" xfId="9853"/>
    <cellStyle name="Normal 2 2 2 2 2 2 2 2 2 7 7" xfId="9854"/>
    <cellStyle name="Normal 2 2 2 2 2 2 2 2 2 7 7 2" xfId="9855"/>
    <cellStyle name="Normal 2 2 2 2 2 2 2 2 2 7 8" xfId="9856"/>
    <cellStyle name="Normal 2 2 2 2 2 2 2 2 2 7 8 2" xfId="9857"/>
    <cellStyle name="Normal 2 2 2 2 2 2 2 2 2 7 9" xfId="9858"/>
    <cellStyle name="Normal 2 2 2 2 2 2 2 2 2 7 9 2" xfId="9859"/>
    <cellStyle name="Normal 2 2 2 2 2 2 2 2 2 8" xfId="9860"/>
    <cellStyle name="Normal 2 2 2 2 2 2 2 2 2 8 2" xfId="9861"/>
    <cellStyle name="Normal 2 2 2 2 2 2 2 2 2 9" xfId="9862"/>
    <cellStyle name="Normal 2 2 2 2 2 2 2 2 2 9 2" xfId="9863"/>
    <cellStyle name="Normal 2 2 2 2 2 2 2 2 3" xfId="9864"/>
    <cellStyle name="Normal 2 2 2 2 2 2 2 2 3 10" xfId="9865"/>
    <cellStyle name="Normal 2 2 2 2 2 2 2 2 3 10 2" xfId="9866"/>
    <cellStyle name="Normal 2 2 2 2 2 2 2 2 3 11" xfId="9867"/>
    <cellStyle name="Normal 2 2 2 2 2 2 2 2 3 11 2" xfId="9868"/>
    <cellStyle name="Normal 2 2 2 2 2 2 2 2 3 12" xfId="9869"/>
    <cellStyle name="Normal 2 2 2 2 2 2 2 2 3 12 2" xfId="9870"/>
    <cellStyle name="Normal 2 2 2 2 2 2 2 2 3 13" xfId="9871"/>
    <cellStyle name="Normal 2 2 2 2 2 2 2 2 3 2" xfId="9872"/>
    <cellStyle name="Normal 2 2 2 2 2 2 2 2 3 2 10" xfId="9873"/>
    <cellStyle name="Normal 2 2 2 2 2 2 2 2 3 2 10 2" xfId="9874"/>
    <cellStyle name="Normal 2 2 2 2 2 2 2 2 3 2 11" xfId="9875"/>
    <cellStyle name="Normal 2 2 2 2 2 2 2 2 3 2 11 2" xfId="9876"/>
    <cellStyle name="Normal 2 2 2 2 2 2 2 2 3 2 12" xfId="9877"/>
    <cellStyle name="Normal 2 2 2 2 2 2 2 2 3 2 2" xfId="9878"/>
    <cellStyle name="Normal 2 2 2 2 2 2 2 2 3 2 2 10" xfId="9879"/>
    <cellStyle name="Normal 2 2 2 2 2 2 2 2 3 2 2 10 2" xfId="9880"/>
    <cellStyle name="Normal 2 2 2 2 2 2 2 2 3 2 2 11" xfId="9881"/>
    <cellStyle name="Normal 2 2 2 2 2 2 2 2 3 2 2 2" xfId="9882"/>
    <cellStyle name="Normal 2 2 2 2 2 2 2 2 3 2 2 2 2" xfId="9883"/>
    <cellStyle name="Normal 2 2 2 2 2 2 2 2 3 2 2 3" xfId="9884"/>
    <cellStyle name="Normal 2 2 2 2 2 2 2 2 3 2 2 3 2" xfId="9885"/>
    <cellStyle name="Normal 2 2 2 2 2 2 2 2 3 2 2 4" xfId="9886"/>
    <cellStyle name="Normal 2 2 2 2 2 2 2 2 3 2 2 4 2" xfId="9887"/>
    <cellStyle name="Normal 2 2 2 2 2 2 2 2 3 2 2 5" xfId="9888"/>
    <cellStyle name="Normal 2 2 2 2 2 2 2 2 3 2 2 5 2" xfId="9889"/>
    <cellStyle name="Normal 2 2 2 2 2 2 2 2 3 2 2 6" xfId="9890"/>
    <cellStyle name="Normal 2 2 2 2 2 2 2 2 3 2 2 6 2" xfId="9891"/>
    <cellStyle name="Normal 2 2 2 2 2 2 2 2 3 2 2 7" xfId="9892"/>
    <cellStyle name="Normal 2 2 2 2 2 2 2 2 3 2 2 7 2" xfId="9893"/>
    <cellStyle name="Normal 2 2 2 2 2 2 2 2 3 2 2 8" xfId="9894"/>
    <cellStyle name="Normal 2 2 2 2 2 2 2 2 3 2 2 8 2" xfId="9895"/>
    <cellStyle name="Normal 2 2 2 2 2 2 2 2 3 2 2 9" xfId="9896"/>
    <cellStyle name="Normal 2 2 2 2 2 2 2 2 3 2 2 9 2" xfId="9897"/>
    <cellStyle name="Normal 2 2 2 2 2 2 2 2 3 2 3" xfId="9898"/>
    <cellStyle name="Normal 2 2 2 2 2 2 2 2 3 2 3 2" xfId="9899"/>
    <cellStyle name="Normal 2 2 2 2 2 2 2 2 3 2 4" xfId="9900"/>
    <cellStyle name="Normal 2 2 2 2 2 2 2 2 3 2 4 2" xfId="9901"/>
    <cellStyle name="Normal 2 2 2 2 2 2 2 2 3 2 5" xfId="9902"/>
    <cellStyle name="Normal 2 2 2 2 2 2 2 2 3 2 5 2" xfId="9903"/>
    <cellStyle name="Normal 2 2 2 2 2 2 2 2 3 2 6" xfId="9904"/>
    <cellStyle name="Normal 2 2 2 2 2 2 2 2 3 2 6 2" xfId="9905"/>
    <cellStyle name="Normal 2 2 2 2 2 2 2 2 3 2 7" xfId="9906"/>
    <cellStyle name="Normal 2 2 2 2 2 2 2 2 3 2 7 2" xfId="9907"/>
    <cellStyle name="Normal 2 2 2 2 2 2 2 2 3 2 8" xfId="9908"/>
    <cellStyle name="Normal 2 2 2 2 2 2 2 2 3 2 8 2" xfId="9909"/>
    <cellStyle name="Normal 2 2 2 2 2 2 2 2 3 2 9" xfId="9910"/>
    <cellStyle name="Normal 2 2 2 2 2 2 2 2 3 2 9 2" xfId="9911"/>
    <cellStyle name="Normal 2 2 2 2 2 2 2 2 3 3" xfId="9912"/>
    <cellStyle name="Normal 2 2 2 2 2 2 2 2 3 3 10" xfId="9913"/>
    <cellStyle name="Normal 2 2 2 2 2 2 2 2 3 3 10 2" xfId="9914"/>
    <cellStyle name="Normal 2 2 2 2 2 2 2 2 3 3 11" xfId="9915"/>
    <cellStyle name="Normal 2 2 2 2 2 2 2 2 3 3 2" xfId="9916"/>
    <cellStyle name="Normal 2 2 2 2 2 2 2 2 3 3 2 2" xfId="9917"/>
    <cellStyle name="Normal 2 2 2 2 2 2 2 2 3 3 3" xfId="9918"/>
    <cellStyle name="Normal 2 2 2 2 2 2 2 2 3 3 3 2" xfId="9919"/>
    <cellStyle name="Normal 2 2 2 2 2 2 2 2 3 3 4" xfId="9920"/>
    <cellStyle name="Normal 2 2 2 2 2 2 2 2 3 3 4 2" xfId="9921"/>
    <cellStyle name="Normal 2 2 2 2 2 2 2 2 3 3 5" xfId="9922"/>
    <cellStyle name="Normal 2 2 2 2 2 2 2 2 3 3 5 2" xfId="9923"/>
    <cellStyle name="Normal 2 2 2 2 2 2 2 2 3 3 6" xfId="9924"/>
    <cellStyle name="Normal 2 2 2 2 2 2 2 2 3 3 6 2" xfId="9925"/>
    <cellStyle name="Normal 2 2 2 2 2 2 2 2 3 3 7" xfId="9926"/>
    <cellStyle name="Normal 2 2 2 2 2 2 2 2 3 3 7 2" xfId="9927"/>
    <cellStyle name="Normal 2 2 2 2 2 2 2 2 3 3 8" xfId="9928"/>
    <cellStyle name="Normal 2 2 2 2 2 2 2 2 3 3 8 2" xfId="9929"/>
    <cellStyle name="Normal 2 2 2 2 2 2 2 2 3 3 9" xfId="9930"/>
    <cellStyle name="Normal 2 2 2 2 2 2 2 2 3 3 9 2" xfId="9931"/>
    <cellStyle name="Normal 2 2 2 2 2 2 2 2 3 4" xfId="9932"/>
    <cellStyle name="Normal 2 2 2 2 2 2 2 2 3 4 2" xfId="9933"/>
    <cellStyle name="Normal 2 2 2 2 2 2 2 2 3 5" xfId="9934"/>
    <cellStyle name="Normal 2 2 2 2 2 2 2 2 3 5 2" xfId="9935"/>
    <cellStyle name="Normal 2 2 2 2 2 2 2 2 3 6" xfId="9936"/>
    <cellStyle name="Normal 2 2 2 2 2 2 2 2 3 6 2" xfId="9937"/>
    <cellStyle name="Normal 2 2 2 2 2 2 2 2 3 7" xfId="9938"/>
    <cellStyle name="Normal 2 2 2 2 2 2 2 2 3 7 2" xfId="9939"/>
    <cellStyle name="Normal 2 2 2 2 2 2 2 2 3 8" xfId="9940"/>
    <cellStyle name="Normal 2 2 2 2 2 2 2 2 3 8 2" xfId="9941"/>
    <cellStyle name="Normal 2 2 2 2 2 2 2 2 3 9" xfId="9942"/>
    <cellStyle name="Normal 2 2 2 2 2 2 2 2 3 9 2" xfId="9943"/>
    <cellStyle name="Normal 2 2 2 2 2 2 2 2 4" xfId="9944"/>
    <cellStyle name="Normal 2 2 2 2 2 2 2 2 4 10" xfId="9945"/>
    <cellStyle name="Normal 2 2 2 2 2 2 2 2 4 10 2" xfId="9946"/>
    <cellStyle name="Normal 2 2 2 2 2 2 2 2 4 11" xfId="9947"/>
    <cellStyle name="Normal 2 2 2 2 2 2 2 2 4 11 2" xfId="9948"/>
    <cellStyle name="Normal 2 2 2 2 2 2 2 2 4 12" xfId="9949"/>
    <cellStyle name="Normal 2 2 2 2 2 2 2 2 4 12 2" xfId="9950"/>
    <cellStyle name="Normal 2 2 2 2 2 2 2 2 4 13" xfId="9951"/>
    <cellStyle name="Normal 2 2 2 2 2 2 2 2 4 2" xfId="9952"/>
    <cellStyle name="Normal 2 2 2 2 2 2 2 2 4 2 10" xfId="9953"/>
    <cellStyle name="Normal 2 2 2 2 2 2 2 2 4 2 10 2" xfId="9954"/>
    <cellStyle name="Normal 2 2 2 2 2 2 2 2 4 2 11" xfId="9955"/>
    <cellStyle name="Normal 2 2 2 2 2 2 2 2 4 2 11 2" xfId="9956"/>
    <cellStyle name="Normal 2 2 2 2 2 2 2 2 4 2 12" xfId="9957"/>
    <cellStyle name="Normal 2 2 2 2 2 2 2 2 4 2 2" xfId="9958"/>
    <cellStyle name="Normal 2 2 2 2 2 2 2 2 4 2 2 10" xfId="9959"/>
    <cellStyle name="Normal 2 2 2 2 2 2 2 2 4 2 2 10 2" xfId="9960"/>
    <cellStyle name="Normal 2 2 2 2 2 2 2 2 4 2 2 11" xfId="9961"/>
    <cellStyle name="Normal 2 2 2 2 2 2 2 2 4 2 2 2" xfId="9962"/>
    <cellStyle name="Normal 2 2 2 2 2 2 2 2 4 2 2 2 2" xfId="9963"/>
    <cellStyle name="Normal 2 2 2 2 2 2 2 2 4 2 2 3" xfId="9964"/>
    <cellStyle name="Normal 2 2 2 2 2 2 2 2 4 2 2 3 2" xfId="9965"/>
    <cellStyle name="Normal 2 2 2 2 2 2 2 2 4 2 2 4" xfId="9966"/>
    <cellStyle name="Normal 2 2 2 2 2 2 2 2 4 2 2 4 2" xfId="9967"/>
    <cellStyle name="Normal 2 2 2 2 2 2 2 2 4 2 2 5" xfId="9968"/>
    <cellStyle name="Normal 2 2 2 2 2 2 2 2 4 2 2 5 2" xfId="9969"/>
    <cellStyle name="Normal 2 2 2 2 2 2 2 2 4 2 2 6" xfId="9970"/>
    <cellStyle name="Normal 2 2 2 2 2 2 2 2 4 2 2 6 2" xfId="9971"/>
    <cellStyle name="Normal 2 2 2 2 2 2 2 2 4 2 2 7" xfId="9972"/>
    <cellStyle name="Normal 2 2 2 2 2 2 2 2 4 2 2 7 2" xfId="9973"/>
    <cellStyle name="Normal 2 2 2 2 2 2 2 2 4 2 2 8" xfId="9974"/>
    <cellStyle name="Normal 2 2 2 2 2 2 2 2 4 2 2 8 2" xfId="9975"/>
    <cellStyle name="Normal 2 2 2 2 2 2 2 2 4 2 2 9" xfId="9976"/>
    <cellStyle name="Normal 2 2 2 2 2 2 2 2 4 2 2 9 2" xfId="9977"/>
    <cellStyle name="Normal 2 2 2 2 2 2 2 2 4 2 3" xfId="9978"/>
    <cellStyle name="Normal 2 2 2 2 2 2 2 2 4 2 3 2" xfId="9979"/>
    <cellStyle name="Normal 2 2 2 2 2 2 2 2 4 2 4" xfId="9980"/>
    <cellStyle name="Normal 2 2 2 2 2 2 2 2 4 2 4 2" xfId="9981"/>
    <cellStyle name="Normal 2 2 2 2 2 2 2 2 4 2 5" xfId="9982"/>
    <cellStyle name="Normal 2 2 2 2 2 2 2 2 4 2 5 2" xfId="9983"/>
    <cellStyle name="Normal 2 2 2 2 2 2 2 2 4 2 6" xfId="9984"/>
    <cellStyle name="Normal 2 2 2 2 2 2 2 2 4 2 6 2" xfId="9985"/>
    <cellStyle name="Normal 2 2 2 2 2 2 2 2 4 2 7" xfId="9986"/>
    <cellStyle name="Normal 2 2 2 2 2 2 2 2 4 2 7 2" xfId="9987"/>
    <cellStyle name="Normal 2 2 2 2 2 2 2 2 4 2 8" xfId="9988"/>
    <cellStyle name="Normal 2 2 2 2 2 2 2 2 4 2 8 2" xfId="9989"/>
    <cellStyle name="Normal 2 2 2 2 2 2 2 2 4 2 9" xfId="9990"/>
    <cellStyle name="Normal 2 2 2 2 2 2 2 2 4 2 9 2" xfId="9991"/>
    <cellStyle name="Normal 2 2 2 2 2 2 2 2 4 3" xfId="9992"/>
    <cellStyle name="Normal 2 2 2 2 2 2 2 2 4 3 10" xfId="9993"/>
    <cellStyle name="Normal 2 2 2 2 2 2 2 2 4 3 10 2" xfId="9994"/>
    <cellStyle name="Normal 2 2 2 2 2 2 2 2 4 3 11" xfId="9995"/>
    <cellStyle name="Normal 2 2 2 2 2 2 2 2 4 3 2" xfId="9996"/>
    <cellStyle name="Normal 2 2 2 2 2 2 2 2 4 3 2 2" xfId="9997"/>
    <cellStyle name="Normal 2 2 2 2 2 2 2 2 4 3 3" xfId="9998"/>
    <cellStyle name="Normal 2 2 2 2 2 2 2 2 4 3 3 2" xfId="9999"/>
    <cellStyle name="Normal 2 2 2 2 2 2 2 2 4 3 4" xfId="10000"/>
    <cellStyle name="Normal 2 2 2 2 2 2 2 2 4 3 4 2" xfId="10001"/>
    <cellStyle name="Normal 2 2 2 2 2 2 2 2 4 3 5" xfId="10002"/>
    <cellStyle name="Normal 2 2 2 2 2 2 2 2 4 3 5 2" xfId="10003"/>
    <cellStyle name="Normal 2 2 2 2 2 2 2 2 4 3 6" xfId="10004"/>
    <cellStyle name="Normal 2 2 2 2 2 2 2 2 4 3 6 2" xfId="10005"/>
    <cellStyle name="Normal 2 2 2 2 2 2 2 2 4 3 7" xfId="10006"/>
    <cellStyle name="Normal 2 2 2 2 2 2 2 2 4 3 7 2" xfId="10007"/>
    <cellStyle name="Normal 2 2 2 2 2 2 2 2 4 3 8" xfId="10008"/>
    <cellStyle name="Normal 2 2 2 2 2 2 2 2 4 3 8 2" xfId="10009"/>
    <cellStyle name="Normal 2 2 2 2 2 2 2 2 4 3 9" xfId="10010"/>
    <cellStyle name="Normal 2 2 2 2 2 2 2 2 4 3 9 2" xfId="10011"/>
    <cellStyle name="Normal 2 2 2 2 2 2 2 2 4 4" xfId="10012"/>
    <cellStyle name="Normal 2 2 2 2 2 2 2 2 4 4 2" xfId="10013"/>
    <cellStyle name="Normal 2 2 2 2 2 2 2 2 4 5" xfId="10014"/>
    <cellStyle name="Normal 2 2 2 2 2 2 2 2 4 5 2" xfId="10015"/>
    <cellStyle name="Normal 2 2 2 2 2 2 2 2 4 6" xfId="10016"/>
    <cellStyle name="Normal 2 2 2 2 2 2 2 2 4 6 2" xfId="10017"/>
    <cellStyle name="Normal 2 2 2 2 2 2 2 2 4 7" xfId="10018"/>
    <cellStyle name="Normal 2 2 2 2 2 2 2 2 4 7 2" xfId="10019"/>
    <cellStyle name="Normal 2 2 2 2 2 2 2 2 4 8" xfId="10020"/>
    <cellStyle name="Normal 2 2 2 2 2 2 2 2 4 8 2" xfId="10021"/>
    <cellStyle name="Normal 2 2 2 2 2 2 2 2 4 9" xfId="10022"/>
    <cellStyle name="Normal 2 2 2 2 2 2 2 2 4 9 2" xfId="10023"/>
    <cellStyle name="Normal 2 2 2 2 2 2 2 2 5" xfId="10024"/>
    <cellStyle name="Normal 2 2 2 2 2 2 2 2 5 10" xfId="10025"/>
    <cellStyle name="Normal 2 2 2 2 2 2 2 2 5 10 2" xfId="10026"/>
    <cellStyle name="Normal 2 2 2 2 2 2 2 2 5 11" xfId="10027"/>
    <cellStyle name="Normal 2 2 2 2 2 2 2 2 5 11 2" xfId="10028"/>
    <cellStyle name="Normal 2 2 2 2 2 2 2 2 5 12" xfId="10029"/>
    <cellStyle name="Normal 2 2 2 2 2 2 2 2 5 12 2" xfId="10030"/>
    <cellStyle name="Normal 2 2 2 2 2 2 2 2 5 13" xfId="10031"/>
    <cellStyle name="Normal 2 2 2 2 2 2 2 2 5 2" xfId="10032"/>
    <cellStyle name="Normal 2 2 2 2 2 2 2 2 5 2 10" xfId="10033"/>
    <cellStyle name="Normal 2 2 2 2 2 2 2 2 5 2 10 2" xfId="10034"/>
    <cellStyle name="Normal 2 2 2 2 2 2 2 2 5 2 11" xfId="10035"/>
    <cellStyle name="Normal 2 2 2 2 2 2 2 2 5 2 11 2" xfId="10036"/>
    <cellStyle name="Normal 2 2 2 2 2 2 2 2 5 2 12" xfId="10037"/>
    <cellStyle name="Normal 2 2 2 2 2 2 2 2 5 2 2" xfId="10038"/>
    <cellStyle name="Normal 2 2 2 2 2 2 2 2 5 2 2 10" xfId="10039"/>
    <cellStyle name="Normal 2 2 2 2 2 2 2 2 5 2 2 10 2" xfId="10040"/>
    <cellStyle name="Normal 2 2 2 2 2 2 2 2 5 2 2 11" xfId="10041"/>
    <cellStyle name="Normal 2 2 2 2 2 2 2 2 5 2 2 2" xfId="10042"/>
    <cellStyle name="Normal 2 2 2 2 2 2 2 2 5 2 2 2 2" xfId="10043"/>
    <cellStyle name="Normal 2 2 2 2 2 2 2 2 5 2 2 3" xfId="10044"/>
    <cellStyle name="Normal 2 2 2 2 2 2 2 2 5 2 2 3 2" xfId="10045"/>
    <cellStyle name="Normal 2 2 2 2 2 2 2 2 5 2 2 4" xfId="10046"/>
    <cellStyle name="Normal 2 2 2 2 2 2 2 2 5 2 2 4 2" xfId="10047"/>
    <cellStyle name="Normal 2 2 2 2 2 2 2 2 5 2 2 5" xfId="10048"/>
    <cellStyle name="Normal 2 2 2 2 2 2 2 2 5 2 2 5 2" xfId="10049"/>
    <cellStyle name="Normal 2 2 2 2 2 2 2 2 5 2 2 6" xfId="10050"/>
    <cellStyle name="Normal 2 2 2 2 2 2 2 2 5 2 2 6 2" xfId="10051"/>
    <cellStyle name="Normal 2 2 2 2 2 2 2 2 5 2 2 7" xfId="10052"/>
    <cellStyle name="Normal 2 2 2 2 2 2 2 2 5 2 2 7 2" xfId="10053"/>
    <cellStyle name="Normal 2 2 2 2 2 2 2 2 5 2 2 8" xfId="10054"/>
    <cellStyle name="Normal 2 2 2 2 2 2 2 2 5 2 2 8 2" xfId="10055"/>
    <cellStyle name="Normal 2 2 2 2 2 2 2 2 5 2 2 9" xfId="10056"/>
    <cellStyle name="Normal 2 2 2 2 2 2 2 2 5 2 2 9 2" xfId="10057"/>
    <cellStyle name="Normal 2 2 2 2 2 2 2 2 5 2 3" xfId="10058"/>
    <cellStyle name="Normal 2 2 2 2 2 2 2 2 5 2 3 2" xfId="10059"/>
    <cellStyle name="Normal 2 2 2 2 2 2 2 2 5 2 4" xfId="10060"/>
    <cellStyle name="Normal 2 2 2 2 2 2 2 2 5 2 4 2" xfId="10061"/>
    <cellStyle name="Normal 2 2 2 2 2 2 2 2 5 2 5" xfId="10062"/>
    <cellStyle name="Normal 2 2 2 2 2 2 2 2 5 2 5 2" xfId="10063"/>
    <cellStyle name="Normal 2 2 2 2 2 2 2 2 5 2 6" xfId="10064"/>
    <cellStyle name="Normal 2 2 2 2 2 2 2 2 5 2 6 2" xfId="10065"/>
    <cellStyle name="Normal 2 2 2 2 2 2 2 2 5 2 7" xfId="10066"/>
    <cellStyle name="Normal 2 2 2 2 2 2 2 2 5 2 7 2" xfId="10067"/>
    <cellStyle name="Normal 2 2 2 2 2 2 2 2 5 2 8" xfId="10068"/>
    <cellStyle name="Normal 2 2 2 2 2 2 2 2 5 2 8 2" xfId="10069"/>
    <cellStyle name="Normal 2 2 2 2 2 2 2 2 5 2 9" xfId="10070"/>
    <cellStyle name="Normal 2 2 2 2 2 2 2 2 5 2 9 2" xfId="10071"/>
    <cellStyle name="Normal 2 2 2 2 2 2 2 2 5 3" xfId="10072"/>
    <cellStyle name="Normal 2 2 2 2 2 2 2 2 5 3 10" xfId="10073"/>
    <cellStyle name="Normal 2 2 2 2 2 2 2 2 5 3 10 2" xfId="10074"/>
    <cellStyle name="Normal 2 2 2 2 2 2 2 2 5 3 11" xfId="10075"/>
    <cellStyle name="Normal 2 2 2 2 2 2 2 2 5 3 2" xfId="10076"/>
    <cellStyle name="Normal 2 2 2 2 2 2 2 2 5 3 2 2" xfId="10077"/>
    <cellStyle name="Normal 2 2 2 2 2 2 2 2 5 3 3" xfId="10078"/>
    <cellStyle name="Normal 2 2 2 2 2 2 2 2 5 3 3 2" xfId="10079"/>
    <cellStyle name="Normal 2 2 2 2 2 2 2 2 5 3 4" xfId="10080"/>
    <cellStyle name="Normal 2 2 2 2 2 2 2 2 5 3 4 2" xfId="10081"/>
    <cellStyle name="Normal 2 2 2 2 2 2 2 2 5 3 5" xfId="10082"/>
    <cellStyle name="Normal 2 2 2 2 2 2 2 2 5 3 5 2" xfId="10083"/>
    <cellStyle name="Normal 2 2 2 2 2 2 2 2 5 3 6" xfId="10084"/>
    <cellStyle name="Normal 2 2 2 2 2 2 2 2 5 3 6 2" xfId="10085"/>
    <cellStyle name="Normal 2 2 2 2 2 2 2 2 5 3 7" xfId="10086"/>
    <cellStyle name="Normal 2 2 2 2 2 2 2 2 5 3 7 2" xfId="10087"/>
    <cellStyle name="Normal 2 2 2 2 2 2 2 2 5 3 8" xfId="10088"/>
    <cellStyle name="Normal 2 2 2 2 2 2 2 2 5 3 8 2" xfId="10089"/>
    <cellStyle name="Normal 2 2 2 2 2 2 2 2 5 3 9" xfId="10090"/>
    <cellStyle name="Normal 2 2 2 2 2 2 2 2 5 3 9 2" xfId="10091"/>
    <cellStyle name="Normal 2 2 2 2 2 2 2 2 5 4" xfId="10092"/>
    <cellStyle name="Normal 2 2 2 2 2 2 2 2 5 4 2" xfId="10093"/>
    <cellStyle name="Normal 2 2 2 2 2 2 2 2 5 5" xfId="10094"/>
    <cellStyle name="Normal 2 2 2 2 2 2 2 2 5 5 2" xfId="10095"/>
    <cellStyle name="Normal 2 2 2 2 2 2 2 2 5 6" xfId="10096"/>
    <cellStyle name="Normal 2 2 2 2 2 2 2 2 5 6 2" xfId="10097"/>
    <cellStyle name="Normal 2 2 2 2 2 2 2 2 5 7" xfId="10098"/>
    <cellStyle name="Normal 2 2 2 2 2 2 2 2 5 7 2" xfId="10099"/>
    <cellStyle name="Normal 2 2 2 2 2 2 2 2 5 8" xfId="10100"/>
    <cellStyle name="Normal 2 2 2 2 2 2 2 2 5 8 2" xfId="10101"/>
    <cellStyle name="Normal 2 2 2 2 2 2 2 2 5 9" xfId="10102"/>
    <cellStyle name="Normal 2 2 2 2 2 2 2 2 5 9 2" xfId="10103"/>
    <cellStyle name="Normal 2 2 2 2 2 2 2 2 6" xfId="10104"/>
    <cellStyle name="Normal 2 2 2 2 2 2 2 3" xfId="10105"/>
    <cellStyle name="Normal 2 2 2 2 2 2 2 3 2" xfId="10106"/>
    <cellStyle name="Normal 2 2 2 2 2 2 2 4" xfId="10107"/>
    <cellStyle name="Normal 2 2 2 2 2 2 2 4 2" xfId="10108"/>
    <cellStyle name="Normal 2 2 2 2 2 2 2 5" xfId="10109"/>
    <cellStyle name="Normal 2 2 2 2 2 2 2 5 2" xfId="10110"/>
    <cellStyle name="Normal 2 2 2 2 2 2 2 6" xfId="10111"/>
    <cellStyle name="Normal 2 2 2 2 2 2 2 6 2" xfId="10112"/>
    <cellStyle name="Normal 2 2 2 2 2 2 2 7" xfId="10113"/>
    <cellStyle name="Normal 2 2 2 2 2 2 2 7 10" xfId="10114"/>
    <cellStyle name="Normal 2 2 2 2 2 2 2 7 10 2" xfId="10115"/>
    <cellStyle name="Normal 2 2 2 2 2 2 2 7 11" xfId="10116"/>
    <cellStyle name="Normal 2 2 2 2 2 2 2 7 11 2" xfId="10117"/>
    <cellStyle name="Normal 2 2 2 2 2 2 2 7 12" xfId="10118"/>
    <cellStyle name="Normal 2 2 2 2 2 2 2 7 2" xfId="10119"/>
    <cellStyle name="Normal 2 2 2 2 2 2 2 7 2 10" xfId="10120"/>
    <cellStyle name="Normal 2 2 2 2 2 2 2 7 2 10 2" xfId="10121"/>
    <cellStyle name="Normal 2 2 2 2 2 2 2 7 2 11" xfId="10122"/>
    <cellStyle name="Normal 2 2 2 2 2 2 2 7 2 2" xfId="10123"/>
    <cellStyle name="Normal 2 2 2 2 2 2 2 7 2 2 2" xfId="10124"/>
    <cellStyle name="Normal 2 2 2 2 2 2 2 7 2 3" xfId="10125"/>
    <cellStyle name="Normal 2 2 2 2 2 2 2 7 2 3 2" xfId="10126"/>
    <cellStyle name="Normal 2 2 2 2 2 2 2 7 2 4" xfId="10127"/>
    <cellStyle name="Normal 2 2 2 2 2 2 2 7 2 4 2" xfId="10128"/>
    <cellStyle name="Normal 2 2 2 2 2 2 2 7 2 5" xfId="10129"/>
    <cellStyle name="Normal 2 2 2 2 2 2 2 7 2 5 2" xfId="10130"/>
    <cellStyle name="Normal 2 2 2 2 2 2 2 7 2 6" xfId="10131"/>
    <cellStyle name="Normal 2 2 2 2 2 2 2 7 2 6 2" xfId="10132"/>
    <cellStyle name="Normal 2 2 2 2 2 2 2 7 2 7" xfId="10133"/>
    <cellStyle name="Normal 2 2 2 2 2 2 2 7 2 7 2" xfId="10134"/>
    <cellStyle name="Normal 2 2 2 2 2 2 2 7 2 8" xfId="10135"/>
    <cellStyle name="Normal 2 2 2 2 2 2 2 7 2 8 2" xfId="10136"/>
    <cellStyle name="Normal 2 2 2 2 2 2 2 7 2 9" xfId="10137"/>
    <cellStyle name="Normal 2 2 2 2 2 2 2 7 2 9 2" xfId="10138"/>
    <cellStyle name="Normal 2 2 2 2 2 2 2 7 3" xfId="10139"/>
    <cellStyle name="Normal 2 2 2 2 2 2 2 7 3 2" xfId="10140"/>
    <cellStyle name="Normal 2 2 2 2 2 2 2 7 4" xfId="10141"/>
    <cellStyle name="Normal 2 2 2 2 2 2 2 7 4 2" xfId="10142"/>
    <cellStyle name="Normal 2 2 2 2 2 2 2 7 5" xfId="10143"/>
    <cellStyle name="Normal 2 2 2 2 2 2 2 7 5 2" xfId="10144"/>
    <cellStyle name="Normal 2 2 2 2 2 2 2 7 6" xfId="10145"/>
    <cellStyle name="Normal 2 2 2 2 2 2 2 7 6 2" xfId="10146"/>
    <cellStyle name="Normal 2 2 2 2 2 2 2 7 7" xfId="10147"/>
    <cellStyle name="Normal 2 2 2 2 2 2 2 7 7 2" xfId="10148"/>
    <cellStyle name="Normal 2 2 2 2 2 2 2 7 8" xfId="10149"/>
    <cellStyle name="Normal 2 2 2 2 2 2 2 7 8 2" xfId="10150"/>
    <cellStyle name="Normal 2 2 2 2 2 2 2 7 9" xfId="10151"/>
    <cellStyle name="Normal 2 2 2 2 2 2 2 7 9 2" xfId="10152"/>
    <cellStyle name="Normal 2 2 2 2 2 2 2 8" xfId="10153"/>
    <cellStyle name="Normal 2 2 2 2 2 2 2 8 10" xfId="10154"/>
    <cellStyle name="Normal 2 2 2 2 2 2 2 8 10 2" xfId="10155"/>
    <cellStyle name="Normal 2 2 2 2 2 2 2 8 11" xfId="10156"/>
    <cellStyle name="Normal 2 2 2 2 2 2 2 8 2" xfId="10157"/>
    <cellStyle name="Normal 2 2 2 2 2 2 2 8 2 2" xfId="10158"/>
    <cellStyle name="Normal 2 2 2 2 2 2 2 8 3" xfId="10159"/>
    <cellStyle name="Normal 2 2 2 2 2 2 2 8 3 2" xfId="10160"/>
    <cellStyle name="Normal 2 2 2 2 2 2 2 8 4" xfId="10161"/>
    <cellStyle name="Normal 2 2 2 2 2 2 2 8 4 2" xfId="10162"/>
    <cellStyle name="Normal 2 2 2 2 2 2 2 8 5" xfId="10163"/>
    <cellStyle name="Normal 2 2 2 2 2 2 2 8 5 2" xfId="10164"/>
    <cellStyle name="Normal 2 2 2 2 2 2 2 8 6" xfId="10165"/>
    <cellStyle name="Normal 2 2 2 2 2 2 2 8 6 2" xfId="10166"/>
    <cellStyle name="Normal 2 2 2 2 2 2 2 8 7" xfId="10167"/>
    <cellStyle name="Normal 2 2 2 2 2 2 2 8 7 2" xfId="10168"/>
    <cellStyle name="Normal 2 2 2 2 2 2 2 8 8" xfId="10169"/>
    <cellStyle name="Normal 2 2 2 2 2 2 2 8 8 2" xfId="10170"/>
    <cellStyle name="Normal 2 2 2 2 2 2 2 8 9" xfId="10171"/>
    <cellStyle name="Normal 2 2 2 2 2 2 2 8 9 2" xfId="10172"/>
    <cellStyle name="Normal 2 2 2 2 2 2 2 9" xfId="10173"/>
    <cellStyle name="Normal 2 2 2 2 2 2 2 9 2" xfId="10174"/>
    <cellStyle name="Normal 2 2 2 2 2 2 3" xfId="10175"/>
    <cellStyle name="Normal 2 2 2 2 2 2 3 2" xfId="10176"/>
    <cellStyle name="Normal 2 2 2 2 2 2 4" xfId="10177"/>
    <cellStyle name="Normal 2 2 2 2 2 2 4 2" xfId="10178"/>
    <cellStyle name="Normal 2 2 2 2 2 2 5" xfId="10179"/>
    <cellStyle name="Normal 2 2 2 2 2 2 5 2" xfId="10180"/>
    <cellStyle name="Normal 2 2 2 2 2 2 6" xfId="10181"/>
    <cellStyle name="Normal 2 2 2 2 2 2 6 10" xfId="10182"/>
    <cellStyle name="Normal 2 2 2 2 2 2 6 10 2" xfId="10183"/>
    <cellStyle name="Normal 2 2 2 2 2 2 6 11" xfId="10184"/>
    <cellStyle name="Normal 2 2 2 2 2 2 6 11 2" xfId="10185"/>
    <cellStyle name="Normal 2 2 2 2 2 2 6 12" xfId="10186"/>
    <cellStyle name="Normal 2 2 2 2 2 2 6 12 2" xfId="10187"/>
    <cellStyle name="Normal 2 2 2 2 2 2 6 13" xfId="10188"/>
    <cellStyle name="Normal 2 2 2 2 2 2 6 13 2" xfId="10189"/>
    <cellStyle name="Normal 2 2 2 2 2 2 6 14" xfId="10190"/>
    <cellStyle name="Normal 2 2 2 2 2 2 6 14 2" xfId="10191"/>
    <cellStyle name="Normal 2 2 2 2 2 2 6 15" xfId="10192"/>
    <cellStyle name="Normal 2 2 2 2 2 2 6 15 2" xfId="10193"/>
    <cellStyle name="Normal 2 2 2 2 2 2 6 16" xfId="10194"/>
    <cellStyle name="Normal 2 2 2 2 2 2 6 16 2" xfId="10195"/>
    <cellStyle name="Normal 2 2 2 2 2 2 6 17" xfId="10196"/>
    <cellStyle name="Normal 2 2 2 2 2 2 6 2" xfId="10197"/>
    <cellStyle name="Normal 2 2 2 2 2 2 6 2 2" xfId="10198"/>
    <cellStyle name="Normal 2 2 2 2 2 2 6 3" xfId="10199"/>
    <cellStyle name="Normal 2 2 2 2 2 2 6 3 2" xfId="10200"/>
    <cellStyle name="Normal 2 2 2 2 2 2 6 4" xfId="10201"/>
    <cellStyle name="Normal 2 2 2 2 2 2 6 4 2" xfId="10202"/>
    <cellStyle name="Normal 2 2 2 2 2 2 6 5" xfId="10203"/>
    <cellStyle name="Normal 2 2 2 2 2 2 6 5 2" xfId="10204"/>
    <cellStyle name="Normal 2 2 2 2 2 2 6 6" xfId="10205"/>
    <cellStyle name="Normal 2 2 2 2 2 2 6 6 10" xfId="10206"/>
    <cellStyle name="Normal 2 2 2 2 2 2 6 6 10 2" xfId="10207"/>
    <cellStyle name="Normal 2 2 2 2 2 2 6 6 11" xfId="10208"/>
    <cellStyle name="Normal 2 2 2 2 2 2 6 6 11 2" xfId="10209"/>
    <cellStyle name="Normal 2 2 2 2 2 2 6 6 12" xfId="10210"/>
    <cellStyle name="Normal 2 2 2 2 2 2 6 6 2" xfId="10211"/>
    <cellStyle name="Normal 2 2 2 2 2 2 6 6 2 10" xfId="10212"/>
    <cellStyle name="Normal 2 2 2 2 2 2 6 6 2 10 2" xfId="10213"/>
    <cellStyle name="Normal 2 2 2 2 2 2 6 6 2 11" xfId="10214"/>
    <cellStyle name="Normal 2 2 2 2 2 2 6 6 2 2" xfId="10215"/>
    <cellStyle name="Normal 2 2 2 2 2 2 6 6 2 2 2" xfId="10216"/>
    <cellStyle name="Normal 2 2 2 2 2 2 6 6 2 3" xfId="10217"/>
    <cellStyle name="Normal 2 2 2 2 2 2 6 6 2 3 2" xfId="10218"/>
    <cellStyle name="Normal 2 2 2 2 2 2 6 6 2 4" xfId="10219"/>
    <cellStyle name="Normal 2 2 2 2 2 2 6 6 2 4 2" xfId="10220"/>
    <cellStyle name="Normal 2 2 2 2 2 2 6 6 2 5" xfId="10221"/>
    <cellStyle name="Normal 2 2 2 2 2 2 6 6 2 5 2" xfId="10222"/>
    <cellStyle name="Normal 2 2 2 2 2 2 6 6 2 6" xfId="10223"/>
    <cellStyle name="Normal 2 2 2 2 2 2 6 6 2 6 2" xfId="10224"/>
    <cellStyle name="Normal 2 2 2 2 2 2 6 6 2 7" xfId="10225"/>
    <cellStyle name="Normal 2 2 2 2 2 2 6 6 2 7 2" xfId="10226"/>
    <cellStyle name="Normal 2 2 2 2 2 2 6 6 2 8" xfId="10227"/>
    <cellStyle name="Normal 2 2 2 2 2 2 6 6 2 8 2" xfId="10228"/>
    <cellStyle name="Normal 2 2 2 2 2 2 6 6 2 9" xfId="10229"/>
    <cellStyle name="Normal 2 2 2 2 2 2 6 6 2 9 2" xfId="10230"/>
    <cellStyle name="Normal 2 2 2 2 2 2 6 6 3" xfId="10231"/>
    <cellStyle name="Normal 2 2 2 2 2 2 6 6 3 2" xfId="10232"/>
    <cellStyle name="Normal 2 2 2 2 2 2 6 6 4" xfId="10233"/>
    <cellStyle name="Normal 2 2 2 2 2 2 6 6 4 2" xfId="10234"/>
    <cellStyle name="Normal 2 2 2 2 2 2 6 6 5" xfId="10235"/>
    <cellStyle name="Normal 2 2 2 2 2 2 6 6 5 2" xfId="10236"/>
    <cellStyle name="Normal 2 2 2 2 2 2 6 6 6" xfId="10237"/>
    <cellStyle name="Normal 2 2 2 2 2 2 6 6 6 2" xfId="10238"/>
    <cellStyle name="Normal 2 2 2 2 2 2 6 6 7" xfId="10239"/>
    <cellStyle name="Normal 2 2 2 2 2 2 6 6 7 2" xfId="10240"/>
    <cellStyle name="Normal 2 2 2 2 2 2 6 6 8" xfId="10241"/>
    <cellStyle name="Normal 2 2 2 2 2 2 6 6 8 2" xfId="10242"/>
    <cellStyle name="Normal 2 2 2 2 2 2 6 6 9" xfId="10243"/>
    <cellStyle name="Normal 2 2 2 2 2 2 6 6 9 2" xfId="10244"/>
    <cellStyle name="Normal 2 2 2 2 2 2 6 7" xfId="10245"/>
    <cellStyle name="Normal 2 2 2 2 2 2 6 7 10" xfId="10246"/>
    <cellStyle name="Normal 2 2 2 2 2 2 6 7 10 2" xfId="10247"/>
    <cellStyle name="Normal 2 2 2 2 2 2 6 7 11" xfId="10248"/>
    <cellStyle name="Normal 2 2 2 2 2 2 6 7 2" xfId="10249"/>
    <cellStyle name="Normal 2 2 2 2 2 2 6 7 2 2" xfId="10250"/>
    <cellStyle name="Normal 2 2 2 2 2 2 6 7 3" xfId="10251"/>
    <cellStyle name="Normal 2 2 2 2 2 2 6 7 3 2" xfId="10252"/>
    <cellStyle name="Normal 2 2 2 2 2 2 6 7 4" xfId="10253"/>
    <cellStyle name="Normal 2 2 2 2 2 2 6 7 4 2" xfId="10254"/>
    <cellStyle name="Normal 2 2 2 2 2 2 6 7 5" xfId="10255"/>
    <cellStyle name="Normal 2 2 2 2 2 2 6 7 5 2" xfId="10256"/>
    <cellStyle name="Normal 2 2 2 2 2 2 6 7 6" xfId="10257"/>
    <cellStyle name="Normal 2 2 2 2 2 2 6 7 6 2" xfId="10258"/>
    <cellStyle name="Normal 2 2 2 2 2 2 6 7 7" xfId="10259"/>
    <cellStyle name="Normal 2 2 2 2 2 2 6 7 7 2" xfId="10260"/>
    <cellStyle name="Normal 2 2 2 2 2 2 6 7 8" xfId="10261"/>
    <cellStyle name="Normal 2 2 2 2 2 2 6 7 8 2" xfId="10262"/>
    <cellStyle name="Normal 2 2 2 2 2 2 6 7 9" xfId="10263"/>
    <cellStyle name="Normal 2 2 2 2 2 2 6 7 9 2" xfId="10264"/>
    <cellStyle name="Normal 2 2 2 2 2 2 6 8" xfId="10265"/>
    <cellStyle name="Normal 2 2 2 2 2 2 6 8 2" xfId="10266"/>
    <cellStyle name="Normal 2 2 2 2 2 2 6 9" xfId="10267"/>
    <cellStyle name="Normal 2 2 2 2 2 2 6 9 2" xfId="10268"/>
    <cellStyle name="Normal 2 2 2 2 2 2 7" xfId="10269"/>
    <cellStyle name="Normal 2 2 2 2 2 2 7 10" xfId="10270"/>
    <cellStyle name="Normal 2 2 2 2 2 2 7 10 2" xfId="10271"/>
    <cellStyle name="Normal 2 2 2 2 2 2 7 11" xfId="10272"/>
    <cellStyle name="Normal 2 2 2 2 2 2 7 11 2" xfId="10273"/>
    <cellStyle name="Normal 2 2 2 2 2 2 7 12" xfId="10274"/>
    <cellStyle name="Normal 2 2 2 2 2 2 7 12 2" xfId="10275"/>
    <cellStyle name="Normal 2 2 2 2 2 2 7 13" xfId="10276"/>
    <cellStyle name="Normal 2 2 2 2 2 2 7 2" xfId="10277"/>
    <cellStyle name="Normal 2 2 2 2 2 2 7 2 10" xfId="10278"/>
    <cellStyle name="Normal 2 2 2 2 2 2 7 2 10 2" xfId="10279"/>
    <cellStyle name="Normal 2 2 2 2 2 2 7 2 11" xfId="10280"/>
    <cellStyle name="Normal 2 2 2 2 2 2 7 2 11 2" xfId="10281"/>
    <cellStyle name="Normal 2 2 2 2 2 2 7 2 12" xfId="10282"/>
    <cellStyle name="Normal 2 2 2 2 2 2 7 2 2" xfId="10283"/>
    <cellStyle name="Normal 2 2 2 2 2 2 7 2 2 10" xfId="10284"/>
    <cellStyle name="Normal 2 2 2 2 2 2 7 2 2 10 2" xfId="10285"/>
    <cellStyle name="Normal 2 2 2 2 2 2 7 2 2 11" xfId="10286"/>
    <cellStyle name="Normal 2 2 2 2 2 2 7 2 2 2" xfId="10287"/>
    <cellStyle name="Normal 2 2 2 2 2 2 7 2 2 2 2" xfId="10288"/>
    <cellStyle name="Normal 2 2 2 2 2 2 7 2 2 3" xfId="10289"/>
    <cellStyle name="Normal 2 2 2 2 2 2 7 2 2 3 2" xfId="10290"/>
    <cellStyle name="Normal 2 2 2 2 2 2 7 2 2 4" xfId="10291"/>
    <cellStyle name="Normal 2 2 2 2 2 2 7 2 2 4 2" xfId="10292"/>
    <cellStyle name="Normal 2 2 2 2 2 2 7 2 2 5" xfId="10293"/>
    <cellStyle name="Normal 2 2 2 2 2 2 7 2 2 5 2" xfId="10294"/>
    <cellStyle name="Normal 2 2 2 2 2 2 7 2 2 6" xfId="10295"/>
    <cellStyle name="Normal 2 2 2 2 2 2 7 2 2 6 2" xfId="10296"/>
    <cellStyle name="Normal 2 2 2 2 2 2 7 2 2 7" xfId="10297"/>
    <cellStyle name="Normal 2 2 2 2 2 2 7 2 2 7 2" xfId="10298"/>
    <cellStyle name="Normal 2 2 2 2 2 2 7 2 2 8" xfId="10299"/>
    <cellStyle name="Normal 2 2 2 2 2 2 7 2 2 8 2" xfId="10300"/>
    <cellStyle name="Normal 2 2 2 2 2 2 7 2 2 9" xfId="10301"/>
    <cellStyle name="Normal 2 2 2 2 2 2 7 2 2 9 2" xfId="10302"/>
    <cellStyle name="Normal 2 2 2 2 2 2 7 2 3" xfId="10303"/>
    <cellStyle name="Normal 2 2 2 2 2 2 7 2 3 2" xfId="10304"/>
    <cellStyle name="Normal 2 2 2 2 2 2 7 2 4" xfId="10305"/>
    <cellStyle name="Normal 2 2 2 2 2 2 7 2 4 2" xfId="10306"/>
    <cellStyle name="Normal 2 2 2 2 2 2 7 2 5" xfId="10307"/>
    <cellStyle name="Normal 2 2 2 2 2 2 7 2 5 2" xfId="10308"/>
    <cellStyle name="Normal 2 2 2 2 2 2 7 2 6" xfId="10309"/>
    <cellStyle name="Normal 2 2 2 2 2 2 7 2 6 2" xfId="10310"/>
    <cellStyle name="Normal 2 2 2 2 2 2 7 2 7" xfId="10311"/>
    <cellStyle name="Normal 2 2 2 2 2 2 7 2 7 2" xfId="10312"/>
    <cellStyle name="Normal 2 2 2 2 2 2 7 2 8" xfId="10313"/>
    <cellStyle name="Normal 2 2 2 2 2 2 7 2 8 2" xfId="10314"/>
    <cellStyle name="Normal 2 2 2 2 2 2 7 2 9" xfId="10315"/>
    <cellStyle name="Normal 2 2 2 2 2 2 7 2 9 2" xfId="10316"/>
    <cellStyle name="Normal 2 2 2 2 2 2 7 3" xfId="10317"/>
    <cellStyle name="Normal 2 2 2 2 2 2 7 3 10" xfId="10318"/>
    <cellStyle name="Normal 2 2 2 2 2 2 7 3 10 2" xfId="10319"/>
    <cellStyle name="Normal 2 2 2 2 2 2 7 3 11" xfId="10320"/>
    <cellStyle name="Normal 2 2 2 2 2 2 7 3 2" xfId="10321"/>
    <cellStyle name="Normal 2 2 2 2 2 2 7 3 2 2" xfId="10322"/>
    <cellStyle name="Normal 2 2 2 2 2 2 7 3 3" xfId="10323"/>
    <cellStyle name="Normal 2 2 2 2 2 2 7 3 3 2" xfId="10324"/>
    <cellStyle name="Normal 2 2 2 2 2 2 7 3 4" xfId="10325"/>
    <cellStyle name="Normal 2 2 2 2 2 2 7 3 4 2" xfId="10326"/>
    <cellStyle name="Normal 2 2 2 2 2 2 7 3 5" xfId="10327"/>
    <cellStyle name="Normal 2 2 2 2 2 2 7 3 5 2" xfId="10328"/>
    <cellStyle name="Normal 2 2 2 2 2 2 7 3 6" xfId="10329"/>
    <cellStyle name="Normal 2 2 2 2 2 2 7 3 6 2" xfId="10330"/>
    <cellStyle name="Normal 2 2 2 2 2 2 7 3 7" xfId="10331"/>
    <cellStyle name="Normal 2 2 2 2 2 2 7 3 7 2" xfId="10332"/>
    <cellStyle name="Normal 2 2 2 2 2 2 7 3 8" xfId="10333"/>
    <cellStyle name="Normal 2 2 2 2 2 2 7 3 8 2" xfId="10334"/>
    <cellStyle name="Normal 2 2 2 2 2 2 7 3 9" xfId="10335"/>
    <cellStyle name="Normal 2 2 2 2 2 2 7 3 9 2" xfId="10336"/>
    <cellStyle name="Normal 2 2 2 2 2 2 7 4" xfId="10337"/>
    <cellStyle name="Normal 2 2 2 2 2 2 7 4 2" xfId="10338"/>
    <cellStyle name="Normal 2 2 2 2 2 2 7 5" xfId="10339"/>
    <cellStyle name="Normal 2 2 2 2 2 2 7 5 2" xfId="10340"/>
    <cellStyle name="Normal 2 2 2 2 2 2 7 6" xfId="10341"/>
    <cellStyle name="Normal 2 2 2 2 2 2 7 6 2" xfId="10342"/>
    <cellStyle name="Normal 2 2 2 2 2 2 7 7" xfId="10343"/>
    <cellStyle name="Normal 2 2 2 2 2 2 7 7 2" xfId="10344"/>
    <cellStyle name="Normal 2 2 2 2 2 2 7 8" xfId="10345"/>
    <cellStyle name="Normal 2 2 2 2 2 2 7 8 2" xfId="10346"/>
    <cellStyle name="Normal 2 2 2 2 2 2 7 9" xfId="10347"/>
    <cellStyle name="Normal 2 2 2 2 2 2 7 9 2" xfId="10348"/>
    <cellStyle name="Normal 2 2 2 2 2 2 8" xfId="10349"/>
    <cellStyle name="Normal 2 2 2 2 2 2 8 10" xfId="10350"/>
    <cellStyle name="Normal 2 2 2 2 2 2 8 10 2" xfId="10351"/>
    <cellStyle name="Normal 2 2 2 2 2 2 8 11" xfId="10352"/>
    <cellStyle name="Normal 2 2 2 2 2 2 8 11 2" xfId="10353"/>
    <cellStyle name="Normal 2 2 2 2 2 2 8 12" xfId="10354"/>
    <cellStyle name="Normal 2 2 2 2 2 2 8 12 2" xfId="10355"/>
    <cellStyle name="Normal 2 2 2 2 2 2 8 13" xfId="10356"/>
    <cellStyle name="Normal 2 2 2 2 2 2 8 2" xfId="10357"/>
    <cellStyle name="Normal 2 2 2 2 2 2 8 2 10" xfId="10358"/>
    <cellStyle name="Normal 2 2 2 2 2 2 8 2 10 2" xfId="10359"/>
    <cellStyle name="Normal 2 2 2 2 2 2 8 2 11" xfId="10360"/>
    <cellStyle name="Normal 2 2 2 2 2 2 8 2 11 2" xfId="10361"/>
    <cellStyle name="Normal 2 2 2 2 2 2 8 2 12" xfId="10362"/>
    <cellStyle name="Normal 2 2 2 2 2 2 8 2 2" xfId="10363"/>
    <cellStyle name="Normal 2 2 2 2 2 2 8 2 2 10" xfId="10364"/>
    <cellStyle name="Normal 2 2 2 2 2 2 8 2 2 10 2" xfId="10365"/>
    <cellStyle name="Normal 2 2 2 2 2 2 8 2 2 11" xfId="10366"/>
    <cellStyle name="Normal 2 2 2 2 2 2 8 2 2 2" xfId="10367"/>
    <cellStyle name="Normal 2 2 2 2 2 2 8 2 2 2 2" xfId="10368"/>
    <cellStyle name="Normal 2 2 2 2 2 2 8 2 2 3" xfId="10369"/>
    <cellStyle name="Normal 2 2 2 2 2 2 8 2 2 3 2" xfId="10370"/>
    <cellStyle name="Normal 2 2 2 2 2 2 8 2 2 4" xfId="10371"/>
    <cellStyle name="Normal 2 2 2 2 2 2 8 2 2 4 2" xfId="10372"/>
    <cellStyle name="Normal 2 2 2 2 2 2 8 2 2 5" xfId="10373"/>
    <cellStyle name="Normal 2 2 2 2 2 2 8 2 2 5 2" xfId="10374"/>
    <cellStyle name="Normal 2 2 2 2 2 2 8 2 2 6" xfId="10375"/>
    <cellStyle name="Normal 2 2 2 2 2 2 8 2 2 6 2" xfId="10376"/>
    <cellStyle name="Normal 2 2 2 2 2 2 8 2 2 7" xfId="10377"/>
    <cellStyle name="Normal 2 2 2 2 2 2 8 2 2 7 2" xfId="10378"/>
    <cellStyle name="Normal 2 2 2 2 2 2 8 2 2 8" xfId="10379"/>
    <cellStyle name="Normal 2 2 2 2 2 2 8 2 2 8 2" xfId="10380"/>
    <cellStyle name="Normal 2 2 2 2 2 2 8 2 2 9" xfId="10381"/>
    <cellStyle name="Normal 2 2 2 2 2 2 8 2 2 9 2" xfId="10382"/>
    <cellStyle name="Normal 2 2 2 2 2 2 8 2 3" xfId="10383"/>
    <cellStyle name="Normal 2 2 2 2 2 2 8 2 3 2" xfId="10384"/>
    <cellStyle name="Normal 2 2 2 2 2 2 8 2 4" xfId="10385"/>
    <cellStyle name="Normal 2 2 2 2 2 2 8 2 4 2" xfId="10386"/>
    <cellStyle name="Normal 2 2 2 2 2 2 8 2 5" xfId="10387"/>
    <cellStyle name="Normal 2 2 2 2 2 2 8 2 5 2" xfId="10388"/>
    <cellStyle name="Normal 2 2 2 2 2 2 8 2 6" xfId="10389"/>
    <cellStyle name="Normal 2 2 2 2 2 2 8 2 6 2" xfId="10390"/>
    <cellStyle name="Normal 2 2 2 2 2 2 8 2 7" xfId="10391"/>
    <cellStyle name="Normal 2 2 2 2 2 2 8 2 7 2" xfId="10392"/>
    <cellStyle name="Normal 2 2 2 2 2 2 8 2 8" xfId="10393"/>
    <cellStyle name="Normal 2 2 2 2 2 2 8 2 8 2" xfId="10394"/>
    <cellStyle name="Normal 2 2 2 2 2 2 8 2 9" xfId="10395"/>
    <cellStyle name="Normal 2 2 2 2 2 2 8 2 9 2" xfId="10396"/>
    <cellStyle name="Normal 2 2 2 2 2 2 8 3" xfId="10397"/>
    <cellStyle name="Normal 2 2 2 2 2 2 8 3 10" xfId="10398"/>
    <cellStyle name="Normal 2 2 2 2 2 2 8 3 10 2" xfId="10399"/>
    <cellStyle name="Normal 2 2 2 2 2 2 8 3 11" xfId="10400"/>
    <cellStyle name="Normal 2 2 2 2 2 2 8 3 2" xfId="10401"/>
    <cellStyle name="Normal 2 2 2 2 2 2 8 3 2 2" xfId="10402"/>
    <cellStyle name="Normal 2 2 2 2 2 2 8 3 3" xfId="10403"/>
    <cellStyle name="Normal 2 2 2 2 2 2 8 3 3 2" xfId="10404"/>
    <cellStyle name="Normal 2 2 2 2 2 2 8 3 4" xfId="10405"/>
    <cellStyle name="Normal 2 2 2 2 2 2 8 3 4 2" xfId="10406"/>
    <cellStyle name="Normal 2 2 2 2 2 2 8 3 5" xfId="10407"/>
    <cellStyle name="Normal 2 2 2 2 2 2 8 3 5 2" xfId="10408"/>
    <cellStyle name="Normal 2 2 2 2 2 2 8 3 6" xfId="10409"/>
    <cellStyle name="Normal 2 2 2 2 2 2 8 3 6 2" xfId="10410"/>
    <cellStyle name="Normal 2 2 2 2 2 2 8 3 7" xfId="10411"/>
    <cellStyle name="Normal 2 2 2 2 2 2 8 3 7 2" xfId="10412"/>
    <cellStyle name="Normal 2 2 2 2 2 2 8 3 8" xfId="10413"/>
    <cellStyle name="Normal 2 2 2 2 2 2 8 3 8 2" xfId="10414"/>
    <cellStyle name="Normal 2 2 2 2 2 2 8 3 9" xfId="10415"/>
    <cellStyle name="Normal 2 2 2 2 2 2 8 3 9 2" xfId="10416"/>
    <cellStyle name="Normal 2 2 2 2 2 2 8 4" xfId="10417"/>
    <cellStyle name="Normal 2 2 2 2 2 2 8 4 2" xfId="10418"/>
    <cellStyle name="Normal 2 2 2 2 2 2 8 5" xfId="10419"/>
    <cellStyle name="Normal 2 2 2 2 2 2 8 5 2" xfId="10420"/>
    <cellStyle name="Normal 2 2 2 2 2 2 8 6" xfId="10421"/>
    <cellStyle name="Normal 2 2 2 2 2 2 8 6 2" xfId="10422"/>
    <cellStyle name="Normal 2 2 2 2 2 2 8 7" xfId="10423"/>
    <cellStyle name="Normal 2 2 2 2 2 2 8 7 2" xfId="10424"/>
    <cellStyle name="Normal 2 2 2 2 2 2 8 8" xfId="10425"/>
    <cellStyle name="Normal 2 2 2 2 2 2 8 8 2" xfId="10426"/>
    <cellStyle name="Normal 2 2 2 2 2 2 8 9" xfId="10427"/>
    <cellStyle name="Normal 2 2 2 2 2 2 8 9 2" xfId="10428"/>
    <cellStyle name="Normal 2 2 2 2 2 2 9" xfId="10429"/>
    <cellStyle name="Normal 2 2 2 2 2 2 9 10" xfId="10430"/>
    <cellStyle name="Normal 2 2 2 2 2 2 9 10 2" xfId="10431"/>
    <cellStyle name="Normal 2 2 2 2 2 2 9 11" xfId="10432"/>
    <cellStyle name="Normal 2 2 2 2 2 2 9 11 2" xfId="10433"/>
    <cellStyle name="Normal 2 2 2 2 2 2 9 12" xfId="10434"/>
    <cellStyle name="Normal 2 2 2 2 2 2 9 12 2" xfId="10435"/>
    <cellStyle name="Normal 2 2 2 2 2 2 9 13" xfId="10436"/>
    <cellStyle name="Normal 2 2 2 2 2 2 9 2" xfId="10437"/>
    <cellStyle name="Normal 2 2 2 2 2 2 9 2 10" xfId="10438"/>
    <cellStyle name="Normal 2 2 2 2 2 2 9 2 10 2" xfId="10439"/>
    <cellStyle name="Normal 2 2 2 2 2 2 9 2 11" xfId="10440"/>
    <cellStyle name="Normal 2 2 2 2 2 2 9 2 11 2" xfId="10441"/>
    <cellStyle name="Normal 2 2 2 2 2 2 9 2 12" xfId="10442"/>
    <cellStyle name="Normal 2 2 2 2 2 2 9 2 2" xfId="10443"/>
    <cellStyle name="Normal 2 2 2 2 2 2 9 2 2 10" xfId="10444"/>
    <cellStyle name="Normal 2 2 2 2 2 2 9 2 2 10 2" xfId="10445"/>
    <cellStyle name="Normal 2 2 2 2 2 2 9 2 2 11" xfId="10446"/>
    <cellStyle name="Normal 2 2 2 2 2 2 9 2 2 2" xfId="10447"/>
    <cellStyle name="Normal 2 2 2 2 2 2 9 2 2 2 2" xfId="10448"/>
    <cellStyle name="Normal 2 2 2 2 2 2 9 2 2 3" xfId="10449"/>
    <cellStyle name="Normal 2 2 2 2 2 2 9 2 2 3 2" xfId="10450"/>
    <cellStyle name="Normal 2 2 2 2 2 2 9 2 2 4" xfId="10451"/>
    <cellStyle name="Normal 2 2 2 2 2 2 9 2 2 4 2" xfId="10452"/>
    <cellStyle name="Normal 2 2 2 2 2 2 9 2 2 5" xfId="10453"/>
    <cellStyle name="Normal 2 2 2 2 2 2 9 2 2 5 2" xfId="10454"/>
    <cellStyle name="Normal 2 2 2 2 2 2 9 2 2 6" xfId="10455"/>
    <cellStyle name="Normal 2 2 2 2 2 2 9 2 2 6 2" xfId="10456"/>
    <cellStyle name="Normal 2 2 2 2 2 2 9 2 2 7" xfId="10457"/>
    <cellStyle name="Normal 2 2 2 2 2 2 9 2 2 7 2" xfId="10458"/>
    <cellStyle name="Normal 2 2 2 2 2 2 9 2 2 8" xfId="10459"/>
    <cellStyle name="Normal 2 2 2 2 2 2 9 2 2 8 2" xfId="10460"/>
    <cellStyle name="Normal 2 2 2 2 2 2 9 2 2 9" xfId="10461"/>
    <cellStyle name="Normal 2 2 2 2 2 2 9 2 2 9 2" xfId="10462"/>
    <cellStyle name="Normal 2 2 2 2 2 2 9 2 3" xfId="10463"/>
    <cellStyle name="Normal 2 2 2 2 2 2 9 2 3 2" xfId="10464"/>
    <cellStyle name="Normal 2 2 2 2 2 2 9 2 4" xfId="10465"/>
    <cellStyle name="Normal 2 2 2 2 2 2 9 2 4 2" xfId="10466"/>
    <cellStyle name="Normal 2 2 2 2 2 2 9 2 5" xfId="10467"/>
    <cellStyle name="Normal 2 2 2 2 2 2 9 2 5 2" xfId="10468"/>
    <cellStyle name="Normal 2 2 2 2 2 2 9 2 6" xfId="10469"/>
    <cellStyle name="Normal 2 2 2 2 2 2 9 2 6 2" xfId="10470"/>
    <cellStyle name="Normal 2 2 2 2 2 2 9 2 7" xfId="10471"/>
    <cellStyle name="Normal 2 2 2 2 2 2 9 2 7 2" xfId="10472"/>
    <cellStyle name="Normal 2 2 2 2 2 2 9 2 8" xfId="10473"/>
    <cellStyle name="Normal 2 2 2 2 2 2 9 2 8 2" xfId="10474"/>
    <cellStyle name="Normal 2 2 2 2 2 2 9 2 9" xfId="10475"/>
    <cellStyle name="Normal 2 2 2 2 2 2 9 2 9 2" xfId="10476"/>
    <cellStyle name="Normal 2 2 2 2 2 2 9 3" xfId="10477"/>
    <cellStyle name="Normal 2 2 2 2 2 2 9 3 10" xfId="10478"/>
    <cellStyle name="Normal 2 2 2 2 2 2 9 3 10 2" xfId="10479"/>
    <cellStyle name="Normal 2 2 2 2 2 2 9 3 11" xfId="10480"/>
    <cellStyle name="Normal 2 2 2 2 2 2 9 3 2" xfId="10481"/>
    <cellStyle name="Normal 2 2 2 2 2 2 9 3 2 2" xfId="10482"/>
    <cellStyle name="Normal 2 2 2 2 2 2 9 3 3" xfId="10483"/>
    <cellStyle name="Normal 2 2 2 2 2 2 9 3 3 2" xfId="10484"/>
    <cellStyle name="Normal 2 2 2 2 2 2 9 3 4" xfId="10485"/>
    <cellStyle name="Normal 2 2 2 2 2 2 9 3 4 2" xfId="10486"/>
    <cellStyle name="Normal 2 2 2 2 2 2 9 3 5" xfId="10487"/>
    <cellStyle name="Normal 2 2 2 2 2 2 9 3 5 2" xfId="10488"/>
    <cellStyle name="Normal 2 2 2 2 2 2 9 3 6" xfId="10489"/>
    <cellStyle name="Normal 2 2 2 2 2 2 9 3 6 2" xfId="10490"/>
    <cellStyle name="Normal 2 2 2 2 2 2 9 3 7" xfId="10491"/>
    <cellStyle name="Normal 2 2 2 2 2 2 9 3 7 2" xfId="10492"/>
    <cellStyle name="Normal 2 2 2 2 2 2 9 3 8" xfId="10493"/>
    <cellStyle name="Normal 2 2 2 2 2 2 9 3 8 2" xfId="10494"/>
    <cellStyle name="Normal 2 2 2 2 2 2 9 3 9" xfId="10495"/>
    <cellStyle name="Normal 2 2 2 2 2 2 9 3 9 2" xfId="10496"/>
    <cellStyle name="Normal 2 2 2 2 2 2 9 4" xfId="10497"/>
    <cellStyle name="Normal 2 2 2 2 2 2 9 4 2" xfId="10498"/>
    <cellStyle name="Normal 2 2 2 2 2 2 9 5" xfId="10499"/>
    <cellStyle name="Normal 2 2 2 2 2 2 9 5 2" xfId="10500"/>
    <cellStyle name="Normal 2 2 2 2 2 2 9 6" xfId="10501"/>
    <cellStyle name="Normal 2 2 2 2 2 2 9 6 2" xfId="10502"/>
    <cellStyle name="Normal 2 2 2 2 2 2 9 7" xfId="10503"/>
    <cellStyle name="Normal 2 2 2 2 2 2 9 7 2" xfId="10504"/>
    <cellStyle name="Normal 2 2 2 2 2 2 9 8" xfId="10505"/>
    <cellStyle name="Normal 2 2 2 2 2 2 9 8 2" xfId="10506"/>
    <cellStyle name="Normal 2 2 2 2 2 2 9 9" xfId="10507"/>
    <cellStyle name="Normal 2 2 2 2 2 2 9 9 2" xfId="10508"/>
    <cellStyle name="Normal 2 2 2 2 2 20" xfId="10509"/>
    <cellStyle name="Normal 2 2 2 2 2 20 2" xfId="10510"/>
    <cellStyle name="Normal 2 2 2 2 2 21" xfId="10511"/>
    <cellStyle name="Normal 2 2 2 2 2 3" xfId="10512"/>
    <cellStyle name="Normal 2 2 2 2 2 3 2" xfId="10513"/>
    <cellStyle name="Normal 2 2 2 2 2 3 2 10" xfId="10514"/>
    <cellStyle name="Normal 2 2 2 2 2 3 2 10 2" xfId="10515"/>
    <cellStyle name="Normal 2 2 2 2 2 3 2 11" xfId="10516"/>
    <cellStyle name="Normal 2 2 2 2 2 3 2 11 2" xfId="10517"/>
    <cellStyle name="Normal 2 2 2 2 2 3 2 12" xfId="10518"/>
    <cellStyle name="Normal 2 2 2 2 2 3 2 12 2" xfId="10519"/>
    <cellStyle name="Normal 2 2 2 2 2 3 2 13" xfId="10520"/>
    <cellStyle name="Normal 2 2 2 2 2 3 2 13 2" xfId="10521"/>
    <cellStyle name="Normal 2 2 2 2 2 3 2 14" xfId="10522"/>
    <cellStyle name="Normal 2 2 2 2 2 3 2 14 2" xfId="10523"/>
    <cellStyle name="Normal 2 2 2 2 2 3 2 15" xfId="10524"/>
    <cellStyle name="Normal 2 2 2 2 2 3 2 15 2" xfId="10525"/>
    <cellStyle name="Normal 2 2 2 2 2 3 2 16" xfId="10526"/>
    <cellStyle name="Normal 2 2 2 2 2 3 2 16 2" xfId="10527"/>
    <cellStyle name="Normal 2 2 2 2 2 3 2 17" xfId="10528"/>
    <cellStyle name="Normal 2 2 2 2 2 3 2 2" xfId="10529"/>
    <cellStyle name="Normal 2 2 2 2 2 3 2 2 2" xfId="10530"/>
    <cellStyle name="Normal 2 2 2 2 2 3 2 2 2 10" xfId="10531"/>
    <cellStyle name="Normal 2 2 2 2 2 3 2 2 2 10 2" xfId="10532"/>
    <cellStyle name="Normal 2 2 2 2 2 3 2 2 2 11" xfId="10533"/>
    <cellStyle name="Normal 2 2 2 2 2 3 2 2 2 11 2" xfId="10534"/>
    <cellStyle name="Normal 2 2 2 2 2 3 2 2 2 12" xfId="10535"/>
    <cellStyle name="Normal 2 2 2 2 2 3 2 2 2 12 2" xfId="10536"/>
    <cellStyle name="Normal 2 2 2 2 2 3 2 2 2 13" xfId="10537"/>
    <cellStyle name="Normal 2 2 2 2 2 3 2 2 2 2" xfId="10538"/>
    <cellStyle name="Normal 2 2 2 2 2 3 2 2 2 2 10" xfId="10539"/>
    <cellStyle name="Normal 2 2 2 2 2 3 2 2 2 2 10 2" xfId="10540"/>
    <cellStyle name="Normal 2 2 2 2 2 3 2 2 2 2 11" xfId="10541"/>
    <cellStyle name="Normal 2 2 2 2 2 3 2 2 2 2 11 2" xfId="10542"/>
    <cellStyle name="Normal 2 2 2 2 2 3 2 2 2 2 12" xfId="10543"/>
    <cellStyle name="Normal 2 2 2 2 2 3 2 2 2 2 2" xfId="10544"/>
    <cellStyle name="Normal 2 2 2 2 2 3 2 2 2 2 2 10" xfId="10545"/>
    <cellStyle name="Normal 2 2 2 2 2 3 2 2 2 2 2 10 2" xfId="10546"/>
    <cellStyle name="Normal 2 2 2 2 2 3 2 2 2 2 2 11" xfId="10547"/>
    <cellStyle name="Normal 2 2 2 2 2 3 2 2 2 2 2 2" xfId="10548"/>
    <cellStyle name="Normal 2 2 2 2 2 3 2 2 2 2 2 2 2" xfId="10549"/>
    <cellStyle name="Normal 2 2 2 2 2 3 2 2 2 2 2 3" xfId="10550"/>
    <cellStyle name="Normal 2 2 2 2 2 3 2 2 2 2 2 3 2" xfId="10551"/>
    <cellStyle name="Normal 2 2 2 2 2 3 2 2 2 2 2 4" xfId="10552"/>
    <cellStyle name="Normal 2 2 2 2 2 3 2 2 2 2 2 4 2" xfId="10553"/>
    <cellStyle name="Normal 2 2 2 2 2 3 2 2 2 2 2 5" xfId="10554"/>
    <cellStyle name="Normal 2 2 2 2 2 3 2 2 2 2 2 5 2" xfId="10555"/>
    <cellStyle name="Normal 2 2 2 2 2 3 2 2 2 2 2 6" xfId="10556"/>
    <cellStyle name="Normal 2 2 2 2 2 3 2 2 2 2 2 6 2" xfId="10557"/>
    <cellStyle name="Normal 2 2 2 2 2 3 2 2 2 2 2 7" xfId="10558"/>
    <cellStyle name="Normal 2 2 2 2 2 3 2 2 2 2 2 7 2" xfId="10559"/>
    <cellStyle name="Normal 2 2 2 2 2 3 2 2 2 2 2 8" xfId="10560"/>
    <cellStyle name="Normal 2 2 2 2 2 3 2 2 2 2 2 8 2" xfId="10561"/>
    <cellStyle name="Normal 2 2 2 2 2 3 2 2 2 2 2 9" xfId="10562"/>
    <cellStyle name="Normal 2 2 2 2 2 3 2 2 2 2 2 9 2" xfId="10563"/>
    <cellStyle name="Normal 2 2 2 2 2 3 2 2 2 2 3" xfId="10564"/>
    <cellStyle name="Normal 2 2 2 2 2 3 2 2 2 2 3 2" xfId="10565"/>
    <cellStyle name="Normal 2 2 2 2 2 3 2 2 2 2 4" xfId="10566"/>
    <cellStyle name="Normal 2 2 2 2 2 3 2 2 2 2 4 2" xfId="10567"/>
    <cellStyle name="Normal 2 2 2 2 2 3 2 2 2 2 5" xfId="10568"/>
    <cellStyle name="Normal 2 2 2 2 2 3 2 2 2 2 5 2" xfId="10569"/>
    <cellStyle name="Normal 2 2 2 2 2 3 2 2 2 2 6" xfId="10570"/>
    <cellStyle name="Normal 2 2 2 2 2 3 2 2 2 2 6 2" xfId="10571"/>
    <cellStyle name="Normal 2 2 2 2 2 3 2 2 2 2 7" xfId="10572"/>
    <cellStyle name="Normal 2 2 2 2 2 3 2 2 2 2 7 2" xfId="10573"/>
    <cellStyle name="Normal 2 2 2 2 2 3 2 2 2 2 8" xfId="10574"/>
    <cellStyle name="Normal 2 2 2 2 2 3 2 2 2 2 8 2" xfId="10575"/>
    <cellStyle name="Normal 2 2 2 2 2 3 2 2 2 2 9" xfId="10576"/>
    <cellStyle name="Normal 2 2 2 2 2 3 2 2 2 2 9 2" xfId="10577"/>
    <cellStyle name="Normal 2 2 2 2 2 3 2 2 2 3" xfId="10578"/>
    <cellStyle name="Normal 2 2 2 2 2 3 2 2 2 3 10" xfId="10579"/>
    <cellStyle name="Normal 2 2 2 2 2 3 2 2 2 3 10 2" xfId="10580"/>
    <cellStyle name="Normal 2 2 2 2 2 3 2 2 2 3 11" xfId="10581"/>
    <cellStyle name="Normal 2 2 2 2 2 3 2 2 2 3 2" xfId="10582"/>
    <cellStyle name="Normal 2 2 2 2 2 3 2 2 2 3 2 2" xfId="10583"/>
    <cellStyle name="Normal 2 2 2 2 2 3 2 2 2 3 3" xfId="10584"/>
    <cellStyle name="Normal 2 2 2 2 2 3 2 2 2 3 3 2" xfId="10585"/>
    <cellStyle name="Normal 2 2 2 2 2 3 2 2 2 3 4" xfId="10586"/>
    <cellStyle name="Normal 2 2 2 2 2 3 2 2 2 3 4 2" xfId="10587"/>
    <cellStyle name="Normal 2 2 2 2 2 3 2 2 2 3 5" xfId="10588"/>
    <cellStyle name="Normal 2 2 2 2 2 3 2 2 2 3 5 2" xfId="10589"/>
    <cellStyle name="Normal 2 2 2 2 2 3 2 2 2 3 6" xfId="10590"/>
    <cellStyle name="Normal 2 2 2 2 2 3 2 2 2 3 6 2" xfId="10591"/>
    <cellStyle name="Normal 2 2 2 2 2 3 2 2 2 3 7" xfId="10592"/>
    <cellStyle name="Normal 2 2 2 2 2 3 2 2 2 3 7 2" xfId="10593"/>
    <cellStyle name="Normal 2 2 2 2 2 3 2 2 2 3 8" xfId="10594"/>
    <cellStyle name="Normal 2 2 2 2 2 3 2 2 2 3 8 2" xfId="10595"/>
    <cellStyle name="Normal 2 2 2 2 2 3 2 2 2 3 9" xfId="10596"/>
    <cellStyle name="Normal 2 2 2 2 2 3 2 2 2 3 9 2" xfId="10597"/>
    <cellStyle name="Normal 2 2 2 2 2 3 2 2 2 4" xfId="10598"/>
    <cellStyle name="Normal 2 2 2 2 2 3 2 2 2 4 2" xfId="10599"/>
    <cellStyle name="Normal 2 2 2 2 2 3 2 2 2 5" xfId="10600"/>
    <cellStyle name="Normal 2 2 2 2 2 3 2 2 2 5 2" xfId="10601"/>
    <cellStyle name="Normal 2 2 2 2 2 3 2 2 2 6" xfId="10602"/>
    <cellStyle name="Normal 2 2 2 2 2 3 2 2 2 6 2" xfId="10603"/>
    <cellStyle name="Normal 2 2 2 2 2 3 2 2 2 7" xfId="10604"/>
    <cellStyle name="Normal 2 2 2 2 2 3 2 2 2 7 2" xfId="10605"/>
    <cellStyle name="Normal 2 2 2 2 2 3 2 2 2 8" xfId="10606"/>
    <cellStyle name="Normal 2 2 2 2 2 3 2 2 2 8 2" xfId="10607"/>
    <cellStyle name="Normal 2 2 2 2 2 3 2 2 2 9" xfId="10608"/>
    <cellStyle name="Normal 2 2 2 2 2 3 2 2 2 9 2" xfId="10609"/>
    <cellStyle name="Normal 2 2 2 2 2 3 2 2 3" xfId="10610"/>
    <cellStyle name="Normal 2 2 2 2 2 3 2 2 3 10" xfId="10611"/>
    <cellStyle name="Normal 2 2 2 2 2 3 2 2 3 10 2" xfId="10612"/>
    <cellStyle name="Normal 2 2 2 2 2 3 2 2 3 11" xfId="10613"/>
    <cellStyle name="Normal 2 2 2 2 2 3 2 2 3 11 2" xfId="10614"/>
    <cellStyle name="Normal 2 2 2 2 2 3 2 2 3 12" xfId="10615"/>
    <cellStyle name="Normal 2 2 2 2 2 3 2 2 3 12 2" xfId="10616"/>
    <cellStyle name="Normal 2 2 2 2 2 3 2 2 3 13" xfId="10617"/>
    <cellStyle name="Normal 2 2 2 2 2 3 2 2 3 2" xfId="10618"/>
    <cellStyle name="Normal 2 2 2 2 2 3 2 2 3 2 10" xfId="10619"/>
    <cellStyle name="Normal 2 2 2 2 2 3 2 2 3 2 10 2" xfId="10620"/>
    <cellStyle name="Normal 2 2 2 2 2 3 2 2 3 2 11" xfId="10621"/>
    <cellStyle name="Normal 2 2 2 2 2 3 2 2 3 2 11 2" xfId="10622"/>
    <cellStyle name="Normal 2 2 2 2 2 3 2 2 3 2 12" xfId="10623"/>
    <cellStyle name="Normal 2 2 2 2 2 3 2 2 3 2 2" xfId="10624"/>
    <cellStyle name="Normal 2 2 2 2 2 3 2 2 3 2 2 10" xfId="10625"/>
    <cellStyle name="Normal 2 2 2 2 2 3 2 2 3 2 2 10 2" xfId="10626"/>
    <cellStyle name="Normal 2 2 2 2 2 3 2 2 3 2 2 11" xfId="10627"/>
    <cellStyle name="Normal 2 2 2 2 2 3 2 2 3 2 2 2" xfId="10628"/>
    <cellStyle name="Normal 2 2 2 2 2 3 2 2 3 2 2 2 2" xfId="10629"/>
    <cellStyle name="Normal 2 2 2 2 2 3 2 2 3 2 2 3" xfId="10630"/>
    <cellStyle name="Normal 2 2 2 2 2 3 2 2 3 2 2 3 2" xfId="10631"/>
    <cellStyle name="Normal 2 2 2 2 2 3 2 2 3 2 2 4" xfId="10632"/>
    <cellStyle name="Normal 2 2 2 2 2 3 2 2 3 2 2 4 2" xfId="10633"/>
    <cellStyle name="Normal 2 2 2 2 2 3 2 2 3 2 2 5" xfId="10634"/>
    <cellStyle name="Normal 2 2 2 2 2 3 2 2 3 2 2 5 2" xfId="10635"/>
    <cellStyle name="Normal 2 2 2 2 2 3 2 2 3 2 2 6" xfId="10636"/>
    <cellStyle name="Normal 2 2 2 2 2 3 2 2 3 2 2 6 2" xfId="10637"/>
    <cellStyle name="Normal 2 2 2 2 2 3 2 2 3 2 2 7" xfId="10638"/>
    <cellStyle name="Normal 2 2 2 2 2 3 2 2 3 2 2 7 2" xfId="10639"/>
    <cellStyle name="Normal 2 2 2 2 2 3 2 2 3 2 2 8" xfId="10640"/>
    <cellStyle name="Normal 2 2 2 2 2 3 2 2 3 2 2 8 2" xfId="10641"/>
    <cellStyle name="Normal 2 2 2 2 2 3 2 2 3 2 2 9" xfId="10642"/>
    <cellStyle name="Normal 2 2 2 2 2 3 2 2 3 2 2 9 2" xfId="10643"/>
    <cellStyle name="Normal 2 2 2 2 2 3 2 2 3 2 3" xfId="10644"/>
    <cellStyle name="Normal 2 2 2 2 2 3 2 2 3 2 3 2" xfId="10645"/>
    <cellStyle name="Normal 2 2 2 2 2 3 2 2 3 2 4" xfId="10646"/>
    <cellStyle name="Normal 2 2 2 2 2 3 2 2 3 2 4 2" xfId="10647"/>
    <cellStyle name="Normal 2 2 2 2 2 3 2 2 3 2 5" xfId="10648"/>
    <cellStyle name="Normal 2 2 2 2 2 3 2 2 3 2 5 2" xfId="10649"/>
    <cellStyle name="Normal 2 2 2 2 2 3 2 2 3 2 6" xfId="10650"/>
    <cellStyle name="Normal 2 2 2 2 2 3 2 2 3 2 6 2" xfId="10651"/>
    <cellStyle name="Normal 2 2 2 2 2 3 2 2 3 2 7" xfId="10652"/>
    <cellStyle name="Normal 2 2 2 2 2 3 2 2 3 2 7 2" xfId="10653"/>
    <cellStyle name="Normal 2 2 2 2 2 3 2 2 3 2 8" xfId="10654"/>
    <cellStyle name="Normal 2 2 2 2 2 3 2 2 3 2 8 2" xfId="10655"/>
    <cellStyle name="Normal 2 2 2 2 2 3 2 2 3 2 9" xfId="10656"/>
    <cellStyle name="Normal 2 2 2 2 2 3 2 2 3 2 9 2" xfId="10657"/>
    <cellStyle name="Normal 2 2 2 2 2 3 2 2 3 3" xfId="10658"/>
    <cellStyle name="Normal 2 2 2 2 2 3 2 2 3 3 10" xfId="10659"/>
    <cellStyle name="Normal 2 2 2 2 2 3 2 2 3 3 10 2" xfId="10660"/>
    <cellStyle name="Normal 2 2 2 2 2 3 2 2 3 3 11" xfId="10661"/>
    <cellStyle name="Normal 2 2 2 2 2 3 2 2 3 3 2" xfId="10662"/>
    <cellStyle name="Normal 2 2 2 2 2 3 2 2 3 3 2 2" xfId="10663"/>
    <cellStyle name="Normal 2 2 2 2 2 3 2 2 3 3 3" xfId="10664"/>
    <cellStyle name="Normal 2 2 2 2 2 3 2 2 3 3 3 2" xfId="10665"/>
    <cellStyle name="Normal 2 2 2 2 2 3 2 2 3 3 4" xfId="10666"/>
    <cellStyle name="Normal 2 2 2 2 2 3 2 2 3 3 4 2" xfId="10667"/>
    <cellStyle name="Normal 2 2 2 2 2 3 2 2 3 3 5" xfId="10668"/>
    <cellStyle name="Normal 2 2 2 2 2 3 2 2 3 3 5 2" xfId="10669"/>
    <cellStyle name="Normal 2 2 2 2 2 3 2 2 3 3 6" xfId="10670"/>
    <cellStyle name="Normal 2 2 2 2 2 3 2 2 3 3 6 2" xfId="10671"/>
    <cellStyle name="Normal 2 2 2 2 2 3 2 2 3 3 7" xfId="10672"/>
    <cellStyle name="Normal 2 2 2 2 2 3 2 2 3 3 7 2" xfId="10673"/>
    <cellStyle name="Normal 2 2 2 2 2 3 2 2 3 3 8" xfId="10674"/>
    <cellStyle name="Normal 2 2 2 2 2 3 2 2 3 3 8 2" xfId="10675"/>
    <cellStyle name="Normal 2 2 2 2 2 3 2 2 3 3 9" xfId="10676"/>
    <cellStyle name="Normal 2 2 2 2 2 3 2 2 3 3 9 2" xfId="10677"/>
    <cellStyle name="Normal 2 2 2 2 2 3 2 2 3 4" xfId="10678"/>
    <cellStyle name="Normal 2 2 2 2 2 3 2 2 3 4 2" xfId="10679"/>
    <cellStyle name="Normal 2 2 2 2 2 3 2 2 3 5" xfId="10680"/>
    <cellStyle name="Normal 2 2 2 2 2 3 2 2 3 5 2" xfId="10681"/>
    <cellStyle name="Normal 2 2 2 2 2 3 2 2 3 6" xfId="10682"/>
    <cellStyle name="Normal 2 2 2 2 2 3 2 2 3 6 2" xfId="10683"/>
    <cellStyle name="Normal 2 2 2 2 2 3 2 2 3 7" xfId="10684"/>
    <cellStyle name="Normal 2 2 2 2 2 3 2 2 3 7 2" xfId="10685"/>
    <cellStyle name="Normal 2 2 2 2 2 3 2 2 3 8" xfId="10686"/>
    <cellStyle name="Normal 2 2 2 2 2 3 2 2 3 8 2" xfId="10687"/>
    <cellStyle name="Normal 2 2 2 2 2 3 2 2 3 9" xfId="10688"/>
    <cellStyle name="Normal 2 2 2 2 2 3 2 2 3 9 2" xfId="10689"/>
    <cellStyle name="Normal 2 2 2 2 2 3 2 2 4" xfId="10690"/>
    <cellStyle name="Normal 2 2 2 2 2 3 2 2 4 10" xfId="10691"/>
    <cellStyle name="Normal 2 2 2 2 2 3 2 2 4 10 2" xfId="10692"/>
    <cellStyle name="Normal 2 2 2 2 2 3 2 2 4 11" xfId="10693"/>
    <cellStyle name="Normal 2 2 2 2 2 3 2 2 4 11 2" xfId="10694"/>
    <cellStyle name="Normal 2 2 2 2 2 3 2 2 4 12" xfId="10695"/>
    <cellStyle name="Normal 2 2 2 2 2 3 2 2 4 12 2" xfId="10696"/>
    <cellStyle name="Normal 2 2 2 2 2 3 2 2 4 13" xfId="10697"/>
    <cellStyle name="Normal 2 2 2 2 2 3 2 2 4 2" xfId="10698"/>
    <cellStyle name="Normal 2 2 2 2 2 3 2 2 4 2 10" xfId="10699"/>
    <cellStyle name="Normal 2 2 2 2 2 3 2 2 4 2 10 2" xfId="10700"/>
    <cellStyle name="Normal 2 2 2 2 2 3 2 2 4 2 11" xfId="10701"/>
    <cellStyle name="Normal 2 2 2 2 2 3 2 2 4 2 11 2" xfId="10702"/>
    <cellStyle name="Normal 2 2 2 2 2 3 2 2 4 2 12" xfId="10703"/>
    <cellStyle name="Normal 2 2 2 2 2 3 2 2 4 2 2" xfId="10704"/>
    <cellStyle name="Normal 2 2 2 2 2 3 2 2 4 2 2 10" xfId="10705"/>
    <cellStyle name="Normal 2 2 2 2 2 3 2 2 4 2 2 10 2" xfId="10706"/>
    <cellStyle name="Normal 2 2 2 2 2 3 2 2 4 2 2 11" xfId="10707"/>
    <cellStyle name="Normal 2 2 2 2 2 3 2 2 4 2 2 2" xfId="10708"/>
    <cellStyle name="Normal 2 2 2 2 2 3 2 2 4 2 2 2 2" xfId="10709"/>
    <cellStyle name="Normal 2 2 2 2 2 3 2 2 4 2 2 3" xfId="10710"/>
    <cellStyle name="Normal 2 2 2 2 2 3 2 2 4 2 2 3 2" xfId="10711"/>
    <cellStyle name="Normal 2 2 2 2 2 3 2 2 4 2 2 4" xfId="10712"/>
    <cellStyle name="Normal 2 2 2 2 2 3 2 2 4 2 2 4 2" xfId="10713"/>
    <cellStyle name="Normal 2 2 2 2 2 3 2 2 4 2 2 5" xfId="10714"/>
    <cellStyle name="Normal 2 2 2 2 2 3 2 2 4 2 2 5 2" xfId="10715"/>
    <cellStyle name="Normal 2 2 2 2 2 3 2 2 4 2 2 6" xfId="10716"/>
    <cellStyle name="Normal 2 2 2 2 2 3 2 2 4 2 2 6 2" xfId="10717"/>
    <cellStyle name="Normal 2 2 2 2 2 3 2 2 4 2 2 7" xfId="10718"/>
    <cellStyle name="Normal 2 2 2 2 2 3 2 2 4 2 2 7 2" xfId="10719"/>
    <cellStyle name="Normal 2 2 2 2 2 3 2 2 4 2 2 8" xfId="10720"/>
    <cellStyle name="Normal 2 2 2 2 2 3 2 2 4 2 2 8 2" xfId="10721"/>
    <cellStyle name="Normal 2 2 2 2 2 3 2 2 4 2 2 9" xfId="10722"/>
    <cellStyle name="Normal 2 2 2 2 2 3 2 2 4 2 2 9 2" xfId="10723"/>
    <cellStyle name="Normal 2 2 2 2 2 3 2 2 4 2 3" xfId="10724"/>
    <cellStyle name="Normal 2 2 2 2 2 3 2 2 4 2 3 2" xfId="10725"/>
    <cellStyle name="Normal 2 2 2 2 2 3 2 2 4 2 4" xfId="10726"/>
    <cellStyle name="Normal 2 2 2 2 2 3 2 2 4 2 4 2" xfId="10727"/>
    <cellStyle name="Normal 2 2 2 2 2 3 2 2 4 2 5" xfId="10728"/>
    <cellStyle name="Normal 2 2 2 2 2 3 2 2 4 2 5 2" xfId="10729"/>
    <cellStyle name="Normal 2 2 2 2 2 3 2 2 4 2 6" xfId="10730"/>
    <cellStyle name="Normal 2 2 2 2 2 3 2 2 4 2 6 2" xfId="10731"/>
    <cellStyle name="Normal 2 2 2 2 2 3 2 2 4 2 7" xfId="10732"/>
    <cellStyle name="Normal 2 2 2 2 2 3 2 2 4 2 7 2" xfId="10733"/>
    <cellStyle name="Normal 2 2 2 2 2 3 2 2 4 2 8" xfId="10734"/>
    <cellStyle name="Normal 2 2 2 2 2 3 2 2 4 2 8 2" xfId="10735"/>
    <cellStyle name="Normal 2 2 2 2 2 3 2 2 4 2 9" xfId="10736"/>
    <cellStyle name="Normal 2 2 2 2 2 3 2 2 4 2 9 2" xfId="10737"/>
    <cellStyle name="Normal 2 2 2 2 2 3 2 2 4 3" xfId="10738"/>
    <cellStyle name="Normal 2 2 2 2 2 3 2 2 4 3 10" xfId="10739"/>
    <cellStyle name="Normal 2 2 2 2 2 3 2 2 4 3 10 2" xfId="10740"/>
    <cellStyle name="Normal 2 2 2 2 2 3 2 2 4 3 11" xfId="10741"/>
    <cellStyle name="Normal 2 2 2 2 2 3 2 2 4 3 2" xfId="10742"/>
    <cellStyle name="Normal 2 2 2 2 2 3 2 2 4 3 2 2" xfId="10743"/>
    <cellStyle name="Normal 2 2 2 2 2 3 2 2 4 3 3" xfId="10744"/>
    <cellStyle name="Normal 2 2 2 2 2 3 2 2 4 3 3 2" xfId="10745"/>
    <cellStyle name="Normal 2 2 2 2 2 3 2 2 4 3 4" xfId="10746"/>
    <cellStyle name="Normal 2 2 2 2 2 3 2 2 4 3 4 2" xfId="10747"/>
    <cellStyle name="Normal 2 2 2 2 2 3 2 2 4 3 5" xfId="10748"/>
    <cellStyle name="Normal 2 2 2 2 2 3 2 2 4 3 5 2" xfId="10749"/>
    <cellStyle name="Normal 2 2 2 2 2 3 2 2 4 3 6" xfId="10750"/>
    <cellStyle name="Normal 2 2 2 2 2 3 2 2 4 3 6 2" xfId="10751"/>
    <cellStyle name="Normal 2 2 2 2 2 3 2 2 4 3 7" xfId="10752"/>
    <cellStyle name="Normal 2 2 2 2 2 3 2 2 4 3 7 2" xfId="10753"/>
    <cellStyle name="Normal 2 2 2 2 2 3 2 2 4 3 8" xfId="10754"/>
    <cellStyle name="Normal 2 2 2 2 2 3 2 2 4 3 8 2" xfId="10755"/>
    <cellStyle name="Normal 2 2 2 2 2 3 2 2 4 3 9" xfId="10756"/>
    <cellStyle name="Normal 2 2 2 2 2 3 2 2 4 3 9 2" xfId="10757"/>
    <cellStyle name="Normal 2 2 2 2 2 3 2 2 4 4" xfId="10758"/>
    <cellStyle name="Normal 2 2 2 2 2 3 2 2 4 4 2" xfId="10759"/>
    <cellStyle name="Normal 2 2 2 2 2 3 2 2 4 5" xfId="10760"/>
    <cellStyle name="Normal 2 2 2 2 2 3 2 2 4 5 2" xfId="10761"/>
    <cellStyle name="Normal 2 2 2 2 2 3 2 2 4 6" xfId="10762"/>
    <cellStyle name="Normal 2 2 2 2 2 3 2 2 4 6 2" xfId="10763"/>
    <cellStyle name="Normal 2 2 2 2 2 3 2 2 4 7" xfId="10764"/>
    <cellStyle name="Normal 2 2 2 2 2 3 2 2 4 7 2" xfId="10765"/>
    <cellStyle name="Normal 2 2 2 2 2 3 2 2 4 8" xfId="10766"/>
    <cellStyle name="Normal 2 2 2 2 2 3 2 2 4 8 2" xfId="10767"/>
    <cellStyle name="Normal 2 2 2 2 2 3 2 2 4 9" xfId="10768"/>
    <cellStyle name="Normal 2 2 2 2 2 3 2 2 4 9 2" xfId="10769"/>
    <cellStyle name="Normal 2 2 2 2 2 3 2 2 5" xfId="10770"/>
    <cellStyle name="Normal 2 2 2 2 2 3 2 2 5 10" xfId="10771"/>
    <cellStyle name="Normal 2 2 2 2 2 3 2 2 5 10 2" xfId="10772"/>
    <cellStyle name="Normal 2 2 2 2 2 3 2 2 5 11" xfId="10773"/>
    <cellStyle name="Normal 2 2 2 2 2 3 2 2 5 11 2" xfId="10774"/>
    <cellStyle name="Normal 2 2 2 2 2 3 2 2 5 12" xfId="10775"/>
    <cellStyle name="Normal 2 2 2 2 2 3 2 2 5 12 2" xfId="10776"/>
    <cellStyle name="Normal 2 2 2 2 2 3 2 2 5 13" xfId="10777"/>
    <cellStyle name="Normal 2 2 2 2 2 3 2 2 5 2" xfId="10778"/>
    <cellStyle name="Normal 2 2 2 2 2 3 2 2 5 2 10" xfId="10779"/>
    <cellStyle name="Normal 2 2 2 2 2 3 2 2 5 2 10 2" xfId="10780"/>
    <cellStyle name="Normal 2 2 2 2 2 3 2 2 5 2 11" xfId="10781"/>
    <cellStyle name="Normal 2 2 2 2 2 3 2 2 5 2 11 2" xfId="10782"/>
    <cellStyle name="Normal 2 2 2 2 2 3 2 2 5 2 12" xfId="10783"/>
    <cellStyle name="Normal 2 2 2 2 2 3 2 2 5 2 2" xfId="10784"/>
    <cellStyle name="Normal 2 2 2 2 2 3 2 2 5 2 2 10" xfId="10785"/>
    <cellStyle name="Normal 2 2 2 2 2 3 2 2 5 2 2 10 2" xfId="10786"/>
    <cellStyle name="Normal 2 2 2 2 2 3 2 2 5 2 2 11" xfId="10787"/>
    <cellStyle name="Normal 2 2 2 2 2 3 2 2 5 2 2 2" xfId="10788"/>
    <cellStyle name="Normal 2 2 2 2 2 3 2 2 5 2 2 2 2" xfId="10789"/>
    <cellStyle name="Normal 2 2 2 2 2 3 2 2 5 2 2 3" xfId="10790"/>
    <cellStyle name="Normal 2 2 2 2 2 3 2 2 5 2 2 3 2" xfId="10791"/>
    <cellStyle name="Normal 2 2 2 2 2 3 2 2 5 2 2 4" xfId="10792"/>
    <cellStyle name="Normal 2 2 2 2 2 3 2 2 5 2 2 4 2" xfId="10793"/>
    <cellStyle name="Normal 2 2 2 2 2 3 2 2 5 2 2 5" xfId="10794"/>
    <cellStyle name="Normal 2 2 2 2 2 3 2 2 5 2 2 5 2" xfId="10795"/>
    <cellStyle name="Normal 2 2 2 2 2 3 2 2 5 2 2 6" xfId="10796"/>
    <cellStyle name="Normal 2 2 2 2 2 3 2 2 5 2 2 6 2" xfId="10797"/>
    <cellStyle name="Normal 2 2 2 2 2 3 2 2 5 2 2 7" xfId="10798"/>
    <cellStyle name="Normal 2 2 2 2 2 3 2 2 5 2 2 7 2" xfId="10799"/>
    <cellStyle name="Normal 2 2 2 2 2 3 2 2 5 2 2 8" xfId="10800"/>
    <cellStyle name="Normal 2 2 2 2 2 3 2 2 5 2 2 8 2" xfId="10801"/>
    <cellStyle name="Normal 2 2 2 2 2 3 2 2 5 2 2 9" xfId="10802"/>
    <cellStyle name="Normal 2 2 2 2 2 3 2 2 5 2 2 9 2" xfId="10803"/>
    <cellStyle name="Normal 2 2 2 2 2 3 2 2 5 2 3" xfId="10804"/>
    <cellStyle name="Normal 2 2 2 2 2 3 2 2 5 2 3 2" xfId="10805"/>
    <cellStyle name="Normal 2 2 2 2 2 3 2 2 5 2 4" xfId="10806"/>
    <cellStyle name="Normal 2 2 2 2 2 3 2 2 5 2 4 2" xfId="10807"/>
    <cellStyle name="Normal 2 2 2 2 2 3 2 2 5 2 5" xfId="10808"/>
    <cellStyle name="Normal 2 2 2 2 2 3 2 2 5 2 5 2" xfId="10809"/>
    <cellStyle name="Normal 2 2 2 2 2 3 2 2 5 2 6" xfId="10810"/>
    <cellStyle name="Normal 2 2 2 2 2 3 2 2 5 2 6 2" xfId="10811"/>
    <cellStyle name="Normal 2 2 2 2 2 3 2 2 5 2 7" xfId="10812"/>
    <cellStyle name="Normal 2 2 2 2 2 3 2 2 5 2 7 2" xfId="10813"/>
    <cellStyle name="Normal 2 2 2 2 2 3 2 2 5 2 8" xfId="10814"/>
    <cellStyle name="Normal 2 2 2 2 2 3 2 2 5 2 8 2" xfId="10815"/>
    <cellStyle name="Normal 2 2 2 2 2 3 2 2 5 2 9" xfId="10816"/>
    <cellStyle name="Normal 2 2 2 2 2 3 2 2 5 2 9 2" xfId="10817"/>
    <cellStyle name="Normal 2 2 2 2 2 3 2 2 5 3" xfId="10818"/>
    <cellStyle name="Normal 2 2 2 2 2 3 2 2 5 3 10" xfId="10819"/>
    <cellStyle name="Normal 2 2 2 2 2 3 2 2 5 3 10 2" xfId="10820"/>
    <cellStyle name="Normal 2 2 2 2 2 3 2 2 5 3 11" xfId="10821"/>
    <cellStyle name="Normal 2 2 2 2 2 3 2 2 5 3 2" xfId="10822"/>
    <cellStyle name="Normal 2 2 2 2 2 3 2 2 5 3 2 2" xfId="10823"/>
    <cellStyle name="Normal 2 2 2 2 2 3 2 2 5 3 3" xfId="10824"/>
    <cellStyle name="Normal 2 2 2 2 2 3 2 2 5 3 3 2" xfId="10825"/>
    <cellStyle name="Normal 2 2 2 2 2 3 2 2 5 3 4" xfId="10826"/>
    <cellStyle name="Normal 2 2 2 2 2 3 2 2 5 3 4 2" xfId="10827"/>
    <cellStyle name="Normal 2 2 2 2 2 3 2 2 5 3 5" xfId="10828"/>
    <cellStyle name="Normal 2 2 2 2 2 3 2 2 5 3 5 2" xfId="10829"/>
    <cellStyle name="Normal 2 2 2 2 2 3 2 2 5 3 6" xfId="10830"/>
    <cellStyle name="Normal 2 2 2 2 2 3 2 2 5 3 6 2" xfId="10831"/>
    <cellStyle name="Normal 2 2 2 2 2 3 2 2 5 3 7" xfId="10832"/>
    <cellStyle name="Normal 2 2 2 2 2 3 2 2 5 3 7 2" xfId="10833"/>
    <cellStyle name="Normal 2 2 2 2 2 3 2 2 5 3 8" xfId="10834"/>
    <cellStyle name="Normal 2 2 2 2 2 3 2 2 5 3 8 2" xfId="10835"/>
    <cellStyle name="Normal 2 2 2 2 2 3 2 2 5 3 9" xfId="10836"/>
    <cellStyle name="Normal 2 2 2 2 2 3 2 2 5 3 9 2" xfId="10837"/>
    <cellStyle name="Normal 2 2 2 2 2 3 2 2 5 4" xfId="10838"/>
    <cellStyle name="Normal 2 2 2 2 2 3 2 2 5 4 2" xfId="10839"/>
    <cellStyle name="Normal 2 2 2 2 2 3 2 2 5 5" xfId="10840"/>
    <cellStyle name="Normal 2 2 2 2 2 3 2 2 5 5 2" xfId="10841"/>
    <cellStyle name="Normal 2 2 2 2 2 3 2 2 5 6" xfId="10842"/>
    <cellStyle name="Normal 2 2 2 2 2 3 2 2 5 6 2" xfId="10843"/>
    <cellStyle name="Normal 2 2 2 2 2 3 2 2 5 7" xfId="10844"/>
    <cellStyle name="Normal 2 2 2 2 2 3 2 2 5 7 2" xfId="10845"/>
    <cellStyle name="Normal 2 2 2 2 2 3 2 2 5 8" xfId="10846"/>
    <cellStyle name="Normal 2 2 2 2 2 3 2 2 5 8 2" xfId="10847"/>
    <cellStyle name="Normal 2 2 2 2 2 3 2 2 5 9" xfId="10848"/>
    <cellStyle name="Normal 2 2 2 2 2 3 2 2 5 9 2" xfId="10849"/>
    <cellStyle name="Normal 2 2 2 2 2 3 2 2 6" xfId="10850"/>
    <cellStyle name="Normal 2 2 2 2 2 3 2 3" xfId="10851"/>
    <cellStyle name="Normal 2 2 2 2 2 3 2 3 2" xfId="10852"/>
    <cellStyle name="Normal 2 2 2 2 2 3 2 4" xfId="10853"/>
    <cellStyle name="Normal 2 2 2 2 2 3 2 4 2" xfId="10854"/>
    <cellStyle name="Normal 2 2 2 2 2 3 2 5" xfId="10855"/>
    <cellStyle name="Normal 2 2 2 2 2 3 2 5 2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3 7" xfId="11241"/>
    <cellStyle name="Normal 2 2 2 2 2 4" xfId="11242"/>
    <cellStyle name="Normal 2 2 2 2 2 4 10" xfId="11243"/>
    <cellStyle name="Normal 2 2 2 2 2 4 10 2" xfId="11244"/>
    <cellStyle name="Normal 2 2 2 2 2 4 11" xfId="11245"/>
    <cellStyle name="Normal 2 2 2 2 2 4 11 2" xfId="11246"/>
    <cellStyle name="Normal 2 2 2 2 2 4 12" xfId="11247"/>
    <cellStyle name="Normal 2 2 2 2 2 4 12 2" xfId="11248"/>
    <cellStyle name="Normal 2 2 2 2 2 4 13" xfId="11249"/>
    <cellStyle name="Normal 2 2 2 2 2 4 2" xfId="11250"/>
    <cellStyle name="Normal 2 2 2 2 2 4 2 10" xfId="11251"/>
    <cellStyle name="Normal 2 2 2 2 2 4 2 10 2" xfId="11252"/>
    <cellStyle name="Normal 2 2 2 2 2 4 2 11" xfId="11253"/>
    <cellStyle name="Normal 2 2 2 2 2 4 2 11 2" xfId="11254"/>
    <cellStyle name="Normal 2 2 2 2 2 4 2 12" xfId="11255"/>
    <cellStyle name="Normal 2 2 2 2 2 4 2 2" xfId="11256"/>
    <cellStyle name="Normal 2 2 2 2 2 4 2 2 10" xfId="11257"/>
    <cellStyle name="Normal 2 2 2 2 2 4 2 2 10 2" xfId="11258"/>
    <cellStyle name="Normal 2 2 2 2 2 4 2 2 11" xfId="11259"/>
    <cellStyle name="Normal 2 2 2 2 2 4 2 2 2" xfId="11260"/>
    <cellStyle name="Normal 2 2 2 2 2 4 2 2 2 2" xfId="11261"/>
    <cellStyle name="Normal 2 2 2 2 2 4 2 2 3" xfId="11262"/>
    <cellStyle name="Normal 2 2 2 2 2 4 2 2 3 2" xfId="11263"/>
    <cellStyle name="Normal 2 2 2 2 2 4 2 2 4" xfId="11264"/>
    <cellStyle name="Normal 2 2 2 2 2 4 2 2 4 2" xfId="11265"/>
    <cellStyle name="Normal 2 2 2 2 2 4 2 2 5" xfId="11266"/>
    <cellStyle name="Normal 2 2 2 2 2 4 2 2 5 2" xfId="11267"/>
    <cellStyle name="Normal 2 2 2 2 2 4 2 2 6" xfId="11268"/>
    <cellStyle name="Normal 2 2 2 2 2 4 2 2 6 2" xfId="11269"/>
    <cellStyle name="Normal 2 2 2 2 2 4 2 2 7" xfId="11270"/>
    <cellStyle name="Normal 2 2 2 2 2 4 2 2 7 2" xfId="11271"/>
    <cellStyle name="Normal 2 2 2 2 2 4 2 2 8" xfId="11272"/>
    <cellStyle name="Normal 2 2 2 2 2 4 2 2 8 2" xfId="11273"/>
    <cellStyle name="Normal 2 2 2 2 2 4 2 2 9" xfId="11274"/>
    <cellStyle name="Normal 2 2 2 2 2 4 2 2 9 2" xfId="11275"/>
    <cellStyle name="Normal 2 2 2 2 2 4 2 3" xfId="11276"/>
    <cellStyle name="Normal 2 2 2 2 2 4 2 3 2" xfId="11277"/>
    <cellStyle name="Normal 2 2 2 2 2 4 2 4" xfId="11278"/>
    <cellStyle name="Normal 2 2 2 2 2 4 2 4 2" xfId="11279"/>
    <cellStyle name="Normal 2 2 2 2 2 4 2 5" xfId="11280"/>
    <cellStyle name="Normal 2 2 2 2 2 4 2 5 2" xfId="11281"/>
    <cellStyle name="Normal 2 2 2 2 2 4 2 6" xfId="11282"/>
    <cellStyle name="Normal 2 2 2 2 2 4 2 6 2" xfId="11283"/>
    <cellStyle name="Normal 2 2 2 2 2 4 2 7" xfId="11284"/>
    <cellStyle name="Normal 2 2 2 2 2 4 2 7 2" xfId="11285"/>
    <cellStyle name="Normal 2 2 2 2 2 4 2 8" xfId="11286"/>
    <cellStyle name="Normal 2 2 2 2 2 4 2 8 2" xfId="11287"/>
    <cellStyle name="Normal 2 2 2 2 2 4 2 9" xfId="11288"/>
    <cellStyle name="Normal 2 2 2 2 2 4 2 9 2" xfId="11289"/>
    <cellStyle name="Normal 2 2 2 2 2 4 3" xfId="11290"/>
    <cellStyle name="Normal 2 2 2 2 2 4 3 10" xfId="11291"/>
    <cellStyle name="Normal 2 2 2 2 2 4 3 10 2" xfId="11292"/>
    <cellStyle name="Normal 2 2 2 2 2 4 3 11" xfId="11293"/>
    <cellStyle name="Normal 2 2 2 2 2 4 3 2" xfId="11294"/>
    <cellStyle name="Normal 2 2 2 2 2 4 3 2 2" xfId="11295"/>
    <cellStyle name="Normal 2 2 2 2 2 4 3 3" xfId="11296"/>
    <cellStyle name="Normal 2 2 2 2 2 4 3 3 2" xfId="11297"/>
    <cellStyle name="Normal 2 2 2 2 2 4 3 4" xfId="11298"/>
    <cellStyle name="Normal 2 2 2 2 2 4 3 4 2" xfId="11299"/>
    <cellStyle name="Normal 2 2 2 2 2 4 3 5" xfId="11300"/>
    <cellStyle name="Normal 2 2 2 2 2 4 3 5 2" xfId="11301"/>
    <cellStyle name="Normal 2 2 2 2 2 4 3 6" xfId="11302"/>
    <cellStyle name="Normal 2 2 2 2 2 4 3 6 2" xfId="11303"/>
    <cellStyle name="Normal 2 2 2 2 2 4 3 7" xfId="11304"/>
    <cellStyle name="Normal 2 2 2 2 2 4 3 7 2" xfId="11305"/>
    <cellStyle name="Normal 2 2 2 2 2 4 3 8" xfId="11306"/>
    <cellStyle name="Normal 2 2 2 2 2 4 3 8 2" xfId="11307"/>
    <cellStyle name="Normal 2 2 2 2 2 4 3 9" xfId="11308"/>
    <cellStyle name="Normal 2 2 2 2 2 4 3 9 2" xfId="11309"/>
    <cellStyle name="Normal 2 2 2 2 2 4 4" xfId="11310"/>
    <cellStyle name="Normal 2 2 2 2 2 4 4 2" xfId="11311"/>
    <cellStyle name="Normal 2 2 2 2 2 4 5" xfId="11312"/>
    <cellStyle name="Normal 2 2 2 2 2 4 5 2" xfId="11313"/>
    <cellStyle name="Normal 2 2 2 2 2 4 6" xfId="11314"/>
    <cellStyle name="Normal 2 2 2 2 2 4 6 2" xfId="11315"/>
    <cellStyle name="Normal 2 2 2 2 2 4 7" xfId="11316"/>
    <cellStyle name="Normal 2 2 2 2 2 4 7 2" xfId="11317"/>
    <cellStyle name="Normal 2 2 2 2 2 4 8" xfId="11318"/>
    <cellStyle name="Normal 2 2 2 2 2 4 8 2" xfId="11319"/>
    <cellStyle name="Normal 2 2 2 2 2 4 9" xfId="11320"/>
    <cellStyle name="Normal 2 2 2 2 2 4 9 2" xfId="11321"/>
    <cellStyle name="Normal 2 2 2 2 2 5" xfId="11322"/>
    <cellStyle name="Normal 2 2 2 2 2 5 10" xfId="11323"/>
    <cellStyle name="Normal 2 2 2 2 2 5 10 2" xfId="11324"/>
    <cellStyle name="Normal 2 2 2 2 2 5 11" xfId="11325"/>
    <cellStyle name="Normal 2 2 2 2 2 5 11 2" xfId="11326"/>
    <cellStyle name="Normal 2 2 2 2 2 5 12" xfId="11327"/>
    <cellStyle name="Normal 2 2 2 2 2 5 12 2" xfId="11328"/>
    <cellStyle name="Normal 2 2 2 2 2 5 13" xfId="11329"/>
    <cellStyle name="Normal 2 2 2 2 2 5 2" xfId="11330"/>
    <cellStyle name="Normal 2 2 2 2 2 5 2 10" xfId="11331"/>
    <cellStyle name="Normal 2 2 2 2 2 5 2 10 2" xfId="11332"/>
    <cellStyle name="Normal 2 2 2 2 2 5 2 11" xfId="11333"/>
    <cellStyle name="Normal 2 2 2 2 2 5 2 11 2" xfId="11334"/>
    <cellStyle name="Normal 2 2 2 2 2 5 2 12" xfId="11335"/>
    <cellStyle name="Normal 2 2 2 2 2 5 2 2" xfId="11336"/>
    <cellStyle name="Normal 2 2 2 2 2 5 2 2 10" xfId="11337"/>
    <cellStyle name="Normal 2 2 2 2 2 5 2 2 10 2" xfId="11338"/>
    <cellStyle name="Normal 2 2 2 2 2 5 2 2 11" xfId="11339"/>
    <cellStyle name="Normal 2 2 2 2 2 5 2 2 2" xfId="11340"/>
    <cellStyle name="Normal 2 2 2 2 2 5 2 2 2 2" xfId="11341"/>
    <cellStyle name="Normal 2 2 2 2 2 5 2 2 3" xfId="11342"/>
    <cellStyle name="Normal 2 2 2 2 2 5 2 2 3 2" xfId="11343"/>
    <cellStyle name="Normal 2 2 2 2 2 5 2 2 4" xfId="11344"/>
    <cellStyle name="Normal 2 2 2 2 2 5 2 2 4 2" xfId="11345"/>
    <cellStyle name="Normal 2 2 2 2 2 5 2 2 5" xfId="11346"/>
    <cellStyle name="Normal 2 2 2 2 2 5 2 2 5 2" xfId="11347"/>
    <cellStyle name="Normal 2 2 2 2 2 5 2 2 6" xfId="11348"/>
    <cellStyle name="Normal 2 2 2 2 2 5 2 2 6 2" xfId="11349"/>
    <cellStyle name="Normal 2 2 2 2 2 5 2 2 7" xfId="11350"/>
    <cellStyle name="Normal 2 2 2 2 2 5 2 2 7 2" xfId="11351"/>
    <cellStyle name="Normal 2 2 2 2 2 5 2 2 8" xfId="11352"/>
    <cellStyle name="Normal 2 2 2 2 2 5 2 2 8 2" xfId="11353"/>
    <cellStyle name="Normal 2 2 2 2 2 5 2 2 9" xfId="11354"/>
    <cellStyle name="Normal 2 2 2 2 2 5 2 2 9 2" xfId="11355"/>
    <cellStyle name="Normal 2 2 2 2 2 5 2 3" xfId="11356"/>
    <cellStyle name="Normal 2 2 2 2 2 5 2 3 2" xfId="11357"/>
    <cellStyle name="Normal 2 2 2 2 2 5 2 4" xfId="11358"/>
    <cellStyle name="Normal 2 2 2 2 2 5 2 4 2" xfId="11359"/>
    <cellStyle name="Normal 2 2 2 2 2 5 2 5" xfId="11360"/>
    <cellStyle name="Normal 2 2 2 2 2 5 2 5 2" xfId="11361"/>
    <cellStyle name="Normal 2 2 2 2 2 5 2 6" xfId="11362"/>
    <cellStyle name="Normal 2 2 2 2 2 5 2 6 2" xfId="11363"/>
    <cellStyle name="Normal 2 2 2 2 2 5 2 7" xfId="11364"/>
    <cellStyle name="Normal 2 2 2 2 2 5 2 7 2" xfId="11365"/>
    <cellStyle name="Normal 2 2 2 2 2 5 2 8" xfId="11366"/>
    <cellStyle name="Normal 2 2 2 2 2 5 2 8 2" xfId="11367"/>
    <cellStyle name="Normal 2 2 2 2 2 5 2 9" xfId="11368"/>
    <cellStyle name="Normal 2 2 2 2 2 5 2 9 2" xfId="11369"/>
    <cellStyle name="Normal 2 2 2 2 2 5 3" xfId="11370"/>
    <cellStyle name="Normal 2 2 2 2 2 5 3 10" xfId="11371"/>
    <cellStyle name="Normal 2 2 2 2 2 5 3 10 2" xfId="11372"/>
    <cellStyle name="Normal 2 2 2 2 2 5 3 11" xfId="11373"/>
    <cellStyle name="Normal 2 2 2 2 2 5 3 2" xfId="11374"/>
    <cellStyle name="Normal 2 2 2 2 2 5 3 2 2" xfId="11375"/>
    <cellStyle name="Normal 2 2 2 2 2 5 3 3" xfId="11376"/>
    <cellStyle name="Normal 2 2 2 2 2 5 3 3 2" xfId="11377"/>
    <cellStyle name="Normal 2 2 2 2 2 5 3 4" xfId="11378"/>
    <cellStyle name="Normal 2 2 2 2 2 5 3 4 2" xfId="11379"/>
    <cellStyle name="Normal 2 2 2 2 2 5 3 5" xfId="11380"/>
    <cellStyle name="Normal 2 2 2 2 2 5 3 5 2" xfId="11381"/>
    <cellStyle name="Normal 2 2 2 2 2 5 3 6" xfId="11382"/>
    <cellStyle name="Normal 2 2 2 2 2 5 3 6 2" xfId="11383"/>
    <cellStyle name="Normal 2 2 2 2 2 5 3 7" xfId="11384"/>
    <cellStyle name="Normal 2 2 2 2 2 5 3 7 2" xfId="11385"/>
    <cellStyle name="Normal 2 2 2 2 2 5 3 8" xfId="11386"/>
    <cellStyle name="Normal 2 2 2 2 2 5 3 8 2" xfId="11387"/>
    <cellStyle name="Normal 2 2 2 2 2 5 3 9" xfId="11388"/>
    <cellStyle name="Normal 2 2 2 2 2 5 3 9 2" xfId="11389"/>
    <cellStyle name="Normal 2 2 2 2 2 5 4" xfId="11390"/>
    <cellStyle name="Normal 2 2 2 2 2 5 4 2" xfId="11391"/>
    <cellStyle name="Normal 2 2 2 2 2 5 5" xfId="11392"/>
    <cellStyle name="Normal 2 2 2 2 2 5 5 2" xfId="11393"/>
    <cellStyle name="Normal 2 2 2 2 2 5 6" xfId="11394"/>
    <cellStyle name="Normal 2 2 2 2 2 5 6 2" xfId="11395"/>
    <cellStyle name="Normal 2 2 2 2 2 5 7" xfId="11396"/>
    <cellStyle name="Normal 2 2 2 2 2 5 7 2" xfId="11397"/>
    <cellStyle name="Normal 2 2 2 2 2 5 8" xfId="11398"/>
    <cellStyle name="Normal 2 2 2 2 2 5 8 2" xfId="11399"/>
    <cellStyle name="Normal 2 2 2 2 2 5 9" xfId="11400"/>
    <cellStyle name="Normal 2 2 2 2 2 5 9 2" xfId="11401"/>
    <cellStyle name="Normal 2 2 2 2 2 6" xfId="11402"/>
    <cellStyle name="Normal 2 2 2 2 2 6 2" xfId="11403"/>
    <cellStyle name="Normal 2 2 2 2 2 6 2 10" xfId="11404"/>
    <cellStyle name="Normal 2 2 2 2 2 6 2 10 2" xfId="11405"/>
    <cellStyle name="Normal 2 2 2 2 2 6 2 11" xfId="11406"/>
    <cellStyle name="Normal 2 2 2 2 2 6 2 11 2" xfId="11407"/>
    <cellStyle name="Normal 2 2 2 2 2 6 2 12" xfId="11408"/>
    <cellStyle name="Normal 2 2 2 2 2 6 2 12 2" xfId="11409"/>
    <cellStyle name="Normal 2 2 2 2 2 6 2 13" xfId="11410"/>
    <cellStyle name="Normal 2 2 2 2 2 6 2 2" xfId="11411"/>
    <cellStyle name="Normal 2 2 2 2 2 6 2 2 10" xfId="11412"/>
    <cellStyle name="Normal 2 2 2 2 2 6 2 2 10 2" xfId="11413"/>
    <cellStyle name="Normal 2 2 2 2 2 6 2 2 11" xfId="11414"/>
    <cellStyle name="Normal 2 2 2 2 2 6 2 2 11 2" xfId="11415"/>
    <cellStyle name="Normal 2 2 2 2 2 6 2 2 12" xfId="11416"/>
    <cellStyle name="Normal 2 2 2 2 2 6 2 2 2" xfId="11417"/>
    <cellStyle name="Normal 2 2 2 2 2 6 2 2 2 10" xfId="11418"/>
    <cellStyle name="Normal 2 2 2 2 2 6 2 2 2 10 2" xfId="11419"/>
    <cellStyle name="Normal 2 2 2 2 2 6 2 2 2 11" xfId="11420"/>
    <cellStyle name="Normal 2 2 2 2 2 6 2 2 2 2" xfId="11421"/>
    <cellStyle name="Normal 2 2 2 2 2 6 2 2 2 2 2" xfId="11422"/>
    <cellStyle name="Normal 2 2 2 2 2 6 2 2 2 3" xfId="11423"/>
    <cellStyle name="Normal 2 2 2 2 2 6 2 2 2 3 2" xfId="11424"/>
    <cellStyle name="Normal 2 2 2 2 2 6 2 2 2 4" xfId="11425"/>
    <cellStyle name="Normal 2 2 2 2 2 6 2 2 2 4 2" xfId="11426"/>
    <cellStyle name="Normal 2 2 2 2 2 6 2 2 2 5" xfId="11427"/>
    <cellStyle name="Normal 2 2 2 2 2 6 2 2 2 5 2" xfId="11428"/>
    <cellStyle name="Normal 2 2 2 2 2 6 2 2 2 6" xfId="11429"/>
    <cellStyle name="Normal 2 2 2 2 2 6 2 2 2 6 2" xfId="11430"/>
    <cellStyle name="Normal 2 2 2 2 2 6 2 2 2 7" xfId="11431"/>
    <cellStyle name="Normal 2 2 2 2 2 6 2 2 2 7 2" xfId="11432"/>
    <cellStyle name="Normal 2 2 2 2 2 6 2 2 2 8" xfId="11433"/>
    <cellStyle name="Normal 2 2 2 2 2 6 2 2 2 8 2" xfId="11434"/>
    <cellStyle name="Normal 2 2 2 2 2 6 2 2 2 9" xfId="11435"/>
    <cellStyle name="Normal 2 2 2 2 2 6 2 2 2 9 2" xfId="11436"/>
    <cellStyle name="Normal 2 2 2 2 2 6 2 2 3" xfId="11437"/>
    <cellStyle name="Normal 2 2 2 2 2 6 2 2 3 2" xfId="11438"/>
    <cellStyle name="Normal 2 2 2 2 2 6 2 2 4" xfId="11439"/>
    <cellStyle name="Normal 2 2 2 2 2 6 2 2 4 2" xfId="11440"/>
    <cellStyle name="Normal 2 2 2 2 2 6 2 2 5" xfId="11441"/>
    <cellStyle name="Normal 2 2 2 2 2 6 2 2 5 2" xfId="11442"/>
    <cellStyle name="Normal 2 2 2 2 2 6 2 2 6" xfId="11443"/>
    <cellStyle name="Normal 2 2 2 2 2 6 2 2 6 2" xfId="11444"/>
    <cellStyle name="Normal 2 2 2 2 2 6 2 2 7" xfId="11445"/>
    <cellStyle name="Normal 2 2 2 2 2 6 2 2 7 2" xfId="11446"/>
    <cellStyle name="Normal 2 2 2 2 2 6 2 2 8" xfId="11447"/>
    <cellStyle name="Normal 2 2 2 2 2 6 2 2 8 2" xfId="11448"/>
    <cellStyle name="Normal 2 2 2 2 2 6 2 2 9" xfId="11449"/>
    <cellStyle name="Normal 2 2 2 2 2 6 2 2 9 2" xfId="11450"/>
    <cellStyle name="Normal 2 2 2 2 2 6 2 3" xfId="11451"/>
    <cellStyle name="Normal 2 2 2 2 2 6 2 3 10" xfId="11452"/>
    <cellStyle name="Normal 2 2 2 2 2 6 2 3 10 2" xfId="11453"/>
    <cellStyle name="Normal 2 2 2 2 2 6 2 3 11" xfId="11454"/>
    <cellStyle name="Normal 2 2 2 2 2 6 2 3 2" xfId="11455"/>
    <cellStyle name="Normal 2 2 2 2 2 6 2 3 2 2" xfId="11456"/>
    <cellStyle name="Normal 2 2 2 2 2 6 2 3 3" xfId="11457"/>
    <cellStyle name="Normal 2 2 2 2 2 6 2 3 3 2" xfId="11458"/>
    <cellStyle name="Normal 2 2 2 2 2 6 2 3 4" xfId="11459"/>
    <cellStyle name="Normal 2 2 2 2 2 6 2 3 4 2" xfId="11460"/>
    <cellStyle name="Normal 2 2 2 2 2 6 2 3 5" xfId="11461"/>
    <cellStyle name="Normal 2 2 2 2 2 6 2 3 5 2" xfId="11462"/>
    <cellStyle name="Normal 2 2 2 2 2 6 2 3 6" xfId="11463"/>
    <cellStyle name="Normal 2 2 2 2 2 6 2 3 6 2" xfId="11464"/>
    <cellStyle name="Normal 2 2 2 2 2 6 2 3 7" xfId="11465"/>
    <cellStyle name="Normal 2 2 2 2 2 6 2 3 7 2" xfId="11466"/>
    <cellStyle name="Normal 2 2 2 2 2 6 2 3 8" xfId="11467"/>
    <cellStyle name="Normal 2 2 2 2 2 6 2 3 8 2" xfId="11468"/>
    <cellStyle name="Normal 2 2 2 2 2 6 2 3 9" xfId="11469"/>
    <cellStyle name="Normal 2 2 2 2 2 6 2 3 9 2" xfId="11470"/>
    <cellStyle name="Normal 2 2 2 2 2 6 2 4" xfId="11471"/>
    <cellStyle name="Normal 2 2 2 2 2 6 2 4 2" xfId="11472"/>
    <cellStyle name="Normal 2 2 2 2 2 6 2 5" xfId="11473"/>
    <cellStyle name="Normal 2 2 2 2 2 6 2 5 2" xfId="11474"/>
    <cellStyle name="Normal 2 2 2 2 2 6 2 6" xfId="11475"/>
    <cellStyle name="Normal 2 2 2 2 2 6 2 6 2" xfId="11476"/>
    <cellStyle name="Normal 2 2 2 2 2 6 2 7" xfId="11477"/>
    <cellStyle name="Normal 2 2 2 2 2 6 2 7 2" xfId="11478"/>
    <cellStyle name="Normal 2 2 2 2 2 6 2 8" xfId="11479"/>
    <cellStyle name="Normal 2 2 2 2 2 6 2 8 2" xfId="11480"/>
    <cellStyle name="Normal 2 2 2 2 2 6 2 9" xfId="11481"/>
    <cellStyle name="Normal 2 2 2 2 2 6 2 9 2" xfId="11482"/>
    <cellStyle name="Normal 2 2 2 2 2 6 3" xfId="11483"/>
    <cellStyle name="Normal 2 2 2 2 2 6 3 10" xfId="11484"/>
    <cellStyle name="Normal 2 2 2 2 2 6 3 10 2" xfId="11485"/>
    <cellStyle name="Normal 2 2 2 2 2 6 3 11" xfId="11486"/>
    <cellStyle name="Normal 2 2 2 2 2 6 3 11 2" xfId="11487"/>
    <cellStyle name="Normal 2 2 2 2 2 6 3 12" xfId="11488"/>
    <cellStyle name="Normal 2 2 2 2 2 6 3 12 2" xfId="11489"/>
    <cellStyle name="Normal 2 2 2 2 2 6 3 13" xfId="11490"/>
    <cellStyle name="Normal 2 2 2 2 2 6 3 2" xfId="11491"/>
    <cellStyle name="Normal 2 2 2 2 2 6 3 2 10" xfId="11492"/>
    <cellStyle name="Normal 2 2 2 2 2 6 3 2 10 2" xfId="11493"/>
    <cellStyle name="Normal 2 2 2 2 2 6 3 2 11" xfId="11494"/>
    <cellStyle name="Normal 2 2 2 2 2 6 3 2 11 2" xfId="11495"/>
    <cellStyle name="Normal 2 2 2 2 2 6 3 2 12" xfId="11496"/>
    <cellStyle name="Normal 2 2 2 2 2 6 3 2 2" xfId="11497"/>
    <cellStyle name="Normal 2 2 2 2 2 6 3 2 2 10" xfId="11498"/>
    <cellStyle name="Normal 2 2 2 2 2 6 3 2 2 10 2" xfId="11499"/>
    <cellStyle name="Normal 2 2 2 2 2 6 3 2 2 11" xfId="11500"/>
    <cellStyle name="Normal 2 2 2 2 2 6 3 2 2 2" xfId="11501"/>
    <cellStyle name="Normal 2 2 2 2 2 6 3 2 2 2 2" xfId="11502"/>
    <cellStyle name="Normal 2 2 2 2 2 6 3 2 2 3" xfId="11503"/>
    <cellStyle name="Normal 2 2 2 2 2 6 3 2 2 3 2" xfId="11504"/>
    <cellStyle name="Normal 2 2 2 2 2 6 3 2 2 4" xfId="11505"/>
    <cellStyle name="Normal 2 2 2 2 2 6 3 2 2 4 2" xfId="11506"/>
    <cellStyle name="Normal 2 2 2 2 2 6 3 2 2 5" xfId="11507"/>
    <cellStyle name="Normal 2 2 2 2 2 6 3 2 2 5 2" xfId="11508"/>
    <cellStyle name="Normal 2 2 2 2 2 6 3 2 2 6" xfId="11509"/>
    <cellStyle name="Normal 2 2 2 2 2 6 3 2 2 6 2" xfId="11510"/>
    <cellStyle name="Normal 2 2 2 2 2 6 3 2 2 7" xfId="11511"/>
    <cellStyle name="Normal 2 2 2 2 2 6 3 2 2 7 2" xfId="11512"/>
    <cellStyle name="Normal 2 2 2 2 2 6 3 2 2 8" xfId="11513"/>
    <cellStyle name="Normal 2 2 2 2 2 6 3 2 2 8 2" xfId="11514"/>
    <cellStyle name="Normal 2 2 2 2 2 6 3 2 2 9" xfId="11515"/>
    <cellStyle name="Normal 2 2 2 2 2 6 3 2 2 9 2" xfId="11516"/>
    <cellStyle name="Normal 2 2 2 2 2 6 3 2 3" xfId="11517"/>
    <cellStyle name="Normal 2 2 2 2 2 6 3 2 3 2" xfId="11518"/>
    <cellStyle name="Normal 2 2 2 2 2 6 3 2 4" xfId="11519"/>
    <cellStyle name="Normal 2 2 2 2 2 6 3 2 4 2" xfId="11520"/>
    <cellStyle name="Normal 2 2 2 2 2 6 3 2 5" xfId="11521"/>
    <cellStyle name="Normal 2 2 2 2 2 6 3 2 5 2" xfId="11522"/>
    <cellStyle name="Normal 2 2 2 2 2 6 3 2 6" xfId="11523"/>
    <cellStyle name="Normal 2 2 2 2 2 6 3 2 6 2" xfId="11524"/>
    <cellStyle name="Normal 2 2 2 2 2 6 3 2 7" xfId="11525"/>
    <cellStyle name="Normal 2 2 2 2 2 6 3 2 7 2" xfId="11526"/>
    <cellStyle name="Normal 2 2 2 2 2 6 3 2 8" xfId="11527"/>
    <cellStyle name="Normal 2 2 2 2 2 6 3 2 8 2" xfId="11528"/>
    <cellStyle name="Normal 2 2 2 2 2 6 3 2 9" xfId="11529"/>
    <cellStyle name="Normal 2 2 2 2 2 6 3 2 9 2" xfId="11530"/>
    <cellStyle name="Normal 2 2 2 2 2 6 3 3" xfId="11531"/>
    <cellStyle name="Normal 2 2 2 2 2 6 3 3 10" xfId="11532"/>
    <cellStyle name="Normal 2 2 2 2 2 6 3 3 10 2" xfId="11533"/>
    <cellStyle name="Normal 2 2 2 2 2 6 3 3 11" xfId="11534"/>
    <cellStyle name="Normal 2 2 2 2 2 6 3 3 2" xfId="11535"/>
    <cellStyle name="Normal 2 2 2 2 2 6 3 3 2 2" xfId="11536"/>
    <cellStyle name="Normal 2 2 2 2 2 6 3 3 3" xfId="11537"/>
    <cellStyle name="Normal 2 2 2 2 2 6 3 3 3 2" xfId="11538"/>
    <cellStyle name="Normal 2 2 2 2 2 6 3 3 4" xfId="11539"/>
    <cellStyle name="Normal 2 2 2 2 2 6 3 3 4 2" xfId="11540"/>
    <cellStyle name="Normal 2 2 2 2 2 6 3 3 5" xfId="11541"/>
    <cellStyle name="Normal 2 2 2 2 2 6 3 3 5 2" xfId="11542"/>
    <cellStyle name="Normal 2 2 2 2 2 6 3 3 6" xfId="11543"/>
    <cellStyle name="Normal 2 2 2 2 2 6 3 3 6 2" xfId="11544"/>
    <cellStyle name="Normal 2 2 2 2 2 6 3 3 7" xfId="11545"/>
    <cellStyle name="Normal 2 2 2 2 2 6 3 3 7 2" xfId="11546"/>
    <cellStyle name="Normal 2 2 2 2 2 6 3 3 8" xfId="11547"/>
    <cellStyle name="Normal 2 2 2 2 2 6 3 3 8 2" xfId="11548"/>
    <cellStyle name="Normal 2 2 2 2 2 6 3 3 9" xfId="11549"/>
    <cellStyle name="Normal 2 2 2 2 2 6 3 3 9 2" xfId="11550"/>
    <cellStyle name="Normal 2 2 2 2 2 6 3 4" xfId="11551"/>
    <cellStyle name="Normal 2 2 2 2 2 6 3 4 2" xfId="11552"/>
    <cellStyle name="Normal 2 2 2 2 2 6 3 5" xfId="11553"/>
    <cellStyle name="Normal 2 2 2 2 2 6 3 5 2" xfId="11554"/>
    <cellStyle name="Normal 2 2 2 2 2 6 3 6" xfId="11555"/>
    <cellStyle name="Normal 2 2 2 2 2 6 3 6 2" xfId="11556"/>
    <cellStyle name="Normal 2 2 2 2 2 6 3 7" xfId="11557"/>
    <cellStyle name="Normal 2 2 2 2 2 6 3 7 2" xfId="11558"/>
    <cellStyle name="Normal 2 2 2 2 2 6 3 8" xfId="11559"/>
    <cellStyle name="Normal 2 2 2 2 2 6 3 8 2" xfId="11560"/>
    <cellStyle name="Normal 2 2 2 2 2 6 3 9" xfId="11561"/>
    <cellStyle name="Normal 2 2 2 2 2 6 3 9 2" xfId="11562"/>
    <cellStyle name="Normal 2 2 2 2 2 6 4" xfId="11563"/>
    <cellStyle name="Normal 2 2 2 2 2 6 4 10" xfId="11564"/>
    <cellStyle name="Normal 2 2 2 2 2 6 4 10 2" xfId="11565"/>
    <cellStyle name="Normal 2 2 2 2 2 6 4 11" xfId="11566"/>
    <cellStyle name="Normal 2 2 2 2 2 6 4 11 2" xfId="11567"/>
    <cellStyle name="Normal 2 2 2 2 2 6 4 12" xfId="11568"/>
    <cellStyle name="Normal 2 2 2 2 2 6 4 12 2" xfId="11569"/>
    <cellStyle name="Normal 2 2 2 2 2 6 4 13" xfId="11570"/>
    <cellStyle name="Normal 2 2 2 2 2 6 4 2" xfId="11571"/>
    <cellStyle name="Normal 2 2 2 2 2 6 4 2 10" xfId="11572"/>
    <cellStyle name="Normal 2 2 2 2 2 6 4 2 10 2" xfId="11573"/>
    <cellStyle name="Normal 2 2 2 2 2 6 4 2 11" xfId="11574"/>
    <cellStyle name="Normal 2 2 2 2 2 6 4 2 11 2" xfId="11575"/>
    <cellStyle name="Normal 2 2 2 2 2 6 4 2 12" xfId="11576"/>
    <cellStyle name="Normal 2 2 2 2 2 6 4 2 2" xfId="11577"/>
    <cellStyle name="Normal 2 2 2 2 2 6 4 2 2 10" xfId="11578"/>
    <cellStyle name="Normal 2 2 2 2 2 6 4 2 2 10 2" xfId="11579"/>
    <cellStyle name="Normal 2 2 2 2 2 6 4 2 2 11" xfId="11580"/>
    <cellStyle name="Normal 2 2 2 2 2 6 4 2 2 2" xfId="11581"/>
    <cellStyle name="Normal 2 2 2 2 2 6 4 2 2 2 2" xfId="11582"/>
    <cellStyle name="Normal 2 2 2 2 2 6 4 2 2 3" xfId="11583"/>
    <cellStyle name="Normal 2 2 2 2 2 6 4 2 2 3 2" xfId="11584"/>
    <cellStyle name="Normal 2 2 2 2 2 6 4 2 2 4" xfId="11585"/>
    <cellStyle name="Normal 2 2 2 2 2 6 4 2 2 4 2" xfId="11586"/>
    <cellStyle name="Normal 2 2 2 2 2 6 4 2 2 5" xfId="11587"/>
    <cellStyle name="Normal 2 2 2 2 2 6 4 2 2 5 2" xfId="11588"/>
    <cellStyle name="Normal 2 2 2 2 2 6 4 2 2 6" xfId="11589"/>
    <cellStyle name="Normal 2 2 2 2 2 6 4 2 2 6 2" xfId="11590"/>
    <cellStyle name="Normal 2 2 2 2 2 6 4 2 2 7" xfId="11591"/>
    <cellStyle name="Normal 2 2 2 2 2 6 4 2 2 7 2" xfId="11592"/>
    <cellStyle name="Normal 2 2 2 2 2 6 4 2 2 8" xfId="11593"/>
    <cellStyle name="Normal 2 2 2 2 2 6 4 2 2 8 2" xfId="11594"/>
    <cellStyle name="Normal 2 2 2 2 2 6 4 2 2 9" xfId="11595"/>
    <cellStyle name="Normal 2 2 2 2 2 6 4 2 2 9 2" xfId="11596"/>
    <cellStyle name="Normal 2 2 2 2 2 6 4 2 3" xfId="11597"/>
    <cellStyle name="Normal 2 2 2 2 2 6 4 2 3 2" xfId="11598"/>
    <cellStyle name="Normal 2 2 2 2 2 6 4 2 4" xfId="11599"/>
    <cellStyle name="Normal 2 2 2 2 2 6 4 2 4 2" xfId="11600"/>
    <cellStyle name="Normal 2 2 2 2 2 6 4 2 5" xfId="11601"/>
    <cellStyle name="Normal 2 2 2 2 2 6 4 2 5 2" xfId="11602"/>
    <cellStyle name="Normal 2 2 2 2 2 6 4 2 6" xfId="11603"/>
    <cellStyle name="Normal 2 2 2 2 2 6 4 2 6 2" xfId="11604"/>
    <cellStyle name="Normal 2 2 2 2 2 6 4 2 7" xfId="11605"/>
    <cellStyle name="Normal 2 2 2 2 2 6 4 2 7 2" xfId="11606"/>
    <cellStyle name="Normal 2 2 2 2 2 6 4 2 8" xfId="11607"/>
    <cellStyle name="Normal 2 2 2 2 2 6 4 2 8 2" xfId="11608"/>
    <cellStyle name="Normal 2 2 2 2 2 6 4 2 9" xfId="11609"/>
    <cellStyle name="Normal 2 2 2 2 2 6 4 2 9 2" xfId="11610"/>
    <cellStyle name="Normal 2 2 2 2 2 6 4 3" xfId="11611"/>
    <cellStyle name="Normal 2 2 2 2 2 6 4 3 10" xfId="11612"/>
    <cellStyle name="Normal 2 2 2 2 2 6 4 3 10 2" xfId="11613"/>
    <cellStyle name="Normal 2 2 2 2 2 6 4 3 11" xfId="11614"/>
    <cellStyle name="Normal 2 2 2 2 2 6 4 3 2" xfId="11615"/>
    <cellStyle name="Normal 2 2 2 2 2 6 4 3 2 2" xfId="11616"/>
    <cellStyle name="Normal 2 2 2 2 2 6 4 3 3" xfId="11617"/>
    <cellStyle name="Normal 2 2 2 2 2 6 4 3 3 2" xfId="11618"/>
    <cellStyle name="Normal 2 2 2 2 2 6 4 3 4" xfId="11619"/>
    <cellStyle name="Normal 2 2 2 2 2 6 4 3 4 2" xfId="11620"/>
    <cellStyle name="Normal 2 2 2 2 2 6 4 3 5" xfId="11621"/>
    <cellStyle name="Normal 2 2 2 2 2 6 4 3 5 2" xfId="11622"/>
    <cellStyle name="Normal 2 2 2 2 2 6 4 3 6" xfId="11623"/>
    <cellStyle name="Normal 2 2 2 2 2 6 4 3 6 2" xfId="11624"/>
    <cellStyle name="Normal 2 2 2 2 2 6 4 3 7" xfId="11625"/>
    <cellStyle name="Normal 2 2 2 2 2 6 4 3 7 2" xfId="11626"/>
    <cellStyle name="Normal 2 2 2 2 2 6 4 3 8" xfId="11627"/>
    <cellStyle name="Normal 2 2 2 2 2 6 4 3 8 2" xfId="11628"/>
    <cellStyle name="Normal 2 2 2 2 2 6 4 3 9" xfId="11629"/>
    <cellStyle name="Normal 2 2 2 2 2 6 4 3 9 2" xfId="11630"/>
    <cellStyle name="Normal 2 2 2 2 2 6 4 4" xfId="11631"/>
    <cellStyle name="Normal 2 2 2 2 2 6 4 4 2" xfId="11632"/>
    <cellStyle name="Normal 2 2 2 2 2 6 4 5" xfId="11633"/>
    <cellStyle name="Normal 2 2 2 2 2 6 4 5 2" xfId="11634"/>
    <cellStyle name="Normal 2 2 2 2 2 6 4 6" xfId="11635"/>
    <cellStyle name="Normal 2 2 2 2 2 6 4 6 2" xfId="11636"/>
    <cellStyle name="Normal 2 2 2 2 2 6 4 7" xfId="11637"/>
    <cellStyle name="Normal 2 2 2 2 2 6 4 7 2" xfId="11638"/>
    <cellStyle name="Normal 2 2 2 2 2 6 4 8" xfId="11639"/>
    <cellStyle name="Normal 2 2 2 2 2 6 4 8 2" xfId="11640"/>
    <cellStyle name="Normal 2 2 2 2 2 6 4 9" xfId="11641"/>
    <cellStyle name="Normal 2 2 2 2 2 6 4 9 2" xfId="11642"/>
    <cellStyle name="Normal 2 2 2 2 2 6 5" xfId="11643"/>
    <cellStyle name="Normal 2 2 2 2 2 6 5 10" xfId="11644"/>
    <cellStyle name="Normal 2 2 2 2 2 6 5 10 2" xfId="11645"/>
    <cellStyle name="Normal 2 2 2 2 2 6 5 11" xfId="11646"/>
    <cellStyle name="Normal 2 2 2 2 2 6 5 11 2" xfId="11647"/>
    <cellStyle name="Normal 2 2 2 2 2 6 5 12" xfId="11648"/>
    <cellStyle name="Normal 2 2 2 2 2 6 5 12 2" xfId="11649"/>
    <cellStyle name="Normal 2 2 2 2 2 6 5 13" xfId="11650"/>
    <cellStyle name="Normal 2 2 2 2 2 6 5 2" xfId="11651"/>
    <cellStyle name="Normal 2 2 2 2 2 6 5 2 10" xfId="11652"/>
    <cellStyle name="Normal 2 2 2 2 2 6 5 2 10 2" xfId="11653"/>
    <cellStyle name="Normal 2 2 2 2 2 6 5 2 11" xfId="11654"/>
    <cellStyle name="Normal 2 2 2 2 2 6 5 2 11 2" xfId="11655"/>
    <cellStyle name="Normal 2 2 2 2 2 6 5 2 12" xfId="11656"/>
    <cellStyle name="Normal 2 2 2 2 2 6 5 2 2" xfId="11657"/>
    <cellStyle name="Normal 2 2 2 2 2 6 5 2 2 10" xfId="11658"/>
    <cellStyle name="Normal 2 2 2 2 2 6 5 2 2 10 2" xfId="11659"/>
    <cellStyle name="Normal 2 2 2 2 2 6 5 2 2 11" xfId="11660"/>
    <cellStyle name="Normal 2 2 2 2 2 6 5 2 2 2" xfId="11661"/>
    <cellStyle name="Normal 2 2 2 2 2 6 5 2 2 2 2" xfId="11662"/>
    <cellStyle name="Normal 2 2 2 2 2 6 5 2 2 3" xfId="11663"/>
    <cellStyle name="Normal 2 2 2 2 2 6 5 2 2 3 2" xfId="11664"/>
    <cellStyle name="Normal 2 2 2 2 2 6 5 2 2 4" xfId="11665"/>
    <cellStyle name="Normal 2 2 2 2 2 6 5 2 2 4 2" xfId="11666"/>
    <cellStyle name="Normal 2 2 2 2 2 6 5 2 2 5" xfId="11667"/>
    <cellStyle name="Normal 2 2 2 2 2 6 5 2 2 5 2" xfId="11668"/>
    <cellStyle name="Normal 2 2 2 2 2 6 5 2 2 6" xfId="11669"/>
    <cellStyle name="Normal 2 2 2 2 2 6 5 2 2 6 2" xfId="11670"/>
    <cellStyle name="Normal 2 2 2 2 2 6 5 2 2 7" xfId="11671"/>
    <cellStyle name="Normal 2 2 2 2 2 6 5 2 2 7 2" xfId="11672"/>
    <cellStyle name="Normal 2 2 2 2 2 6 5 2 2 8" xfId="11673"/>
    <cellStyle name="Normal 2 2 2 2 2 6 5 2 2 8 2" xfId="11674"/>
    <cellStyle name="Normal 2 2 2 2 2 6 5 2 2 9" xfId="11675"/>
    <cellStyle name="Normal 2 2 2 2 2 6 5 2 2 9 2" xfId="11676"/>
    <cellStyle name="Normal 2 2 2 2 2 6 5 2 3" xfId="11677"/>
    <cellStyle name="Normal 2 2 2 2 2 6 5 2 3 2" xfId="11678"/>
    <cellStyle name="Normal 2 2 2 2 2 6 5 2 4" xfId="11679"/>
    <cellStyle name="Normal 2 2 2 2 2 6 5 2 4 2" xfId="11680"/>
    <cellStyle name="Normal 2 2 2 2 2 6 5 2 5" xfId="11681"/>
    <cellStyle name="Normal 2 2 2 2 2 6 5 2 5 2" xfId="11682"/>
    <cellStyle name="Normal 2 2 2 2 2 6 5 2 6" xfId="11683"/>
    <cellStyle name="Normal 2 2 2 2 2 6 5 2 6 2" xfId="11684"/>
    <cellStyle name="Normal 2 2 2 2 2 6 5 2 7" xfId="11685"/>
    <cellStyle name="Normal 2 2 2 2 2 6 5 2 7 2" xfId="11686"/>
    <cellStyle name="Normal 2 2 2 2 2 6 5 2 8" xfId="11687"/>
    <cellStyle name="Normal 2 2 2 2 2 6 5 2 8 2" xfId="11688"/>
    <cellStyle name="Normal 2 2 2 2 2 6 5 2 9" xfId="11689"/>
    <cellStyle name="Normal 2 2 2 2 2 6 5 2 9 2" xfId="11690"/>
    <cellStyle name="Normal 2 2 2 2 2 6 5 3" xfId="11691"/>
    <cellStyle name="Normal 2 2 2 2 2 6 5 3 10" xfId="11692"/>
    <cellStyle name="Normal 2 2 2 2 2 6 5 3 10 2" xfId="11693"/>
    <cellStyle name="Normal 2 2 2 2 2 6 5 3 11" xfId="11694"/>
    <cellStyle name="Normal 2 2 2 2 2 6 5 3 2" xfId="11695"/>
    <cellStyle name="Normal 2 2 2 2 2 6 5 3 2 2" xfId="11696"/>
    <cellStyle name="Normal 2 2 2 2 2 6 5 3 3" xfId="11697"/>
    <cellStyle name="Normal 2 2 2 2 2 6 5 3 3 2" xfId="11698"/>
    <cellStyle name="Normal 2 2 2 2 2 6 5 3 4" xfId="11699"/>
    <cellStyle name="Normal 2 2 2 2 2 6 5 3 4 2" xfId="11700"/>
    <cellStyle name="Normal 2 2 2 2 2 6 5 3 5" xfId="11701"/>
    <cellStyle name="Normal 2 2 2 2 2 6 5 3 5 2" xfId="11702"/>
    <cellStyle name="Normal 2 2 2 2 2 6 5 3 6" xfId="11703"/>
    <cellStyle name="Normal 2 2 2 2 2 6 5 3 6 2" xfId="11704"/>
    <cellStyle name="Normal 2 2 2 2 2 6 5 3 7" xfId="11705"/>
    <cellStyle name="Normal 2 2 2 2 2 6 5 3 7 2" xfId="11706"/>
    <cellStyle name="Normal 2 2 2 2 2 6 5 3 8" xfId="11707"/>
    <cellStyle name="Normal 2 2 2 2 2 6 5 3 8 2" xfId="11708"/>
    <cellStyle name="Normal 2 2 2 2 2 6 5 3 9" xfId="11709"/>
    <cellStyle name="Normal 2 2 2 2 2 6 5 3 9 2" xfId="11710"/>
    <cellStyle name="Normal 2 2 2 2 2 6 5 4" xfId="11711"/>
    <cellStyle name="Normal 2 2 2 2 2 6 5 4 2" xfId="11712"/>
    <cellStyle name="Normal 2 2 2 2 2 6 5 5" xfId="11713"/>
    <cellStyle name="Normal 2 2 2 2 2 6 5 5 2" xfId="11714"/>
    <cellStyle name="Normal 2 2 2 2 2 6 5 6" xfId="11715"/>
    <cellStyle name="Normal 2 2 2 2 2 6 5 6 2" xfId="11716"/>
    <cellStyle name="Normal 2 2 2 2 2 6 5 7" xfId="11717"/>
    <cellStyle name="Normal 2 2 2 2 2 6 5 7 2" xfId="11718"/>
    <cellStyle name="Normal 2 2 2 2 2 6 5 8" xfId="11719"/>
    <cellStyle name="Normal 2 2 2 2 2 6 5 8 2" xfId="11720"/>
    <cellStyle name="Normal 2 2 2 2 2 6 5 9" xfId="11721"/>
    <cellStyle name="Normal 2 2 2 2 2 6 5 9 2" xfId="11722"/>
    <cellStyle name="Normal 2 2 2 2 2 6 6" xfId="11723"/>
    <cellStyle name="Normal 2 2 2 2 2 7" xfId="11724"/>
    <cellStyle name="Normal 2 2 2 2 2 7 2" xfId="11725"/>
    <cellStyle name="Normal 2 2 2 2 2 8" xfId="11726"/>
    <cellStyle name="Normal 2 2 2 2 2 8 2" xfId="11727"/>
    <cellStyle name="Normal 2 2 2 2 2 9" xfId="11728"/>
    <cellStyle name="Normal 2 2 2 2 2 9 2" xfId="11729"/>
    <cellStyle name="Normal 2 2 2 2 3" xfId="11730"/>
    <cellStyle name="Normal 2 2 2 2 3 2" xfId="11731"/>
    <cellStyle name="Normal 2 2 2 2 4" xfId="11732"/>
    <cellStyle name="Normal 2 2 2 2 4 2" xfId="11733"/>
    <cellStyle name="Normal 2 2 2 2 5" xfId="11734"/>
    <cellStyle name="Normal 2 2 2 2 5 2" xfId="11735"/>
    <cellStyle name="Normal 2 2 2 2 6" xfId="11736"/>
    <cellStyle name="Normal 2 2 2 2 6 2" xfId="11737"/>
    <cellStyle name="Normal 2 2 2 2 7" xfId="11738"/>
    <cellStyle name="Normal 2 2 2 2 7 2" xfId="11739"/>
    <cellStyle name="Normal 2 2 2 2 8" xfId="11740"/>
    <cellStyle name="Normal 2 2 2 2 8 2" xfId="11741"/>
    <cellStyle name="Normal 2 2 2 2 9" xfId="11742"/>
    <cellStyle name="Normal 2 2 2 2 9 10" xfId="11743"/>
    <cellStyle name="Normal 2 2 2 2 9 10 2" xfId="11744"/>
    <cellStyle name="Normal 2 2 2 2 9 11" xfId="11745"/>
    <cellStyle name="Normal 2 2 2 2 9 11 2" xfId="11746"/>
    <cellStyle name="Normal 2 2 2 2 9 12" xfId="11747"/>
    <cellStyle name="Normal 2 2 2 2 9 12 2" xfId="11748"/>
    <cellStyle name="Normal 2 2 2 2 9 13" xfId="11749"/>
    <cellStyle name="Normal 2 2 2 2 9 13 2" xfId="11750"/>
    <cellStyle name="Normal 2 2 2 2 9 14" xfId="11751"/>
    <cellStyle name="Normal 2 2 2 2 9 14 2" xfId="11752"/>
    <cellStyle name="Normal 2 2 2 2 9 15" xfId="11753"/>
    <cellStyle name="Normal 2 2 2 2 9 15 2" xfId="11754"/>
    <cellStyle name="Normal 2 2 2 2 9 16" xfId="11755"/>
    <cellStyle name="Normal 2 2 2 2 9 16 2" xfId="11756"/>
    <cellStyle name="Normal 2 2 2 2 9 17" xfId="11757"/>
    <cellStyle name="Normal 2 2 2 2 9 17 2" xfId="11758"/>
    <cellStyle name="Normal 2 2 2 2 9 18" xfId="11759"/>
    <cellStyle name="Normal 2 2 2 2 9 2" xfId="11760"/>
    <cellStyle name="Normal 2 2 2 2 9 2 2" xfId="11761"/>
    <cellStyle name="Normal 2 2 2 2 9 2 2 10" xfId="11762"/>
    <cellStyle name="Normal 2 2 2 2 9 2 2 10 2" xfId="11763"/>
    <cellStyle name="Normal 2 2 2 2 9 2 2 11" xfId="11764"/>
    <cellStyle name="Normal 2 2 2 2 9 2 2 11 2" xfId="11765"/>
    <cellStyle name="Normal 2 2 2 2 9 2 2 12" xfId="11766"/>
    <cellStyle name="Normal 2 2 2 2 9 2 2 12 2" xfId="11767"/>
    <cellStyle name="Normal 2 2 2 2 9 2 2 13" xfId="11768"/>
    <cellStyle name="Normal 2 2 2 2 9 2 2 13 2" xfId="11769"/>
    <cellStyle name="Normal 2 2 2 2 9 2 2 14" xfId="11770"/>
    <cellStyle name="Normal 2 2 2 2 9 2 2 14 2" xfId="11771"/>
    <cellStyle name="Normal 2 2 2 2 9 2 2 15" xfId="11772"/>
    <cellStyle name="Normal 2 2 2 2 9 2 2 15 2" xfId="11773"/>
    <cellStyle name="Normal 2 2 2 2 9 2 2 16" xfId="11774"/>
    <cellStyle name="Normal 2 2 2 2 9 2 2 16 2" xfId="11775"/>
    <cellStyle name="Normal 2 2 2 2 9 2 2 17" xfId="11776"/>
    <cellStyle name="Normal 2 2 2 2 9 2 2 2" xfId="11777"/>
    <cellStyle name="Normal 2 2 2 2 9 2 2 2 2" xfId="11778"/>
    <cellStyle name="Normal 2 2 2 2 9 2 2 3" xfId="11779"/>
    <cellStyle name="Normal 2 2 2 2 9 2 2 3 2" xfId="11780"/>
    <cellStyle name="Normal 2 2 2 2 9 2 2 4" xfId="11781"/>
    <cellStyle name="Normal 2 2 2 2 9 2 2 4 2" xfId="11782"/>
    <cellStyle name="Normal 2 2 2 2 9 2 2 5" xfId="11783"/>
    <cellStyle name="Normal 2 2 2 2 9 2 2 5 2" xfId="11784"/>
    <cellStyle name="Normal 2 2 2 2 9 2 2 6" xfId="11785"/>
    <cellStyle name="Normal 2 2 2 2 9 2 2 6 10" xfId="11786"/>
    <cellStyle name="Normal 2 2 2 2 9 2 2 6 10 2" xfId="11787"/>
    <cellStyle name="Normal 2 2 2 2 9 2 2 6 11" xfId="11788"/>
    <cellStyle name="Normal 2 2 2 2 9 2 2 6 11 2" xfId="11789"/>
    <cellStyle name="Normal 2 2 2 2 9 2 2 6 12" xfId="11790"/>
    <cellStyle name="Normal 2 2 2 2 9 2 2 6 2" xfId="11791"/>
    <cellStyle name="Normal 2 2 2 2 9 2 2 6 2 10" xfId="11792"/>
    <cellStyle name="Normal 2 2 2 2 9 2 2 6 2 10 2" xfId="11793"/>
    <cellStyle name="Normal 2 2 2 2 9 2 2 6 2 11" xfId="11794"/>
    <cellStyle name="Normal 2 2 2 2 9 2 2 6 2 2" xfId="11795"/>
    <cellStyle name="Normal 2 2 2 2 9 2 2 6 2 2 2" xfId="11796"/>
    <cellStyle name="Normal 2 2 2 2 9 2 2 6 2 3" xfId="11797"/>
    <cellStyle name="Normal 2 2 2 2 9 2 2 6 2 3 2" xfId="11798"/>
    <cellStyle name="Normal 2 2 2 2 9 2 2 6 2 4" xfId="11799"/>
    <cellStyle name="Normal 2 2 2 2 9 2 2 6 2 4 2" xfId="11800"/>
    <cellStyle name="Normal 2 2 2 2 9 2 2 6 2 5" xfId="11801"/>
    <cellStyle name="Normal 2 2 2 2 9 2 2 6 2 5 2" xfId="11802"/>
    <cellStyle name="Normal 2 2 2 2 9 2 2 6 2 6" xfId="11803"/>
    <cellStyle name="Normal 2 2 2 2 9 2 2 6 2 6 2" xfId="11804"/>
    <cellStyle name="Normal 2 2 2 2 9 2 2 6 2 7" xfId="11805"/>
    <cellStyle name="Normal 2 2 2 2 9 2 2 6 2 7 2" xfId="11806"/>
    <cellStyle name="Normal 2 2 2 2 9 2 2 6 2 8" xfId="11807"/>
    <cellStyle name="Normal 2 2 2 2 9 2 2 6 2 8 2" xfId="11808"/>
    <cellStyle name="Normal 2 2 2 2 9 2 2 6 2 9" xfId="11809"/>
    <cellStyle name="Normal 2 2 2 2 9 2 2 6 2 9 2" xfId="11810"/>
    <cellStyle name="Normal 2 2 2 2 9 2 2 6 3" xfId="11811"/>
    <cellStyle name="Normal 2 2 2 2 9 2 2 6 3 2" xfId="11812"/>
    <cellStyle name="Normal 2 2 2 2 9 2 2 6 4" xfId="11813"/>
    <cellStyle name="Normal 2 2 2 2 9 2 2 6 4 2" xfId="11814"/>
    <cellStyle name="Normal 2 2 2 2 9 2 2 6 5" xfId="11815"/>
    <cellStyle name="Normal 2 2 2 2 9 2 2 6 5 2" xfId="11816"/>
    <cellStyle name="Normal 2 2 2 2 9 2 2 6 6" xfId="11817"/>
    <cellStyle name="Normal 2 2 2 2 9 2 2 6 6 2" xfId="11818"/>
    <cellStyle name="Normal 2 2 2 2 9 2 2 6 7" xfId="11819"/>
    <cellStyle name="Normal 2 2 2 2 9 2 2 6 7 2" xfId="11820"/>
    <cellStyle name="Normal 2 2 2 2 9 2 2 6 8" xfId="11821"/>
    <cellStyle name="Normal 2 2 2 2 9 2 2 6 8 2" xfId="11822"/>
    <cellStyle name="Normal 2 2 2 2 9 2 2 6 9" xfId="11823"/>
    <cellStyle name="Normal 2 2 2 2 9 2 2 6 9 2" xfId="11824"/>
    <cellStyle name="Normal 2 2 2 2 9 2 2 7" xfId="11825"/>
    <cellStyle name="Normal 2 2 2 2 9 2 2 7 10" xfId="11826"/>
    <cellStyle name="Normal 2 2 2 2 9 2 2 7 10 2" xfId="11827"/>
    <cellStyle name="Normal 2 2 2 2 9 2 2 7 11" xfId="11828"/>
    <cellStyle name="Normal 2 2 2 2 9 2 2 7 2" xfId="11829"/>
    <cellStyle name="Normal 2 2 2 2 9 2 2 7 2 2" xfId="11830"/>
    <cellStyle name="Normal 2 2 2 2 9 2 2 7 3" xfId="11831"/>
    <cellStyle name="Normal 2 2 2 2 9 2 2 7 3 2" xfId="11832"/>
    <cellStyle name="Normal 2 2 2 2 9 2 2 7 4" xfId="11833"/>
    <cellStyle name="Normal 2 2 2 2 9 2 2 7 4 2" xfId="11834"/>
    <cellStyle name="Normal 2 2 2 2 9 2 2 7 5" xfId="11835"/>
    <cellStyle name="Normal 2 2 2 2 9 2 2 7 5 2" xfId="11836"/>
    <cellStyle name="Normal 2 2 2 2 9 2 2 7 6" xfId="11837"/>
    <cellStyle name="Normal 2 2 2 2 9 2 2 7 6 2" xfId="11838"/>
    <cellStyle name="Normal 2 2 2 2 9 2 2 7 7" xfId="11839"/>
    <cellStyle name="Normal 2 2 2 2 9 2 2 7 7 2" xfId="11840"/>
    <cellStyle name="Normal 2 2 2 2 9 2 2 7 8" xfId="11841"/>
    <cellStyle name="Normal 2 2 2 2 9 2 2 7 8 2" xfId="11842"/>
    <cellStyle name="Normal 2 2 2 2 9 2 2 7 9" xfId="11843"/>
    <cellStyle name="Normal 2 2 2 2 9 2 2 7 9 2" xfId="11844"/>
    <cellStyle name="Normal 2 2 2 2 9 2 2 8" xfId="11845"/>
    <cellStyle name="Normal 2 2 2 2 9 2 2 8 2" xfId="11846"/>
    <cellStyle name="Normal 2 2 2 2 9 2 2 9" xfId="11847"/>
    <cellStyle name="Normal 2 2 2 2 9 2 2 9 2" xfId="11848"/>
    <cellStyle name="Normal 2 2 2 2 9 2 3" xfId="11849"/>
    <cellStyle name="Normal 2 2 2 2 9 2 3 10" xfId="11850"/>
    <cellStyle name="Normal 2 2 2 2 9 2 3 10 2" xfId="11851"/>
    <cellStyle name="Normal 2 2 2 2 9 2 3 11" xfId="11852"/>
    <cellStyle name="Normal 2 2 2 2 9 2 3 11 2" xfId="11853"/>
    <cellStyle name="Normal 2 2 2 2 9 2 3 12" xfId="11854"/>
    <cellStyle name="Normal 2 2 2 2 9 2 3 12 2" xfId="11855"/>
    <cellStyle name="Normal 2 2 2 2 9 2 3 13" xfId="11856"/>
    <cellStyle name="Normal 2 2 2 2 9 2 3 2" xfId="11857"/>
    <cellStyle name="Normal 2 2 2 2 9 2 3 2 10" xfId="11858"/>
    <cellStyle name="Normal 2 2 2 2 9 2 3 2 10 2" xfId="11859"/>
    <cellStyle name="Normal 2 2 2 2 9 2 3 2 11" xfId="11860"/>
    <cellStyle name="Normal 2 2 2 2 9 2 3 2 11 2" xfId="11861"/>
    <cellStyle name="Normal 2 2 2 2 9 2 3 2 12" xfId="11862"/>
    <cellStyle name="Normal 2 2 2 2 9 2 3 2 2" xfId="11863"/>
    <cellStyle name="Normal 2 2 2 2 9 2 3 2 2 10" xfId="11864"/>
    <cellStyle name="Normal 2 2 2 2 9 2 3 2 2 10 2" xfId="11865"/>
    <cellStyle name="Normal 2 2 2 2 9 2 3 2 2 11" xfId="11866"/>
    <cellStyle name="Normal 2 2 2 2 9 2 3 2 2 2" xfId="11867"/>
    <cellStyle name="Normal 2 2 2 2 9 2 3 2 2 2 2" xfId="11868"/>
    <cellStyle name="Normal 2 2 2 2 9 2 3 2 2 3" xfId="11869"/>
    <cellStyle name="Normal 2 2 2 2 9 2 3 2 2 3 2" xfId="11870"/>
    <cellStyle name="Normal 2 2 2 2 9 2 3 2 2 4" xfId="11871"/>
    <cellStyle name="Normal 2 2 2 2 9 2 3 2 2 4 2" xfId="11872"/>
    <cellStyle name="Normal 2 2 2 2 9 2 3 2 2 5" xfId="11873"/>
    <cellStyle name="Normal 2 2 2 2 9 2 3 2 2 5 2" xfId="11874"/>
    <cellStyle name="Normal 2 2 2 2 9 2 3 2 2 6" xfId="11875"/>
    <cellStyle name="Normal 2 2 2 2 9 2 3 2 2 6 2" xfId="11876"/>
    <cellStyle name="Normal 2 2 2 2 9 2 3 2 2 7" xfId="11877"/>
    <cellStyle name="Normal 2 2 2 2 9 2 3 2 2 7 2" xfId="11878"/>
    <cellStyle name="Normal 2 2 2 2 9 2 3 2 2 8" xfId="11879"/>
    <cellStyle name="Normal 2 2 2 2 9 2 3 2 2 8 2" xfId="11880"/>
    <cellStyle name="Normal 2 2 2 2 9 2 3 2 2 9" xfId="11881"/>
    <cellStyle name="Normal 2 2 2 2 9 2 3 2 2 9 2" xfId="11882"/>
    <cellStyle name="Normal 2 2 2 2 9 2 3 2 3" xfId="11883"/>
    <cellStyle name="Normal 2 2 2 2 9 2 3 2 3 2" xfId="11884"/>
    <cellStyle name="Normal 2 2 2 2 9 2 3 2 4" xfId="11885"/>
    <cellStyle name="Normal 2 2 2 2 9 2 3 2 4 2" xfId="11886"/>
    <cellStyle name="Normal 2 2 2 2 9 2 3 2 5" xfId="11887"/>
    <cellStyle name="Normal 2 2 2 2 9 2 3 2 5 2" xfId="11888"/>
    <cellStyle name="Normal 2 2 2 2 9 2 3 2 6" xfId="11889"/>
    <cellStyle name="Normal 2 2 2 2 9 2 3 2 6 2" xfId="11890"/>
    <cellStyle name="Normal 2 2 2 2 9 2 3 2 7" xfId="11891"/>
    <cellStyle name="Normal 2 2 2 2 9 2 3 2 7 2" xfId="11892"/>
    <cellStyle name="Normal 2 2 2 2 9 2 3 2 8" xfId="11893"/>
    <cellStyle name="Normal 2 2 2 2 9 2 3 2 8 2" xfId="11894"/>
    <cellStyle name="Normal 2 2 2 2 9 2 3 2 9" xfId="11895"/>
    <cellStyle name="Normal 2 2 2 2 9 2 3 2 9 2" xfId="11896"/>
    <cellStyle name="Normal 2 2 2 2 9 2 3 3" xfId="11897"/>
    <cellStyle name="Normal 2 2 2 2 9 2 3 3 10" xfId="11898"/>
    <cellStyle name="Normal 2 2 2 2 9 2 3 3 10 2" xfId="11899"/>
    <cellStyle name="Normal 2 2 2 2 9 2 3 3 11" xfId="11900"/>
    <cellStyle name="Normal 2 2 2 2 9 2 3 3 2" xfId="11901"/>
    <cellStyle name="Normal 2 2 2 2 9 2 3 3 2 2" xfId="11902"/>
    <cellStyle name="Normal 2 2 2 2 9 2 3 3 3" xfId="11903"/>
    <cellStyle name="Normal 2 2 2 2 9 2 3 3 3 2" xfId="11904"/>
    <cellStyle name="Normal 2 2 2 2 9 2 3 3 4" xfId="11905"/>
    <cellStyle name="Normal 2 2 2 2 9 2 3 3 4 2" xfId="11906"/>
    <cellStyle name="Normal 2 2 2 2 9 2 3 3 5" xfId="11907"/>
    <cellStyle name="Normal 2 2 2 2 9 2 3 3 5 2" xfId="11908"/>
    <cellStyle name="Normal 2 2 2 2 9 2 3 3 6" xfId="11909"/>
    <cellStyle name="Normal 2 2 2 2 9 2 3 3 6 2" xfId="11910"/>
    <cellStyle name="Normal 2 2 2 2 9 2 3 3 7" xfId="11911"/>
    <cellStyle name="Normal 2 2 2 2 9 2 3 3 7 2" xfId="11912"/>
    <cellStyle name="Normal 2 2 2 2 9 2 3 3 8" xfId="11913"/>
    <cellStyle name="Normal 2 2 2 2 9 2 3 3 8 2" xfId="11914"/>
    <cellStyle name="Normal 2 2 2 2 9 2 3 3 9" xfId="11915"/>
    <cellStyle name="Normal 2 2 2 2 9 2 3 3 9 2" xfId="11916"/>
    <cellStyle name="Normal 2 2 2 2 9 2 3 4" xfId="11917"/>
    <cellStyle name="Normal 2 2 2 2 9 2 3 4 2" xfId="11918"/>
    <cellStyle name="Normal 2 2 2 2 9 2 3 5" xfId="11919"/>
    <cellStyle name="Normal 2 2 2 2 9 2 3 5 2" xfId="11920"/>
    <cellStyle name="Normal 2 2 2 2 9 2 3 6" xfId="11921"/>
    <cellStyle name="Normal 2 2 2 2 9 2 3 6 2" xfId="11922"/>
    <cellStyle name="Normal 2 2 2 2 9 2 3 7" xfId="11923"/>
    <cellStyle name="Normal 2 2 2 2 9 2 3 7 2" xfId="11924"/>
    <cellStyle name="Normal 2 2 2 2 9 2 3 8" xfId="11925"/>
    <cellStyle name="Normal 2 2 2 2 9 2 3 8 2" xfId="11926"/>
    <cellStyle name="Normal 2 2 2 2 9 2 3 9" xfId="11927"/>
    <cellStyle name="Normal 2 2 2 2 9 2 3 9 2" xfId="11928"/>
    <cellStyle name="Normal 2 2 2 2 9 2 4" xfId="11929"/>
    <cellStyle name="Normal 2 2 2 2 9 2 4 10" xfId="11930"/>
    <cellStyle name="Normal 2 2 2 2 9 2 4 10 2" xfId="11931"/>
    <cellStyle name="Normal 2 2 2 2 9 2 4 11" xfId="11932"/>
    <cellStyle name="Normal 2 2 2 2 9 2 4 11 2" xfId="11933"/>
    <cellStyle name="Normal 2 2 2 2 9 2 4 12" xfId="11934"/>
    <cellStyle name="Normal 2 2 2 2 9 2 4 12 2" xfId="11935"/>
    <cellStyle name="Normal 2 2 2 2 9 2 4 13" xfId="11936"/>
    <cellStyle name="Normal 2 2 2 2 9 2 4 2" xfId="11937"/>
    <cellStyle name="Normal 2 2 2 2 9 2 4 2 10" xfId="11938"/>
    <cellStyle name="Normal 2 2 2 2 9 2 4 2 10 2" xfId="11939"/>
    <cellStyle name="Normal 2 2 2 2 9 2 4 2 11" xfId="11940"/>
    <cellStyle name="Normal 2 2 2 2 9 2 4 2 11 2" xfId="11941"/>
    <cellStyle name="Normal 2 2 2 2 9 2 4 2 12" xfId="11942"/>
    <cellStyle name="Normal 2 2 2 2 9 2 4 2 2" xfId="11943"/>
    <cellStyle name="Normal 2 2 2 2 9 2 4 2 2 10" xfId="11944"/>
    <cellStyle name="Normal 2 2 2 2 9 2 4 2 2 10 2" xfId="11945"/>
    <cellStyle name="Normal 2 2 2 2 9 2 4 2 2 11" xfId="11946"/>
    <cellStyle name="Normal 2 2 2 2 9 2 4 2 2 2" xfId="11947"/>
    <cellStyle name="Normal 2 2 2 2 9 2 4 2 2 2 2" xfId="11948"/>
    <cellStyle name="Normal 2 2 2 2 9 2 4 2 2 3" xfId="11949"/>
    <cellStyle name="Normal 2 2 2 2 9 2 4 2 2 3 2" xfId="11950"/>
    <cellStyle name="Normal 2 2 2 2 9 2 4 2 2 4" xfId="11951"/>
    <cellStyle name="Normal 2 2 2 2 9 2 4 2 2 4 2" xfId="11952"/>
    <cellStyle name="Normal 2 2 2 2 9 2 4 2 2 5" xfId="11953"/>
    <cellStyle name="Normal 2 2 2 2 9 2 4 2 2 5 2" xfId="11954"/>
    <cellStyle name="Normal 2 2 2 2 9 2 4 2 2 6" xfId="11955"/>
    <cellStyle name="Normal 2 2 2 2 9 2 4 2 2 6 2" xfId="11956"/>
    <cellStyle name="Normal 2 2 2 2 9 2 4 2 2 7" xfId="11957"/>
    <cellStyle name="Normal 2 2 2 2 9 2 4 2 2 7 2" xfId="11958"/>
    <cellStyle name="Normal 2 2 2 2 9 2 4 2 2 8" xfId="11959"/>
    <cellStyle name="Normal 2 2 2 2 9 2 4 2 2 8 2" xfId="11960"/>
    <cellStyle name="Normal 2 2 2 2 9 2 4 2 2 9" xfId="11961"/>
    <cellStyle name="Normal 2 2 2 2 9 2 4 2 2 9 2" xfId="11962"/>
    <cellStyle name="Normal 2 2 2 2 9 2 4 2 3" xfId="11963"/>
    <cellStyle name="Normal 2 2 2 2 9 2 4 2 3 2" xfId="11964"/>
    <cellStyle name="Normal 2 2 2 2 9 2 4 2 4" xfId="11965"/>
    <cellStyle name="Normal 2 2 2 2 9 2 4 2 4 2" xfId="11966"/>
    <cellStyle name="Normal 2 2 2 2 9 2 4 2 5" xfId="11967"/>
    <cellStyle name="Normal 2 2 2 2 9 2 4 2 5 2" xfId="11968"/>
    <cellStyle name="Normal 2 2 2 2 9 2 4 2 6" xfId="11969"/>
    <cellStyle name="Normal 2 2 2 2 9 2 4 2 6 2" xfId="11970"/>
    <cellStyle name="Normal 2 2 2 2 9 2 4 2 7" xfId="11971"/>
    <cellStyle name="Normal 2 2 2 2 9 2 4 2 7 2" xfId="11972"/>
    <cellStyle name="Normal 2 2 2 2 9 2 4 2 8" xfId="11973"/>
    <cellStyle name="Normal 2 2 2 2 9 2 4 2 8 2" xfId="11974"/>
    <cellStyle name="Normal 2 2 2 2 9 2 4 2 9" xfId="11975"/>
    <cellStyle name="Normal 2 2 2 2 9 2 4 2 9 2" xfId="11976"/>
    <cellStyle name="Normal 2 2 2 2 9 2 4 3" xfId="11977"/>
    <cellStyle name="Normal 2 2 2 2 9 2 4 3 10" xfId="11978"/>
    <cellStyle name="Normal 2 2 2 2 9 2 4 3 10 2" xfId="11979"/>
    <cellStyle name="Normal 2 2 2 2 9 2 4 3 11" xfId="11980"/>
    <cellStyle name="Normal 2 2 2 2 9 2 4 3 2" xfId="11981"/>
    <cellStyle name="Normal 2 2 2 2 9 2 4 3 2 2" xfId="11982"/>
    <cellStyle name="Normal 2 2 2 2 9 2 4 3 3" xfId="11983"/>
    <cellStyle name="Normal 2 2 2 2 9 2 4 3 3 2" xfId="11984"/>
    <cellStyle name="Normal 2 2 2 2 9 2 4 3 4" xfId="11985"/>
    <cellStyle name="Normal 2 2 2 2 9 2 4 3 4 2" xfId="11986"/>
    <cellStyle name="Normal 2 2 2 2 9 2 4 3 5" xfId="11987"/>
    <cellStyle name="Normal 2 2 2 2 9 2 4 3 5 2" xfId="11988"/>
    <cellStyle name="Normal 2 2 2 2 9 2 4 3 6" xfId="11989"/>
    <cellStyle name="Normal 2 2 2 2 9 2 4 3 6 2" xfId="11990"/>
    <cellStyle name="Normal 2 2 2 2 9 2 4 3 7" xfId="11991"/>
    <cellStyle name="Normal 2 2 2 2 9 2 4 3 7 2" xfId="11992"/>
    <cellStyle name="Normal 2 2 2 2 9 2 4 3 8" xfId="11993"/>
    <cellStyle name="Normal 2 2 2 2 9 2 4 3 8 2" xfId="11994"/>
    <cellStyle name="Normal 2 2 2 2 9 2 4 3 9" xfId="11995"/>
    <cellStyle name="Normal 2 2 2 2 9 2 4 3 9 2" xfId="11996"/>
    <cellStyle name="Normal 2 2 2 2 9 2 4 4" xfId="11997"/>
    <cellStyle name="Normal 2 2 2 2 9 2 4 4 2" xfId="11998"/>
    <cellStyle name="Normal 2 2 2 2 9 2 4 5" xfId="11999"/>
    <cellStyle name="Normal 2 2 2 2 9 2 4 5 2" xfId="12000"/>
    <cellStyle name="Normal 2 2 2 2 9 2 4 6" xfId="12001"/>
    <cellStyle name="Normal 2 2 2 2 9 2 4 6 2" xfId="12002"/>
    <cellStyle name="Normal 2 2 2 2 9 2 4 7" xfId="12003"/>
    <cellStyle name="Normal 2 2 2 2 9 2 4 7 2" xfId="12004"/>
    <cellStyle name="Normal 2 2 2 2 9 2 4 8" xfId="12005"/>
    <cellStyle name="Normal 2 2 2 2 9 2 4 8 2" xfId="12006"/>
    <cellStyle name="Normal 2 2 2 2 9 2 4 9" xfId="12007"/>
    <cellStyle name="Normal 2 2 2 2 9 2 4 9 2" xfId="12008"/>
    <cellStyle name="Normal 2 2 2 2 9 2 5" xfId="12009"/>
    <cellStyle name="Normal 2 2 2 2 9 2 5 10" xfId="12010"/>
    <cellStyle name="Normal 2 2 2 2 9 2 5 10 2" xfId="12011"/>
    <cellStyle name="Normal 2 2 2 2 9 2 5 11" xfId="12012"/>
    <cellStyle name="Normal 2 2 2 2 9 2 5 11 2" xfId="12013"/>
    <cellStyle name="Normal 2 2 2 2 9 2 5 12" xfId="12014"/>
    <cellStyle name="Normal 2 2 2 2 9 2 5 12 2" xfId="12015"/>
    <cellStyle name="Normal 2 2 2 2 9 2 5 13" xfId="12016"/>
    <cellStyle name="Normal 2 2 2 2 9 2 5 2" xfId="12017"/>
    <cellStyle name="Normal 2 2 2 2 9 2 5 2 10" xfId="12018"/>
    <cellStyle name="Normal 2 2 2 2 9 2 5 2 10 2" xfId="12019"/>
    <cellStyle name="Normal 2 2 2 2 9 2 5 2 11" xfId="12020"/>
    <cellStyle name="Normal 2 2 2 2 9 2 5 2 11 2" xfId="12021"/>
    <cellStyle name="Normal 2 2 2 2 9 2 5 2 12" xfId="12022"/>
    <cellStyle name="Normal 2 2 2 2 9 2 5 2 2" xfId="12023"/>
    <cellStyle name="Normal 2 2 2 2 9 2 5 2 2 10" xfId="12024"/>
    <cellStyle name="Normal 2 2 2 2 9 2 5 2 2 10 2" xfId="12025"/>
    <cellStyle name="Normal 2 2 2 2 9 2 5 2 2 11" xfId="12026"/>
    <cellStyle name="Normal 2 2 2 2 9 2 5 2 2 2" xfId="12027"/>
    <cellStyle name="Normal 2 2 2 2 9 2 5 2 2 2 2" xfId="12028"/>
    <cellStyle name="Normal 2 2 2 2 9 2 5 2 2 3" xfId="12029"/>
    <cellStyle name="Normal 2 2 2 2 9 2 5 2 2 3 2" xfId="12030"/>
    <cellStyle name="Normal 2 2 2 2 9 2 5 2 2 4" xfId="12031"/>
    <cellStyle name="Normal 2 2 2 2 9 2 5 2 2 4 2" xfId="12032"/>
    <cellStyle name="Normal 2 2 2 2 9 2 5 2 2 5" xfId="12033"/>
    <cellStyle name="Normal 2 2 2 2 9 2 5 2 2 5 2" xfId="12034"/>
    <cellStyle name="Normal 2 2 2 2 9 2 5 2 2 6" xfId="12035"/>
    <cellStyle name="Normal 2 2 2 2 9 2 5 2 2 6 2" xfId="12036"/>
    <cellStyle name="Normal 2 2 2 2 9 2 5 2 2 7" xfId="12037"/>
    <cellStyle name="Normal 2 2 2 2 9 2 5 2 2 7 2" xfId="12038"/>
    <cellStyle name="Normal 2 2 2 2 9 2 5 2 2 8" xfId="12039"/>
    <cellStyle name="Normal 2 2 2 2 9 2 5 2 2 8 2" xfId="12040"/>
    <cellStyle name="Normal 2 2 2 2 9 2 5 2 2 9" xfId="12041"/>
    <cellStyle name="Normal 2 2 2 2 9 2 5 2 2 9 2" xfId="12042"/>
    <cellStyle name="Normal 2 2 2 2 9 2 5 2 3" xfId="12043"/>
    <cellStyle name="Normal 2 2 2 2 9 2 5 2 3 2" xfId="12044"/>
    <cellStyle name="Normal 2 2 2 2 9 2 5 2 4" xfId="12045"/>
    <cellStyle name="Normal 2 2 2 2 9 2 5 2 4 2" xfId="12046"/>
    <cellStyle name="Normal 2 2 2 2 9 2 5 2 5" xfId="12047"/>
    <cellStyle name="Normal 2 2 2 2 9 2 5 2 5 2" xfId="12048"/>
    <cellStyle name="Normal 2 2 2 2 9 2 5 2 6" xfId="12049"/>
    <cellStyle name="Normal 2 2 2 2 9 2 5 2 6 2" xfId="12050"/>
    <cellStyle name="Normal 2 2 2 2 9 2 5 2 7" xfId="12051"/>
    <cellStyle name="Normal 2 2 2 2 9 2 5 2 7 2" xfId="12052"/>
    <cellStyle name="Normal 2 2 2 2 9 2 5 2 8" xfId="12053"/>
    <cellStyle name="Normal 2 2 2 2 9 2 5 2 8 2" xfId="12054"/>
    <cellStyle name="Normal 2 2 2 2 9 2 5 2 9" xfId="12055"/>
    <cellStyle name="Normal 2 2 2 2 9 2 5 2 9 2" xfId="12056"/>
    <cellStyle name="Normal 2 2 2 2 9 2 5 3" xfId="12057"/>
    <cellStyle name="Normal 2 2 2 2 9 2 5 3 10" xfId="12058"/>
    <cellStyle name="Normal 2 2 2 2 9 2 5 3 10 2" xfId="12059"/>
    <cellStyle name="Normal 2 2 2 2 9 2 5 3 11" xfId="12060"/>
    <cellStyle name="Normal 2 2 2 2 9 2 5 3 2" xfId="12061"/>
    <cellStyle name="Normal 2 2 2 2 9 2 5 3 2 2" xfId="12062"/>
    <cellStyle name="Normal 2 2 2 2 9 2 5 3 3" xfId="12063"/>
    <cellStyle name="Normal 2 2 2 2 9 2 5 3 3 2" xfId="12064"/>
    <cellStyle name="Normal 2 2 2 2 9 2 5 3 4" xfId="12065"/>
    <cellStyle name="Normal 2 2 2 2 9 2 5 3 4 2" xfId="12066"/>
    <cellStyle name="Normal 2 2 2 2 9 2 5 3 5" xfId="12067"/>
    <cellStyle name="Normal 2 2 2 2 9 2 5 3 5 2" xfId="12068"/>
    <cellStyle name="Normal 2 2 2 2 9 2 5 3 6" xfId="12069"/>
    <cellStyle name="Normal 2 2 2 2 9 2 5 3 6 2" xfId="12070"/>
    <cellStyle name="Normal 2 2 2 2 9 2 5 3 7" xfId="12071"/>
    <cellStyle name="Normal 2 2 2 2 9 2 5 3 7 2" xfId="12072"/>
    <cellStyle name="Normal 2 2 2 2 9 2 5 3 8" xfId="12073"/>
    <cellStyle name="Normal 2 2 2 2 9 2 5 3 8 2" xfId="12074"/>
    <cellStyle name="Normal 2 2 2 2 9 2 5 3 9" xfId="12075"/>
    <cellStyle name="Normal 2 2 2 2 9 2 5 3 9 2" xfId="12076"/>
    <cellStyle name="Normal 2 2 2 2 9 2 5 4" xfId="12077"/>
    <cellStyle name="Normal 2 2 2 2 9 2 5 4 2" xfId="12078"/>
    <cellStyle name="Normal 2 2 2 2 9 2 5 5" xfId="12079"/>
    <cellStyle name="Normal 2 2 2 2 9 2 5 5 2" xfId="12080"/>
    <cellStyle name="Normal 2 2 2 2 9 2 5 6" xfId="12081"/>
    <cellStyle name="Normal 2 2 2 2 9 2 5 6 2" xfId="12082"/>
    <cellStyle name="Normal 2 2 2 2 9 2 5 7" xfId="12083"/>
    <cellStyle name="Normal 2 2 2 2 9 2 5 7 2" xfId="12084"/>
    <cellStyle name="Normal 2 2 2 2 9 2 5 8" xfId="12085"/>
    <cellStyle name="Normal 2 2 2 2 9 2 5 8 2" xfId="12086"/>
    <cellStyle name="Normal 2 2 2 2 9 2 5 9" xfId="12087"/>
    <cellStyle name="Normal 2 2 2 2 9 2 5 9 2" xfId="12088"/>
    <cellStyle name="Normal 2 2 2 2 9 2 6" xfId="12089"/>
    <cellStyle name="Normal 2 2 2 2 9 3" xfId="12090"/>
    <cellStyle name="Normal 2 2 2 2 9 3 2" xfId="12091"/>
    <cellStyle name="Normal 2 2 2 2 9 4" xfId="12092"/>
    <cellStyle name="Normal 2 2 2 2 9 4 2" xfId="12093"/>
    <cellStyle name="Normal 2 2 2 2 9 5" xfId="12094"/>
    <cellStyle name="Normal 2 2 2 2 9 5 2" xfId="12095"/>
    <cellStyle name="Normal 2 2 2 2 9 6" xfId="12096"/>
    <cellStyle name="Normal 2 2 2 2 9 6 2" xfId="12097"/>
    <cellStyle name="Normal 2 2 2 2 9 7" xfId="12098"/>
    <cellStyle name="Normal 2 2 2 2 9 7 10" xfId="12099"/>
    <cellStyle name="Normal 2 2 2 2 9 7 10 2" xfId="12100"/>
    <cellStyle name="Normal 2 2 2 2 9 7 11" xfId="12101"/>
    <cellStyle name="Normal 2 2 2 2 9 7 11 2" xfId="12102"/>
    <cellStyle name="Normal 2 2 2 2 9 7 12" xfId="12103"/>
    <cellStyle name="Normal 2 2 2 2 9 7 2" xfId="12104"/>
    <cellStyle name="Normal 2 2 2 2 9 7 2 10" xfId="12105"/>
    <cellStyle name="Normal 2 2 2 2 9 7 2 10 2" xfId="12106"/>
    <cellStyle name="Normal 2 2 2 2 9 7 2 11" xfId="12107"/>
    <cellStyle name="Normal 2 2 2 2 9 7 2 2" xfId="12108"/>
    <cellStyle name="Normal 2 2 2 2 9 7 2 2 2" xfId="12109"/>
    <cellStyle name="Normal 2 2 2 2 9 7 2 3" xfId="12110"/>
    <cellStyle name="Normal 2 2 2 2 9 7 2 3 2" xfId="12111"/>
    <cellStyle name="Normal 2 2 2 2 9 7 2 4" xfId="12112"/>
    <cellStyle name="Normal 2 2 2 2 9 7 2 4 2" xfId="12113"/>
    <cellStyle name="Normal 2 2 2 2 9 7 2 5" xfId="12114"/>
    <cellStyle name="Normal 2 2 2 2 9 7 2 5 2" xfId="12115"/>
    <cellStyle name="Normal 2 2 2 2 9 7 2 6" xfId="12116"/>
    <cellStyle name="Normal 2 2 2 2 9 7 2 6 2" xfId="12117"/>
    <cellStyle name="Normal 2 2 2 2 9 7 2 7" xfId="12118"/>
    <cellStyle name="Normal 2 2 2 2 9 7 2 7 2" xfId="12119"/>
    <cellStyle name="Normal 2 2 2 2 9 7 2 8" xfId="12120"/>
    <cellStyle name="Normal 2 2 2 2 9 7 2 8 2" xfId="12121"/>
    <cellStyle name="Normal 2 2 2 2 9 7 2 9" xfId="12122"/>
    <cellStyle name="Normal 2 2 2 2 9 7 2 9 2" xfId="12123"/>
    <cellStyle name="Normal 2 2 2 2 9 7 3" xfId="12124"/>
    <cellStyle name="Normal 2 2 2 2 9 7 3 2" xfId="12125"/>
    <cellStyle name="Normal 2 2 2 2 9 7 4" xfId="12126"/>
    <cellStyle name="Normal 2 2 2 2 9 7 4 2" xfId="12127"/>
    <cellStyle name="Normal 2 2 2 2 9 7 5" xfId="12128"/>
    <cellStyle name="Normal 2 2 2 2 9 7 5 2" xfId="12129"/>
    <cellStyle name="Normal 2 2 2 2 9 7 6" xfId="12130"/>
    <cellStyle name="Normal 2 2 2 2 9 7 6 2" xfId="12131"/>
    <cellStyle name="Normal 2 2 2 2 9 7 7" xfId="12132"/>
    <cellStyle name="Normal 2 2 2 2 9 7 7 2" xfId="12133"/>
    <cellStyle name="Normal 2 2 2 2 9 7 8" xfId="12134"/>
    <cellStyle name="Normal 2 2 2 2 9 7 8 2" xfId="12135"/>
    <cellStyle name="Normal 2 2 2 2 9 7 9" xfId="12136"/>
    <cellStyle name="Normal 2 2 2 2 9 7 9 2" xfId="12137"/>
    <cellStyle name="Normal 2 2 2 2 9 8" xfId="12138"/>
    <cellStyle name="Normal 2 2 2 2 9 8 10" xfId="12139"/>
    <cellStyle name="Normal 2 2 2 2 9 8 10 2" xfId="12140"/>
    <cellStyle name="Normal 2 2 2 2 9 8 11" xfId="12141"/>
    <cellStyle name="Normal 2 2 2 2 9 8 2" xfId="12142"/>
    <cellStyle name="Normal 2 2 2 2 9 8 2 2" xfId="12143"/>
    <cellStyle name="Normal 2 2 2 2 9 8 3" xfId="12144"/>
    <cellStyle name="Normal 2 2 2 2 9 8 3 2" xfId="12145"/>
    <cellStyle name="Normal 2 2 2 2 9 8 4" xfId="12146"/>
    <cellStyle name="Normal 2 2 2 2 9 8 4 2" xfId="12147"/>
    <cellStyle name="Normal 2 2 2 2 9 8 5" xfId="12148"/>
    <cellStyle name="Normal 2 2 2 2 9 8 5 2" xfId="12149"/>
    <cellStyle name="Normal 2 2 2 2 9 8 6" xfId="12150"/>
    <cellStyle name="Normal 2 2 2 2 9 8 6 2" xfId="12151"/>
    <cellStyle name="Normal 2 2 2 2 9 8 7" xfId="12152"/>
    <cellStyle name="Normal 2 2 2 2 9 8 7 2" xfId="12153"/>
    <cellStyle name="Normal 2 2 2 2 9 8 8" xfId="12154"/>
    <cellStyle name="Normal 2 2 2 2 9 8 8 2" xfId="12155"/>
    <cellStyle name="Normal 2 2 2 2 9 8 9" xfId="12156"/>
    <cellStyle name="Normal 2 2 2 2 9 8 9 2" xfId="12157"/>
    <cellStyle name="Normal 2 2 2 2 9 9" xfId="12158"/>
    <cellStyle name="Normal 2 2 2 2 9 9 2" xfId="12159"/>
    <cellStyle name="Normal 2 2 2 3" xfId="12160"/>
    <cellStyle name="Normal 2 2 2 3 10" xfId="12161"/>
    <cellStyle name="Normal 2 2 2 3 2" xfId="12162"/>
    <cellStyle name="Normal 2 2 2 3 2 10" xfId="12163"/>
    <cellStyle name="Normal 2 2 2 3 2 10 10" xfId="12164"/>
    <cellStyle name="Normal 2 2 2 3 2 10 10 2" xfId="12165"/>
    <cellStyle name="Normal 2 2 2 3 2 10 11" xfId="12166"/>
    <cellStyle name="Normal 2 2 2 3 2 10 11 2" xfId="12167"/>
    <cellStyle name="Normal 2 2 2 3 2 10 12" xfId="12168"/>
    <cellStyle name="Normal 2 2 2 3 2 10 2" xfId="12169"/>
    <cellStyle name="Normal 2 2 2 3 2 10 2 10" xfId="12170"/>
    <cellStyle name="Normal 2 2 2 3 2 10 2 10 2" xfId="12171"/>
    <cellStyle name="Normal 2 2 2 3 2 10 2 11" xfId="12172"/>
    <cellStyle name="Normal 2 2 2 3 2 10 2 2" xfId="12173"/>
    <cellStyle name="Normal 2 2 2 3 2 10 2 2 2" xfId="12174"/>
    <cellStyle name="Normal 2 2 2 3 2 10 2 3" xfId="12175"/>
    <cellStyle name="Normal 2 2 2 3 2 10 2 3 2" xfId="12176"/>
    <cellStyle name="Normal 2 2 2 3 2 10 2 4" xfId="12177"/>
    <cellStyle name="Normal 2 2 2 3 2 10 2 4 2" xfId="12178"/>
    <cellStyle name="Normal 2 2 2 3 2 10 2 5" xfId="12179"/>
    <cellStyle name="Normal 2 2 2 3 2 10 2 5 2" xfId="12180"/>
    <cellStyle name="Normal 2 2 2 3 2 10 2 6" xfId="12181"/>
    <cellStyle name="Normal 2 2 2 3 2 10 2 6 2" xfId="12182"/>
    <cellStyle name="Normal 2 2 2 3 2 10 2 7" xfId="12183"/>
    <cellStyle name="Normal 2 2 2 3 2 10 2 7 2" xfId="12184"/>
    <cellStyle name="Normal 2 2 2 3 2 10 2 8" xfId="12185"/>
    <cellStyle name="Normal 2 2 2 3 2 10 2 8 2" xfId="12186"/>
    <cellStyle name="Normal 2 2 2 3 2 10 2 9" xfId="12187"/>
    <cellStyle name="Normal 2 2 2 3 2 10 2 9 2" xfId="12188"/>
    <cellStyle name="Normal 2 2 2 3 2 10 3" xfId="12189"/>
    <cellStyle name="Normal 2 2 2 3 2 10 3 2" xfId="12190"/>
    <cellStyle name="Normal 2 2 2 3 2 10 4" xfId="12191"/>
    <cellStyle name="Normal 2 2 2 3 2 10 4 2" xfId="12192"/>
    <cellStyle name="Normal 2 2 2 3 2 10 5" xfId="12193"/>
    <cellStyle name="Normal 2 2 2 3 2 10 5 2" xfId="12194"/>
    <cellStyle name="Normal 2 2 2 3 2 10 6" xfId="12195"/>
    <cellStyle name="Normal 2 2 2 3 2 10 6 2" xfId="12196"/>
    <cellStyle name="Normal 2 2 2 3 2 10 7" xfId="12197"/>
    <cellStyle name="Normal 2 2 2 3 2 10 7 2" xfId="12198"/>
    <cellStyle name="Normal 2 2 2 3 2 10 8" xfId="12199"/>
    <cellStyle name="Normal 2 2 2 3 2 10 8 2" xfId="12200"/>
    <cellStyle name="Normal 2 2 2 3 2 10 9" xfId="12201"/>
    <cellStyle name="Normal 2 2 2 3 2 10 9 2" xfId="12202"/>
    <cellStyle name="Normal 2 2 2 3 2 11" xfId="12203"/>
    <cellStyle name="Normal 2 2 2 3 2 11 10" xfId="12204"/>
    <cellStyle name="Normal 2 2 2 3 2 11 10 2" xfId="12205"/>
    <cellStyle name="Normal 2 2 2 3 2 11 11" xfId="12206"/>
    <cellStyle name="Normal 2 2 2 3 2 11 2" xfId="12207"/>
    <cellStyle name="Normal 2 2 2 3 2 11 2 2" xfId="12208"/>
    <cellStyle name="Normal 2 2 2 3 2 11 3" xfId="12209"/>
    <cellStyle name="Normal 2 2 2 3 2 11 3 2" xfId="12210"/>
    <cellStyle name="Normal 2 2 2 3 2 11 4" xfId="12211"/>
    <cellStyle name="Normal 2 2 2 3 2 11 4 2" xfId="12212"/>
    <cellStyle name="Normal 2 2 2 3 2 11 5" xfId="12213"/>
    <cellStyle name="Normal 2 2 2 3 2 11 5 2" xfId="12214"/>
    <cellStyle name="Normal 2 2 2 3 2 11 6" xfId="12215"/>
    <cellStyle name="Normal 2 2 2 3 2 11 6 2" xfId="12216"/>
    <cellStyle name="Normal 2 2 2 3 2 11 7" xfId="12217"/>
    <cellStyle name="Normal 2 2 2 3 2 11 7 2" xfId="12218"/>
    <cellStyle name="Normal 2 2 2 3 2 11 8" xfId="12219"/>
    <cellStyle name="Normal 2 2 2 3 2 11 8 2" xfId="12220"/>
    <cellStyle name="Normal 2 2 2 3 2 11 9" xfId="12221"/>
    <cellStyle name="Normal 2 2 2 3 2 11 9 2" xfId="12222"/>
    <cellStyle name="Normal 2 2 2 3 2 12" xfId="12223"/>
    <cellStyle name="Normal 2 2 2 3 2 12 2" xfId="12224"/>
    <cellStyle name="Normal 2 2 2 3 2 13" xfId="12225"/>
    <cellStyle name="Normal 2 2 2 3 2 13 2" xfId="12226"/>
    <cellStyle name="Normal 2 2 2 3 2 14" xfId="12227"/>
    <cellStyle name="Normal 2 2 2 3 2 14 2" xfId="12228"/>
    <cellStyle name="Normal 2 2 2 3 2 15" xfId="12229"/>
    <cellStyle name="Normal 2 2 2 3 2 15 2" xfId="12230"/>
    <cellStyle name="Normal 2 2 2 3 2 16" xfId="12231"/>
    <cellStyle name="Normal 2 2 2 3 2 16 2" xfId="12232"/>
    <cellStyle name="Normal 2 2 2 3 2 17" xfId="12233"/>
    <cellStyle name="Normal 2 2 2 3 2 17 2" xfId="12234"/>
    <cellStyle name="Normal 2 2 2 3 2 18" xfId="12235"/>
    <cellStyle name="Normal 2 2 2 3 2 18 2" xfId="12236"/>
    <cellStyle name="Normal 2 2 2 3 2 19" xfId="12237"/>
    <cellStyle name="Normal 2 2 2 3 2 19 2" xfId="12238"/>
    <cellStyle name="Normal 2 2 2 3 2 2" xfId="12239"/>
    <cellStyle name="Normal 2 2 2 3 2 2 2" xfId="12240"/>
    <cellStyle name="Normal 2 2 2 3 2 2 2 10" xfId="12241"/>
    <cellStyle name="Normal 2 2 2 3 2 2 2 10 2" xfId="12242"/>
    <cellStyle name="Normal 2 2 2 3 2 2 2 11" xfId="12243"/>
    <cellStyle name="Normal 2 2 2 3 2 2 2 11 2" xfId="12244"/>
    <cellStyle name="Normal 2 2 2 3 2 2 2 12" xfId="12245"/>
    <cellStyle name="Normal 2 2 2 3 2 2 2 12 2" xfId="12246"/>
    <cellStyle name="Normal 2 2 2 3 2 2 2 13" xfId="12247"/>
    <cellStyle name="Normal 2 2 2 3 2 2 2 13 2" xfId="12248"/>
    <cellStyle name="Normal 2 2 2 3 2 2 2 14" xfId="12249"/>
    <cellStyle name="Normal 2 2 2 3 2 2 2 14 2" xfId="12250"/>
    <cellStyle name="Normal 2 2 2 3 2 2 2 15" xfId="12251"/>
    <cellStyle name="Normal 2 2 2 3 2 2 2 15 2" xfId="12252"/>
    <cellStyle name="Normal 2 2 2 3 2 2 2 16" xfId="12253"/>
    <cellStyle name="Normal 2 2 2 3 2 2 2 16 2" xfId="12254"/>
    <cellStyle name="Normal 2 2 2 3 2 2 2 17" xfId="12255"/>
    <cellStyle name="Normal 2 2 2 3 2 2 2 2" xfId="12256"/>
    <cellStyle name="Normal 2 2 2 3 2 2 2 2 2" xfId="12257"/>
    <cellStyle name="Normal 2 2 2 3 2 2 2 2 2 10" xfId="12258"/>
    <cellStyle name="Normal 2 2 2 3 2 2 2 2 2 10 2" xfId="12259"/>
    <cellStyle name="Normal 2 2 2 3 2 2 2 2 2 11" xfId="12260"/>
    <cellStyle name="Normal 2 2 2 3 2 2 2 2 2 11 2" xfId="12261"/>
    <cellStyle name="Normal 2 2 2 3 2 2 2 2 2 12" xfId="12262"/>
    <cellStyle name="Normal 2 2 2 3 2 2 2 2 2 12 2" xfId="12263"/>
    <cellStyle name="Normal 2 2 2 3 2 2 2 2 2 13" xfId="12264"/>
    <cellStyle name="Normal 2 2 2 3 2 2 2 2 2 2" xfId="12265"/>
    <cellStyle name="Normal 2 2 2 3 2 2 2 2 2 2 10" xfId="12266"/>
    <cellStyle name="Normal 2 2 2 3 2 2 2 2 2 2 10 2" xfId="12267"/>
    <cellStyle name="Normal 2 2 2 3 2 2 2 2 2 2 11" xfId="12268"/>
    <cellStyle name="Normal 2 2 2 3 2 2 2 2 2 2 11 2" xfId="12269"/>
    <cellStyle name="Normal 2 2 2 3 2 2 2 2 2 2 12" xfId="12270"/>
    <cellStyle name="Normal 2 2 2 3 2 2 2 2 2 2 2" xfId="12271"/>
    <cellStyle name="Normal 2 2 2 3 2 2 2 2 2 2 2 10" xfId="12272"/>
    <cellStyle name="Normal 2 2 2 3 2 2 2 2 2 2 2 10 2" xfId="12273"/>
    <cellStyle name="Normal 2 2 2 3 2 2 2 2 2 2 2 11" xfId="12274"/>
    <cellStyle name="Normal 2 2 2 3 2 2 2 2 2 2 2 2" xfId="12275"/>
    <cellStyle name="Normal 2 2 2 3 2 2 2 2 2 2 2 2 2" xfId="12276"/>
    <cellStyle name="Normal 2 2 2 3 2 2 2 2 2 2 2 3" xfId="12277"/>
    <cellStyle name="Normal 2 2 2 3 2 2 2 2 2 2 2 3 2" xfId="12278"/>
    <cellStyle name="Normal 2 2 2 3 2 2 2 2 2 2 2 4" xfId="12279"/>
    <cellStyle name="Normal 2 2 2 3 2 2 2 2 2 2 2 4 2" xfId="12280"/>
    <cellStyle name="Normal 2 2 2 3 2 2 2 2 2 2 2 5" xfId="12281"/>
    <cellStyle name="Normal 2 2 2 3 2 2 2 2 2 2 2 5 2" xfId="12282"/>
    <cellStyle name="Normal 2 2 2 3 2 2 2 2 2 2 2 6" xfId="12283"/>
    <cellStyle name="Normal 2 2 2 3 2 2 2 2 2 2 2 6 2" xfId="12284"/>
    <cellStyle name="Normal 2 2 2 3 2 2 2 2 2 2 2 7" xfId="12285"/>
    <cellStyle name="Normal 2 2 2 3 2 2 2 2 2 2 2 7 2" xfId="12286"/>
    <cellStyle name="Normal 2 2 2 3 2 2 2 2 2 2 2 8" xfId="12287"/>
    <cellStyle name="Normal 2 2 2 3 2 2 2 2 2 2 2 8 2" xfId="12288"/>
    <cellStyle name="Normal 2 2 2 3 2 2 2 2 2 2 2 9" xfId="12289"/>
    <cellStyle name="Normal 2 2 2 3 2 2 2 2 2 2 2 9 2" xfId="12290"/>
    <cellStyle name="Normal 2 2 2 3 2 2 2 2 2 2 3" xfId="12291"/>
    <cellStyle name="Normal 2 2 2 3 2 2 2 2 2 2 3 2" xfId="12292"/>
    <cellStyle name="Normal 2 2 2 3 2 2 2 2 2 2 4" xfId="12293"/>
    <cellStyle name="Normal 2 2 2 3 2 2 2 2 2 2 4 2" xfId="12294"/>
    <cellStyle name="Normal 2 2 2 3 2 2 2 2 2 2 5" xfId="12295"/>
    <cellStyle name="Normal 2 2 2 3 2 2 2 2 2 2 5 2" xfId="12296"/>
    <cellStyle name="Normal 2 2 2 3 2 2 2 2 2 2 6" xfId="12297"/>
    <cellStyle name="Normal 2 2 2 3 2 2 2 2 2 2 6 2" xfId="12298"/>
    <cellStyle name="Normal 2 2 2 3 2 2 2 2 2 2 7" xfId="12299"/>
    <cellStyle name="Normal 2 2 2 3 2 2 2 2 2 2 7 2" xfId="12300"/>
    <cellStyle name="Normal 2 2 2 3 2 2 2 2 2 2 8" xfId="12301"/>
    <cellStyle name="Normal 2 2 2 3 2 2 2 2 2 2 8 2" xfId="12302"/>
    <cellStyle name="Normal 2 2 2 3 2 2 2 2 2 2 9" xfId="12303"/>
    <cellStyle name="Normal 2 2 2 3 2 2 2 2 2 2 9 2" xfId="12304"/>
    <cellStyle name="Normal 2 2 2 3 2 2 2 2 2 3" xfId="12305"/>
    <cellStyle name="Normal 2 2 2 3 2 2 2 2 2 3 10" xfId="12306"/>
    <cellStyle name="Normal 2 2 2 3 2 2 2 2 2 3 10 2" xfId="12307"/>
    <cellStyle name="Normal 2 2 2 3 2 2 2 2 2 3 11" xfId="12308"/>
    <cellStyle name="Normal 2 2 2 3 2 2 2 2 2 3 2" xfId="12309"/>
    <cellStyle name="Normal 2 2 2 3 2 2 2 2 2 3 2 2" xfId="12310"/>
    <cellStyle name="Normal 2 2 2 3 2 2 2 2 2 3 3" xfId="12311"/>
    <cellStyle name="Normal 2 2 2 3 2 2 2 2 2 3 3 2" xfId="12312"/>
    <cellStyle name="Normal 2 2 2 3 2 2 2 2 2 3 4" xfId="12313"/>
    <cellStyle name="Normal 2 2 2 3 2 2 2 2 2 3 4 2" xfId="12314"/>
    <cellStyle name="Normal 2 2 2 3 2 2 2 2 2 3 5" xfId="12315"/>
    <cellStyle name="Normal 2 2 2 3 2 2 2 2 2 3 5 2" xfId="12316"/>
    <cellStyle name="Normal 2 2 2 3 2 2 2 2 2 3 6" xfId="12317"/>
    <cellStyle name="Normal 2 2 2 3 2 2 2 2 2 3 6 2" xfId="12318"/>
    <cellStyle name="Normal 2 2 2 3 2 2 2 2 2 3 7" xfId="12319"/>
    <cellStyle name="Normal 2 2 2 3 2 2 2 2 2 3 7 2" xfId="12320"/>
    <cellStyle name="Normal 2 2 2 3 2 2 2 2 2 3 8" xfId="12321"/>
    <cellStyle name="Normal 2 2 2 3 2 2 2 2 2 3 8 2" xfId="12322"/>
    <cellStyle name="Normal 2 2 2 3 2 2 2 2 2 3 9" xfId="12323"/>
    <cellStyle name="Normal 2 2 2 3 2 2 2 2 2 3 9 2" xfId="12324"/>
    <cellStyle name="Normal 2 2 2 3 2 2 2 2 2 4" xfId="12325"/>
    <cellStyle name="Normal 2 2 2 3 2 2 2 2 2 4 2" xfId="12326"/>
    <cellStyle name="Normal 2 2 2 3 2 2 2 2 2 5" xfId="12327"/>
    <cellStyle name="Normal 2 2 2 3 2 2 2 2 2 5 2" xfId="12328"/>
    <cellStyle name="Normal 2 2 2 3 2 2 2 2 2 6" xfId="12329"/>
    <cellStyle name="Normal 2 2 2 3 2 2 2 2 2 6 2" xfId="12330"/>
    <cellStyle name="Normal 2 2 2 3 2 2 2 2 2 7" xfId="12331"/>
    <cellStyle name="Normal 2 2 2 3 2 2 2 2 2 7 2" xfId="12332"/>
    <cellStyle name="Normal 2 2 2 3 2 2 2 2 2 8" xfId="12333"/>
    <cellStyle name="Normal 2 2 2 3 2 2 2 2 2 8 2" xfId="12334"/>
    <cellStyle name="Normal 2 2 2 3 2 2 2 2 2 9" xfId="12335"/>
    <cellStyle name="Normal 2 2 2 3 2 2 2 2 2 9 2" xfId="12336"/>
    <cellStyle name="Normal 2 2 2 3 2 2 2 2 3" xfId="12337"/>
    <cellStyle name="Normal 2 2 2 3 2 2 2 2 3 10" xfId="12338"/>
    <cellStyle name="Normal 2 2 2 3 2 2 2 2 3 10 2" xfId="12339"/>
    <cellStyle name="Normal 2 2 2 3 2 2 2 2 3 11" xfId="12340"/>
    <cellStyle name="Normal 2 2 2 3 2 2 2 2 3 11 2" xfId="12341"/>
    <cellStyle name="Normal 2 2 2 3 2 2 2 2 3 12" xfId="12342"/>
    <cellStyle name="Normal 2 2 2 3 2 2 2 2 3 12 2" xfId="12343"/>
    <cellStyle name="Normal 2 2 2 3 2 2 2 2 3 13" xfId="12344"/>
    <cellStyle name="Normal 2 2 2 3 2 2 2 2 3 2" xfId="12345"/>
    <cellStyle name="Normal 2 2 2 3 2 2 2 2 3 2 10" xfId="12346"/>
    <cellStyle name="Normal 2 2 2 3 2 2 2 2 3 2 10 2" xfId="12347"/>
    <cellStyle name="Normal 2 2 2 3 2 2 2 2 3 2 11" xfId="12348"/>
    <cellStyle name="Normal 2 2 2 3 2 2 2 2 3 2 11 2" xfId="12349"/>
    <cellStyle name="Normal 2 2 2 3 2 2 2 2 3 2 12" xfId="12350"/>
    <cellStyle name="Normal 2 2 2 3 2 2 2 2 3 2 2" xfId="12351"/>
    <cellStyle name="Normal 2 2 2 3 2 2 2 2 3 2 2 10" xfId="12352"/>
    <cellStyle name="Normal 2 2 2 3 2 2 2 2 3 2 2 10 2" xfId="12353"/>
    <cellStyle name="Normal 2 2 2 3 2 2 2 2 3 2 2 11" xfId="12354"/>
    <cellStyle name="Normal 2 2 2 3 2 2 2 2 3 2 2 2" xfId="12355"/>
    <cellStyle name="Normal 2 2 2 3 2 2 2 2 3 2 2 2 2" xfId="12356"/>
    <cellStyle name="Normal 2 2 2 3 2 2 2 2 3 2 2 3" xfId="12357"/>
    <cellStyle name="Normal 2 2 2 3 2 2 2 2 3 2 2 3 2" xfId="12358"/>
    <cellStyle name="Normal 2 2 2 3 2 2 2 2 3 2 2 4" xfId="12359"/>
    <cellStyle name="Normal 2 2 2 3 2 2 2 2 3 2 2 4 2" xfId="12360"/>
    <cellStyle name="Normal 2 2 2 3 2 2 2 2 3 2 2 5" xfId="12361"/>
    <cellStyle name="Normal 2 2 2 3 2 2 2 2 3 2 2 5 2" xfId="12362"/>
    <cellStyle name="Normal 2 2 2 3 2 2 2 2 3 2 2 6" xfId="12363"/>
    <cellStyle name="Normal 2 2 2 3 2 2 2 2 3 2 2 6 2" xfId="12364"/>
    <cellStyle name="Normal 2 2 2 3 2 2 2 2 3 2 2 7" xfId="12365"/>
    <cellStyle name="Normal 2 2 2 3 2 2 2 2 3 2 2 7 2" xfId="12366"/>
    <cellStyle name="Normal 2 2 2 3 2 2 2 2 3 2 2 8" xfId="12367"/>
    <cellStyle name="Normal 2 2 2 3 2 2 2 2 3 2 2 8 2" xfId="12368"/>
    <cellStyle name="Normal 2 2 2 3 2 2 2 2 3 2 2 9" xfId="12369"/>
    <cellStyle name="Normal 2 2 2 3 2 2 2 2 3 2 2 9 2" xfId="12370"/>
    <cellStyle name="Normal 2 2 2 3 2 2 2 2 3 2 3" xfId="12371"/>
    <cellStyle name="Normal 2 2 2 3 2 2 2 2 3 2 3 2" xfId="12372"/>
    <cellStyle name="Normal 2 2 2 3 2 2 2 2 3 2 4" xfId="12373"/>
    <cellStyle name="Normal 2 2 2 3 2 2 2 2 3 2 4 2" xfId="12374"/>
    <cellStyle name="Normal 2 2 2 3 2 2 2 2 3 2 5" xfId="12375"/>
    <cellStyle name="Normal 2 2 2 3 2 2 2 2 3 2 5 2" xfId="12376"/>
    <cellStyle name="Normal 2 2 2 3 2 2 2 2 3 2 6" xfId="12377"/>
    <cellStyle name="Normal 2 2 2 3 2 2 2 2 3 2 6 2" xfId="12378"/>
    <cellStyle name="Normal 2 2 2 3 2 2 2 2 3 2 7" xfId="12379"/>
    <cellStyle name="Normal 2 2 2 3 2 2 2 2 3 2 7 2" xfId="12380"/>
    <cellStyle name="Normal 2 2 2 3 2 2 2 2 3 2 8" xfId="12381"/>
    <cellStyle name="Normal 2 2 2 3 2 2 2 2 3 2 8 2" xfId="12382"/>
    <cellStyle name="Normal 2 2 2 3 2 2 2 2 3 2 9" xfId="12383"/>
    <cellStyle name="Normal 2 2 2 3 2 2 2 2 3 2 9 2" xfId="12384"/>
    <cellStyle name="Normal 2 2 2 3 2 2 2 2 3 3" xfId="12385"/>
    <cellStyle name="Normal 2 2 2 3 2 2 2 2 3 3 10" xfId="12386"/>
    <cellStyle name="Normal 2 2 2 3 2 2 2 2 3 3 10 2" xfId="12387"/>
    <cellStyle name="Normal 2 2 2 3 2 2 2 2 3 3 11" xfId="12388"/>
    <cellStyle name="Normal 2 2 2 3 2 2 2 2 3 3 2" xfId="12389"/>
    <cellStyle name="Normal 2 2 2 3 2 2 2 2 3 3 2 2" xfId="12390"/>
    <cellStyle name="Normal 2 2 2 3 2 2 2 2 3 3 3" xfId="12391"/>
    <cellStyle name="Normal 2 2 2 3 2 2 2 2 3 3 3 2" xfId="12392"/>
    <cellStyle name="Normal 2 2 2 3 2 2 2 2 3 3 4" xfId="12393"/>
    <cellStyle name="Normal 2 2 2 3 2 2 2 2 3 3 4 2" xfId="12394"/>
    <cellStyle name="Normal 2 2 2 3 2 2 2 2 3 3 5" xfId="12395"/>
    <cellStyle name="Normal 2 2 2 3 2 2 2 2 3 3 5 2" xfId="12396"/>
    <cellStyle name="Normal 2 2 2 3 2 2 2 2 3 3 6" xfId="12397"/>
    <cellStyle name="Normal 2 2 2 3 2 2 2 2 3 3 6 2" xfId="12398"/>
    <cellStyle name="Normal 2 2 2 3 2 2 2 2 3 3 7" xfId="12399"/>
    <cellStyle name="Normal 2 2 2 3 2 2 2 2 3 3 7 2" xfId="12400"/>
    <cellStyle name="Normal 2 2 2 3 2 2 2 2 3 3 8" xfId="12401"/>
    <cellStyle name="Normal 2 2 2 3 2 2 2 2 3 3 8 2" xfId="12402"/>
    <cellStyle name="Normal 2 2 2 3 2 2 2 2 3 3 9" xfId="12403"/>
    <cellStyle name="Normal 2 2 2 3 2 2 2 2 3 3 9 2" xfId="12404"/>
    <cellStyle name="Normal 2 2 2 3 2 2 2 2 3 4" xfId="12405"/>
    <cellStyle name="Normal 2 2 2 3 2 2 2 2 3 4 2" xfId="12406"/>
    <cellStyle name="Normal 2 2 2 3 2 2 2 2 3 5" xfId="12407"/>
    <cellStyle name="Normal 2 2 2 3 2 2 2 2 3 5 2" xfId="12408"/>
    <cellStyle name="Normal 2 2 2 3 2 2 2 2 3 6" xfId="12409"/>
    <cellStyle name="Normal 2 2 2 3 2 2 2 2 3 6 2" xfId="12410"/>
    <cellStyle name="Normal 2 2 2 3 2 2 2 2 3 7" xfId="12411"/>
    <cellStyle name="Normal 2 2 2 3 2 2 2 2 3 7 2" xfId="12412"/>
    <cellStyle name="Normal 2 2 2 3 2 2 2 2 3 8" xfId="12413"/>
    <cellStyle name="Normal 2 2 2 3 2 2 2 2 3 8 2" xfId="12414"/>
    <cellStyle name="Normal 2 2 2 3 2 2 2 2 3 9" xfId="12415"/>
    <cellStyle name="Normal 2 2 2 3 2 2 2 2 3 9 2" xfId="12416"/>
    <cellStyle name="Normal 2 2 2 3 2 2 2 2 4" xfId="12417"/>
    <cellStyle name="Normal 2 2 2 3 2 2 2 2 4 10" xfId="12418"/>
    <cellStyle name="Normal 2 2 2 3 2 2 2 2 4 10 2" xfId="12419"/>
    <cellStyle name="Normal 2 2 2 3 2 2 2 2 4 11" xfId="12420"/>
    <cellStyle name="Normal 2 2 2 3 2 2 2 2 4 11 2" xfId="12421"/>
    <cellStyle name="Normal 2 2 2 3 2 2 2 2 4 12" xfId="12422"/>
    <cellStyle name="Normal 2 2 2 3 2 2 2 2 4 12 2" xfId="12423"/>
    <cellStyle name="Normal 2 2 2 3 2 2 2 2 4 13" xfId="12424"/>
    <cellStyle name="Normal 2 2 2 3 2 2 2 2 4 2" xfId="12425"/>
    <cellStyle name="Normal 2 2 2 3 2 2 2 2 4 2 10" xfId="12426"/>
    <cellStyle name="Normal 2 2 2 3 2 2 2 2 4 2 10 2" xfId="12427"/>
    <cellStyle name="Normal 2 2 2 3 2 2 2 2 4 2 11" xfId="12428"/>
    <cellStyle name="Normal 2 2 2 3 2 2 2 2 4 2 11 2" xfId="12429"/>
    <cellStyle name="Normal 2 2 2 3 2 2 2 2 4 2 12" xfId="12430"/>
    <cellStyle name="Normal 2 2 2 3 2 2 2 2 4 2 2" xfId="12431"/>
    <cellStyle name="Normal 2 2 2 3 2 2 2 2 4 2 2 10" xfId="12432"/>
    <cellStyle name="Normal 2 2 2 3 2 2 2 2 4 2 2 10 2" xfId="12433"/>
    <cellStyle name="Normal 2 2 2 3 2 2 2 2 4 2 2 11" xfId="12434"/>
    <cellStyle name="Normal 2 2 2 3 2 2 2 2 4 2 2 2" xfId="12435"/>
    <cellStyle name="Normal 2 2 2 3 2 2 2 2 4 2 2 2 2" xfId="12436"/>
    <cellStyle name="Normal 2 2 2 3 2 2 2 2 4 2 2 3" xfId="12437"/>
    <cellStyle name="Normal 2 2 2 3 2 2 2 2 4 2 2 3 2" xfId="12438"/>
    <cellStyle name="Normal 2 2 2 3 2 2 2 2 4 2 2 4" xfId="12439"/>
    <cellStyle name="Normal 2 2 2 3 2 2 2 2 4 2 2 4 2" xfId="12440"/>
    <cellStyle name="Normal 2 2 2 3 2 2 2 2 4 2 2 5" xfId="12441"/>
    <cellStyle name="Normal 2 2 2 3 2 2 2 2 4 2 2 5 2" xfId="12442"/>
    <cellStyle name="Normal 2 2 2 3 2 2 2 2 4 2 2 6" xfId="12443"/>
    <cellStyle name="Normal 2 2 2 3 2 2 2 2 4 2 2 6 2" xfId="12444"/>
    <cellStyle name="Normal 2 2 2 3 2 2 2 2 4 2 2 7" xfId="12445"/>
    <cellStyle name="Normal 2 2 2 3 2 2 2 2 4 2 2 7 2" xfId="12446"/>
    <cellStyle name="Normal 2 2 2 3 2 2 2 2 4 2 2 8" xfId="12447"/>
    <cellStyle name="Normal 2 2 2 3 2 2 2 2 4 2 2 8 2" xfId="12448"/>
    <cellStyle name="Normal 2 2 2 3 2 2 2 2 4 2 2 9" xfId="12449"/>
    <cellStyle name="Normal 2 2 2 3 2 2 2 2 4 2 2 9 2" xfId="12450"/>
    <cellStyle name="Normal 2 2 2 3 2 2 2 2 4 2 3" xfId="12451"/>
    <cellStyle name="Normal 2 2 2 3 2 2 2 2 4 2 3 2" xfId="12452"/>
    <cellStyle name="Normal 2 2 2 3 2 2 2 2 4 2 4" xfId="12453"/>
    <cellStyle name="Normal 2 2 2 3 2 2 2 2 4 2 4 2" xfId="12454"/>
    <cellStyle name="Normal 2 2 2 3 2 2 2 2 4 2 5" xfId="12455"/>
    <cellStyle name="Normal 2 2 2 3 2 2 2 2 4 2 5 2" xfId="12456"/>
    <cellStyle name="Normal 2 2 2 3 2 2 2 2 4 2 6" xfId="12457"/>
    <cellStyle name="Normal 2 2 2 3 2 2 2 2 4 2 6 2" xfId="12458"/>
    <cellStyle name="Normal 2 2 2 3 2 2 2 2 4 2 7" xfId="12459"/>
    <cellStyle name="Normal 2 2 2 3 2 2 2 2 4 2 7 2" xfId="12460"/>
    <cellStyle name="Normal 2 2 2 3 2 2 2 2 4 2 8" xfId="12461"/>
    <cellStyle name="Normal 2 2 2 3 2 2 2 2 4 2 8 2" xfId="12462"/>
    <cellStyle name="Normal 2 2 2 3 2 2 2 2 4 2 9" xfId="12463"/>
    <cellStyle name="Normal 2 2 2 3 2 2 2 2 4 2 9 2" xfId="12464"/>
    <cellStyle name="Normal 2 2 2 3 2 2 2 2 4 3" xfId="12465"/>
    <cellStyle name="Normal 2 2 2 3 2 2 2 2 4 3 10" xfId="12466"/>
    <cellStyle name="Normal 2 2 2 3 2 2 2 2 4 3 10 2" xfId="12467"/>
    <cellStyle name="Normal 2 2 2 3 2 2 2 2 4 3 11" xfId="12468"/>
    <cellStyle name="Normal 2 2 2 3 2 2 2 2 4 3 2" xfId="12469"/>
    <cellStyle name="Normal 2 2 2 3 2 2 2 2 4 3 2 2" xfId="12470"/>
    <cellStyle name="Normal 2 2 2 3 2 2 2 2 4 3 3" xfId="12471"/>
    <cellStyle name="Normal 2 2 2 3 2 2 2 2 4 3 3 2" xfId="12472"/>
    <cellStyle name="Normal 2 2 2 3 2 2 2 2 4 3 4" xfId="12473"/>
    <cellStyle name="Normal 2 2 2 3 2 2 2 2 4 3 4 2" xfId="12474"/>
    <cellStyle name="Normal 2 2 2 3 2 2 2 2 4 3 5" xfId="12475"/>
    <cellStyle name="Normal 2 2 2 3 2 2 2 2 4 3 5 2" xfId="12476"/>
    <cellStyle name="Normal 2 2 2 3 2 2 2 2 4 3 6" xfId="12477"/>
    <cellStyle name="Normal 2 2 2 3 2 2 2 2 4 3 6 2" xfId="12478"/>
    <cellStyle name="Normal 2 2 2 3 2 2 2 2 4 3 7" xfId="12479"/>
    <cellStyle name="Normal 2 2 2 3 2 2 2 2 4 3 7 2" xfId="12480"/>
    <cellStyle name="Normal 2 2 2 3 2 2 2 2 4 3 8" xfId="12481"/>
    <cellStyle name="Normal 2 2 2 3 2 2 2 2 4 3 8 2" xfId="12482"/>
    <cellStyle name="Normal 2 2 2 3 2 2 2 2 4 3 9" xfId="12483"/>
    <cellStyle name="Normal 2 2 2 3 2 2 2 2 4 3 9 2" xfId="12484"/>
    <cellStyle name="Normal 2 2 2 3 2 2 2 2 4 4" xfId="12485"/>
    <cellStyle name="Normal 2 2 2 3 2 2 2 2 4 4 2" xfId="12486"/>
    <cellStyle name="Normal 2 2 2 3 2 2 2 2 4 5" xfId="12487"/>
    <cellStyle name="Normal 2 2 2 3 2 2 2 2 4 5 2" xfId="12488"/>
    <cellStyle name="Normal 2 2 2 3 2 2 2 2 4 6" xfId="12489"/>
    <cellStyle name="Normal 2 2 2 3 2 2 2 2 4 6 2" xfId="12490"/>
    <cellStyle name="Normal 2 2 2 3 2 2 2 2 4 7" xfId="12491"/>
    <cellStyle name="Normal 2 2 2 3 2 2 2 2 4 7 2" xfId="12492"/>
    <cellStyle name="Normal 2 2 2 3 2 2 2 2 4 8" xfId="12493"/>
    <cellStyle name="Normal 2 2 2 3 2 2 2 2 4 8 2" xfId="12494"/>
    <cellStyle name="Normal 2 2 2 3 2 2 2 2 4 9" xfId="12495"/>
    <cellStyle name="Normal 2 2 2 3 2 2 2 2 4 9 2" xfId="12496"/>
    <cellStyle name="Normal 2 2 2 3 2 2 2 2 5" xfId="12497"/>
    <cellStyle name="Normal 2 2 2 3 2 2 2 2 5 10" xfId="12498"/>
    <cellStyle name="Normal 2 2 2 3 2 2 2 2 5 10 2" xfId="12499"/>
    <cellStyle name="Normal 2 2 2 3 2 2 2 2 5 11" xfId="12500"/>
    <cellStyle name="Normal 2 2 2 3 2 2 2 2 5 11 2" xfId="12501"/>
    <cellStyle name="Normal 2 2 2 3 2 2 2 2 5 12" xfId="12502"/>
    <cellStyle name="Normal 2 2 2 3 2 2 2 2 5 12 2" xfId="12503"/>
    <cellStyle name="Normal 2 2 2 3 2 2 2 2 5 13" xfId="12504"/>
    <cellStyle name="Normal 2 2 2 3 2 2 2 2 5 2" xfId="12505"/>
    <cellStyle name="Normal 2 2 2 3 2 2 2 2 5 2 10" xfId="12506"/>
    <cellStyle name="Normal 2 2 2 3 2 2 2 2 5 2 10 2" xfId="12507"/>
    <cellStyle name="Normal 2 2 2 3 2 2 2 2 5 2 11" xfId="12508"/>
    <cellStyle name="Normal 2 2 2 3 2 2 2 2 5 2 11 2" xfId="12509"/>
    <cellStyle name="Normal 2 2 2 3 2 2 2 2 5 2 12" xfId="12510"/>
    <cellStyle name="Normal 2 2 2 3 2 2 2 2 5 2 2" xfId="12511"/>
    <cellStyle name="Normal 2 2 2 3 2 2 2 2 5 2 2 10" xfId="12512"/>
    <cellStyle name="Normal 2 2 2 3 2 2 2 2 5 2 2 10 2" xfId="12513"/>
    <cellStyle name="Normal 2 2 2 3 2 2 2 2 5 2 2 11" xfId="12514"/>
    <cellStyle name="Normal 2 2 2 3 2 2 2 2 5 2 2 2" xfId="12515"/>
    <cellStyle name="Normal 2 2 2 3 2 2 2 2 5 2 2 2 2" xfId="12516"/>
    <cellStyle name="Normal 2 2 2 3 2 2 2 2 5 2 2 3" xfId="12517"/>
    <cellStyle name="Normal 2 2 2 3 2 2 2 2 5 2 2 3 2" xfId="12518"/>
    <cellStyle name="Normal 2 2 2 3 2 2 2 2 5 2 2 4" xfId="12519"/>
    <cellStyle name="Normal 2 2 2 3 2 2 2 2 5 2 2 4 2" xfId="12520"/>
    <cellStyle name="Normal 2 2 2 3 2 2 2 2 5 2 2 5" xfId="12521"/>
    <cellStyle name="Normal 2 2 2 3 2 2 2 2 5 2 2 5 2" xfId="12522"/>
    <cellStyle name="Normal 2 2 2 3 2 2 2 2 5 2 2 6" xfId="12523"/>
    <cellStyle name="Normal 2 2 2 3 2 2 2 2 5 2 2 6 2" xfId="12524"/>
    <cellStyle name="Normal 2 2 2 3 2 2 2 2 5 2 2 7" xfId="12525"/>
    <cellStyle name="Normal 2 2 2 3 2 2 2 2 5 2 2 7 2" xfId="12526"/>
    <cellStyle name="Normal 2 2 2 3 2 2 2 2 5 2 2 8" xfId="12527"/>
    <cellStyle name="Normal 2 2 2 3 2 2 2 2 5 2 2 8 2" xfId="12528"/>
    <cellStyle name="Normal 2 2 2 3 2 2 2 2 5 2 2 9" xfId="12529"/>
    <cellStyle name="Normal 2 2 2 3 2 2 2 2 5 2 2 9 2" xfId="12530"/>
    <cellStyle name="Normal 2 2 2 3 2 2 2 2 5 2 3" xfId="12531"/>
    <cellStyle name="Normal 2 2 2 3 2 2 2 2 5 2 3 2" xfId="12532"/>
    <cellStyle name="Normal 2 2 2 3 2 2 2 2 5 2 4" xfId="12533"/>
    <cellStyle name="Normal 2 2 2 3 2 2 2 2 5 2 4 2" xfId="12534"/>
    <cellStyle name="Normal 2 2 2 3 2 2 2 2 5 2 5" xfId="12535"/>
    <cellStyle name="Normal 2 2 2 3 2 2 2 2 5 2 5 2" xfId="12536"/>
    <cellStyle name="Normal 2 2 2 3 2 2 2 2 5 2 6" xfId="12537"/>
    <cellStyle name="Normal 2 2 2 3 2 2 2 2 5 2 6 2" xfId="12538"/>
    <cellStyle name="Normal 2 2 2 3 2 2 2 2 5 2 7" xfId="12539"/>
    <cellStyle name="Normal 2 2 2 3 2 2 2 2 5 2 7 2" xfId="12540"/>
    <cellStyle name="Normal 2 2 2 3 2 2 2 2 5 2 8" xfId="12541"/>
    <cellStyle name="Normal 2 2 2 3 2 2 2 2 5 2 8 2" xfId="12542"/>
    <cellStyle name="Normal 2 2 2 3 2 2 2 2 5 2 9" xfId="12543"/>
    <cellStyle name="Normal 2 2 2 3 2 2 2 2 5 2 9 2" xfId="12544"/>
    <cellStyle name="Normal 2 2 2 3 2 2 2 2 5 3" xfId="12545"/>
    <cellStyle name="Normal 2 2 2 3 2 2 2 2 5 3 10" xfId="12546"/>
    <cellStyle name="Normal 2 2 2 3 2 2 2 2 5 3 10 2" xfId="12547"/>
    <cellStyle name="Normal 2 2 2 3 2 2 2 2 5 3 11" xfId="12548"/>
    <cellStyle name="Normal 2 2 2 3 2 2 2 2 5 3 2" xfId="12549"/>
    <cellStyle name="Normal 2 2 2 3 2 2 2 2 5 3 2 2" xfId="12550"/>
    <cellStyle name="Normal 2 2 2 3 2 2 2 2 5 3 3" xfId="12551"/>
    <cellStyle name="Normal 2 2 2 3 2 2 2 2 5 3 3 2" xfId="12552"/>
    <cellStyle name="Normal 2 2 2 3 2 2 2 2 5 3 4" xfId="12553"/>
    <cellStyle name="Normal 2 2 2 3 2 2 2 2 5 3 4 2" xfId="12554"/>
    <cellStyle name="Normal 2 2 2 3 2 2 2 2 5 3 5" xfId="12555"/>
    <cellStyle name="Normal 2 2 2 3 2 2 2 2 5 3 5 2" xfId="12556"/>
    <cellStyle name="Normal 2 2 2 3 2 2 2 2 5 3 6" xfId="12557"/>
    <cellStyle name="Normal 2 2 2 3 2 2 2 2 5 3 6 2" xfId="12558"/>
    <cellStyle name="Normal 2 2 2 3 2 2 2 2 5 3 7" xfId="12559"/>
    <cellStyle name="Normal 2 2 2 3 2 2 2 2 5 3 7 2" xfId="12560"/>
    <cellStyle name="Normal 2 2 2 3 2 2 2 2 5 3 8" xfId="12561"/>
    <cellStyle name="Normal 2 2 2 3 2 2 2 2 5 3 8 2" xfId="12562"/>
    <cellStyle name="Normal 2 2 2 3 2 2 2 2 5 3 9" xfId="12563"/>
    <cellStyle name="Normal 2 2 2 3 2 2 2 2 5 3 9 2" xfId="12564"/>
    <cellStyle name="Normal 2 2 2 3 2 2 2 2 5 4" xfId="12565"/>
    <cellStyle name="Normal 2 2 2 3 2 2 2 2 5 4 2" xfId="12566"/>
    <cellStyle name="Normal 2 2 2 3 2 2 2 2 5 5" xfId="12567"/>
    <cellStyle name="Normal 2 2 2 3 2 2 2 2 5 5 2" xfId="12568"/>
    <cellStyle name="Normal 2 2 2 3 2 2 2 2 5 6" xfId="12569"/>
    <cellStyle name="Normal 2 2 2 3 2 2 2 2 5 6 2" xfId="12570"/>
    <cellStyle name="Normal 2 2 2 3 2 2 2 2 5 7" xfId="12571"/>
    <cellStyle name="Normal 2 2 2 3 2 2 2 2 5 7 2" xfId="12572"/>
    <cellStyle name="Normal 2 2 2 3 2 2 2 2 5 8" xfId="12573"/>
    <cellStyle name="Normal 2 2 2 3 2 2 2 2 5 8 2" xfId="12574"/>
    <cellStyle name="Normal 2 2 2 3 2 2 2 2 5 9" xfId="12575"/>
    <cellStyle name="Normal 2 2 2 3 2 2 2 2 5 9 2" xfId="12576"/>
    <cellStyle name="Normal 2 2 2 3 2 2 2 2 6" xfId="12577"/>
    <cellStyle name="Normal 2 2 2 3 2 2 2 3" xfId="12578"/>
    <cellStyle name="Normal 2 2 2 3 2 2 2 3 2" xfId="12579"/>
    <cellStyle name="Normal 2 2 2 3 2 2 2 4" xfId="12580"/>
    <cellStyle name="Normal 2 2 2 3 2 2 2 4 2" xfId="12581"/>
    <cellStyle name="Normal 2 2 2 3 2 2 2 5" xfId="12582"/>
    <cellStyle name="Normal 2 2 2 3 2 2 2 5 2" xfId="12583"/>
    <cellStyle name="Normal 2 2 2 3 2 2 2 6" xfId="12584"/>
    <cellStyle name="Normal 2 2 2 3 2 2 2 6 10" xfId="12585"/>
    <cellStyle name="Normal 2 2 2 3 2 2 2 6 10 2" xfId="12586"/>
    <cellStyle name="Normal 2 2 2 3 2 2 2 6 11" xfId="12587"/>
    <cellStyle name="Normal 2 2 2 3 2 2 2 6 11 2" xfId="12588"/>
    <cellStyle name="Normal 2 2 2 3 2 2 2 6 12" xfId="12589"/>
    <cellStyle name="Normal 2 2 2 3 2 2 2 6 2" xfId="12590"/>
    <cellStyle name="Normal 2 2 2 3 2 2 2 6 2 10" xfId="12591"/>
    <cellStyle name="Normal 2 2 2 3 2 2 2 6 2 10 2" xfId="12592"/>
    <cellStyle name="Normal 2 2 2 3 2 2 2 6 2 11" xfId="12593"/>
    <cellStyle name="Normal 2 2 2 3 2 2 2 6 2 2" xfId="12594"/>
    <cellStyle name="Normal 2 2 2 3 2 2 2 6 2 2 2" xfId="12595"/>
    <cellStyle name="Normal 2 2 2 3 2 2 2 6 2 3" xfId="12596"/>
    <cellStyle name="Normal 2 2 2 3 2 2 2 6 2 3 2" xfId="12597"/>
    <cellStyle name="Normal 2 2 2 3 2 2 2 6 2 4" xfId="12598"/>
    <cellStyle name="Normal 2 2 2 3 2 2 2 6 2 4 2" xfId="12599"/>
    <cellStyle name="Normal 2 2 2 3 2 2 2 6 2 5" xfId="12600"/>
    <cellStyle name="Normal 2 2 2 3 2 2 2 6 2 5 2" xfId="12601"/>
    <cellStyle name="Normal 2 2 2 3 2 2 2 6 2 6" xfId="12602"/>
    <cellStyle name="Normal 2 2 2 3 2 2 2 6 2 6 2" xfId="12603"/>
    <cellStyle name="Normal 2 2 2 3 2 2 2 6 2 7" xfId="12604"/>
    <cellStyle name="Normal 2 2 2 3 2 2 2 6 2 7 2" xfId="12605"/>
    <cellStyle name="Normal 2 2 2 3 2 2 2 6 2 8" xfId="12606"/>
    <cellStyle name="Normal 2 2 2 3 2 2 2 6 2 8 2" xfId="12607"/>
    <cellStyle name="Normal 2 2 2 3 2 2 2 6 2 9" xfId="12608"/>
    <cellStyle name="Normal 2 2 2 3 2 2 2 6 2 9 2" xfId="12609"/>
    <cellStyle name="Normal 2 2 2 3 2 2 2 6 3" xfId="12610"/>
    <cellStyle name="Normal 2 2 2 3 2 2 2 6 3 2" xfId="12611"/>
    <cellStyle name="Normal 2 2 2 3 2 2 2 6 4" xfId="12612"/>
    <cellStyle name="Normal 2 2 2 3 2 2 2 6 4 2" xfId="12613"/>
    <cellStyle name="Normal 2 2 2 3 2 2 2 6 5" xfId="12614"/>
    <cellStyle name="Normal 2 2 2 3 2 2 2 6 5 2" xfId="12615"/>
    <cellStyle name="Normal 2 2 2 3 2 2 2 6 6" xfId="12616"/>
    <cellStyle name="Normal 2 2 2 3 2 2 2 6 6 2" xfId="12617"/>
    <cellStyle name="Normal 2 2 2 3 2 2 2 6 7" xfId="12618"/>
    <cellStyle name="Normal 2 2 2 3 2 2 2 6 7 2" xfId="12619"/>
    <cellStyle name="Normal 2 2 2 3 2 2 2 6 8" xfId="12620"/>
    <cellStyle name="Normal 2 2 2 3 2 2 2 6 8 2" xfId="12621"/>
    <cellStyle name="Normal 2 2 2 3 2 2 2 6 9" xfId="12622"/>
    <cellStyle name="Normal 2 2 2 3 2 2 2 6 9 2" xfId="12623"/>
    <cellStyle name="Normal 2 2 2 3 2 2 2 7" xfId="12624"/>
    <cellStyle name="Normal 2 2 2 3 2 2 2 7 10" xfId="12625"/>
    <cellStyle name="Normal 2 2 2 3 2 2 2 7 10 2" xfId="12626"/>
    <cellStyle name="Normal 2 2 2 3 2 2 2 7 11" xfId="12627"/>
    <cellStyle name="Normal 2 2 2 3 2 2 2 7 2" xfId="12628"/>
    <cellStyle name="Normal 2 2 2 3 2 2 2 7 2 2" xfId="12629"/>
    <cellStyle name="Normal 2 2 2 3 2 2 2 7 3" xfId="12630"/>
    <cellStyle name="Normal 2 2 2 3 2 2 2 7 3 2" xfId="12631"/>
    <cellStyle name="Normal 2 2 2 3 2 2 2 7 4" xfId="12632"/>
    <cellStyle name="Normal 2 2 2 3 2 2 2 7 4 2" xfId="12633"/>
    <cellStyle name="Normal 2 2 2 3 2 2 2 7 5" xfId="12634"/>
    <cellStyle name="Normal 2 2 2 3 2 2 2 7 5 2" xfId="12635"/>
    <cellStyle name="Normal 2 2 2 3 2 2 2 7 6" xfId="12636"/>
    <cellStyle name="Normal 2 2 2 3 2 2 2 7 6 2" xfId="12637"/>
    <cellStyle name="Normal 2 2 2 3 2 2 2 7 7" xfId="12638"/>
    <cellStyle name="Normal 2 2 2 3 2 2 2 7 7 2" xfId="12639"/>
    <cellStyle name="Normal 2 2 2 3 2 2 2 7 8" xfId="12640"/>
    <cellStyle name="Normal 2 2 2 3 2 2 2 7 8 2" xfId="12641"/>
    <cellStyle name="Normal 2 2 2 3 2 2 2 7 9" xfId="12642"/>
    <cellStyle name="Normal 2 2 2 3 2 2 2 7 9 2" xfId="12643"/>
    <cellStyle name="Normal 2 2 2 3 2 2 2 8" xfId="12644"/>
    <cellStyle name="Normal 2 2 2 3 2 2 2 8 2" xfId="12645"/>
    <cellStyle name="Normal 2 2 2 3 2 2 2 9" xfId="12646"/>
    <cellStyle name="Normal 2 2 2 3 2 2 2 9 2" xfId="12647"/>
    <cellStyle name="Normal 2 2 2 3 2 2 3" xfId="12648"/>
    <cellStyle name="Normal 2 2 2 3 2 2 3 10" xfId="12649"/>
    <cellStyle name="Normal 2 2 2 3 2 2 3 10 2" xfId="12650"/>
    <cellStyle name="Normal 2 2 2 3 2 2 3 11" xfId="12651"/>
    <cellStyle name="Normal 2 2 2 3 2 2 3 11 2" xfId="12652"/>
    <cellStyle name="Normal 2 2 2 3 2 2 3 12" xfId="12653"/>
    <cellStyle name="Normal 2 2 2 3 2 2 3 12 2" xfId="12654"/>
    <cellStyle name="Normal 2 2 2 3 2 2 3 13" xfId="12655"/>
    <cellStyle name="Normal 2 2 2 3 2 2 3 2" xfId="12656"/>
    <cellStyle name="Normal 2 2 2 3 2 2 3 2 10" xfId="12657"/>
    <cellStyle name="Normal 2 2 2 3 2 2 3 2 10 2" xfId="12658"/>
    <cellStyle name="Normal 2 2 2 3 2 2 3 2 11" xfId="12659"/>
    <cellStyle name="Normal 2 2 2 3 2 2 3 2 11 2" xfId="12660"/>
    <cellStyle name="Normal 2 2 2 3 2 2 3 2 12" xfId="12661"/>
    <cellStyle name="Normal 2 2 2 3 2 2 3 2 2" xfId="12662"/>
    <cellStyle name="Normal 2 2 2 3 2 2 3 2 2 10" xfId="12663"/>
    <cellStyle name="Normal 2 2 2 3 2 2 3 2 2 10 2" xfId="12664"/>
    <cellStyle name="Normal 2 2 2 3 2 2 3 2 2 11" xfId="12665"/>
    <cellStyle name="Normal 2 2 2 3 2 2 3 2 2 2" xfId="12666"/>
    <cellStyle name="Normal 2 2 2 3 2 2 3 2 2 2 2" xfId="12667"/>
    <cellStyle name="Normal 2 2 2 3 2 2 3 2 2 3" xfId="12668"/>
    <cellStyle name="Normal 2 2 2 3 2 2 3 2 2 3 2" xfId="12669"/>
    <cellStyle name="Normal 2 2 2 3 2 2 3 2 2 4" xfId="12670"/>
    <cellStyle name="Normal 2 2 2 3 2 2 3 2 2 4 2" xfId="12671"/>
    <cellStyle name="Normal 2 2 2 3 2 2 3 2 2 5" xfId="12672"/>
    <cellStyle name="Normal 2 2 2 3 2 2 3 2 2 5 2" xfId="12673"/>
    <cellStyle name="Normal 2 2 2 3 2 2 3 2 2 6" xfId="12674"/>
    <cellStyle name="Normal 2 2 2 3 2 2 3 2 2 6 2" xfId="12675"/>
    <cellStyle name="Normal 2 2 2 3 2 2 3 2 2 7" xfId="12676"/>
    <cellStyle name="Normal 2 2 2 3 2 2 3 2 2 7 2" xfId="12677"/>
    <cellStyle name="Normal 2 2 2 3 2 2 3 2 2 8" xfId="12678"/>
    <cellStyle name="Normal 2 2 2 3 2 2 3 2 2 8 2" xfId="12679"/>
    <cellStyle name="Normal 2 2 2 3 2 2 3 2 2 9" xfId="12680"/>
    <cellStyle name="Normal 2 2 2 3 2 2 3 2 2 9 2" xfId="12681"/>
    <cellStyle name="Normal 2 2 2 3 2 2 3 2 3" xfId="12682"/>
    <cellStyle name="Normal 2 2 2 3 2 2 3 2 3 2" xfId="12683"/>
    <cellStyle name="Normal 2 2 2 3 2 2 3 2 4" xfId="12684"/>
    <cellStyle name="Normal 2 2 2 3 2 2 3 2 4 2" xfId="12685"/>
    <cellStyle name="Normal 2 2 2 3 2 2 3 2 5" xfId="12686"/>
    <cellStyle name="Normal 2 2 2 3 2 2 3 2 5 2" xfId="12687"/>
    <cellStyle name="Normal 2 2 2 3 2 2 3 2 6" xfId="12688"/>
    <cellStyle name="Normal 2 2 2 3 2 2 3 2 6 2" xfId="12689"/>
    <cellStyle name="Normal 2 2 2 3 2 2 3 2 7" xfId="12690"/>
    <cellStyle name="Normal 2 2 2 3 2 2 3 2 7 2" xfId="12691"/>
    <cellStyle name="Normal 2 2 2 3 2 2 3 2 8" xfId="12692"/>
    <cellStyle name="Normal 2 2 2 3 2 2 3 2 8 2" xfId="12693"/>
    <cellStyle name="Normal 2 2 2 3 2 2 3 2 9" xfId="12694"/>
    <cellStyle name="Normal 2 2 2 3 2 2 3 2 9 2" xfId="12695"/>
    <cellStyle name="Normal 2 2 2 3 2 2 3 3" xfId="12696"/>
    <cellStyle name="Normal 2 2 2 3 2 2 3 3 10" xfId="12697"/>
    <cellStyle name="Normal 2 2 2 3 2 2 3 3 10 2" xfId="12698"/>
    <cellStyle name="Normal 2 2 2 3 2 2 3 3 11" xfId="12699"/>
    <cellStyle name="Normal 2 2 2 3 2 2 3 3 2" xfId="12700"/>
    <cellStyle name="Normal 2 2 2 3 2 2 3 3 2 2" xfId="12701"/>
    <cellStyle name="Normal 2 2 2 3 2 2 3 3 3" xfId="12702"/>
    <cellStyle name="Normal 2 2 2 3 2 2 3 3 3 2" xfId="12703"/>
    <cellStyle name="Normal 2 2 2 3 2 2 3 3 4" xfId="12704"/>
    <cellStyle name="Normal 2 2 2 3 2 2 3 3 4 2" xfId="12705"/>
    <cellStyle name="Normal 2 2 2 3 2 2 3 3 5" xfId="12706"/>
    <cellStyle name="Normal 2 2 2 3 2 2 3 3 5 2" xfId="12707"/>
    <cellStyle name="Normal 2 2 2 3 2 2 3 3 6" xfId="12708"/>
    <cellStyle name="Normal 2 2 2 3 2 2 3 3 6 2" xfId="12709"/>
    <cellStyle name="Normal 2 2 2 3 2 2 3 3 7" xfId="12710"/>
    <cellStyle name="Normal 2 2 2 3 2 2 3 3 7 2" xfId="12711"/>
    <cellStyle name="Normal 2 2 2 3 2 2 3 3 8" xfId="12712"/>
    <cellStyle name="Normal 2 2 2 3 2 2 3 3 8 2" xfId="12713"/>
    <cellStyle name="Normal 2 2 2 3 2 2 3 3 9" xfId="12714"/>
    <cellStyle name="Normal 2 2 2 3 2 2 3 3 9 2" xfId="12715"/>
    <cellStyle name="Normal 2 2 2 3 2 2 3 4" xfId="12716"/>
    <cellStyle name="Normal 2 2 2 3 2 2 3 4 2" xfId="12717"/>
    <cellStyle name="Normal 2 2 2 3 2 2 3 5" xfId="12718"/>
    <cellStyle name="Normal 2 2 2 3 2 2 3 5 2" xfId="12719"/>
    <cellStyle name="Normal 2 2 2 3 2 2 3 6" xfId="12720"/>
    <cellStyle name="Normal 2 2 2 3 2 2 3 6 2" xfId="12721"/>
    <cellStyle name="Normal 2 2 2 3 2 2 3 7" xfId="12722"/>
    <cellStyle name="Normal 2 2 2 3 2 2 3 7 2" xfId="12723"/>
    <cellStyle name="Normal 2 2 2 3 2 2 3 8" xfId="12724"/>
    <cellStyle name="Normal 2 2 2 3 2 2 3 8 2" xfId="12725"/>
    <cellStyle name="Normal 2 2 2 3 2 2 3 9" xfId="12726"/>
    <cellStyle name="Normal 2 2 2 3 2 2 3 9 2" xfId="12727"/>
    <cellStyle name="Normal 2 2 2 3 2 2 4" xfId="12728"/>
    <cellStyle name="Normal 2 2 2 3 2 2 4 10" xfId="12729"/>
    <cellStyle name="Normal 2 2 2 3 2 2 4 10 2" xfId="12730"/>
    <cellStyle name="Normal 2 2 2 3 2 2 4 11" xfId="12731"/>
    <cellStyle name="Normal 2 2 2 3 2 2 4 11 2" xfId="12732"/>
    <cellStyle name="Normal 2 2 2 3 2 2 4 12" xfId="12733"/>
    <cellStyle name="Normal 2 2 2 3 2 2 4 12 2" xfId="12734"/>
    <cellStyle name="Normal 2 2 2 3 2 2 4 13" xfId="12735"/>
    <cellStyle name="Normal 2 2 2 3 2 2 4 2" xfId="12736"/>
    <cellStyle name="Normal 2 2 2 3 2 2 4 2 10" xfId="12737"/>
    <cellStyle name="Normal 2 2 2 3 2 2 4 2 10 2" xfId="12738"/>
    <cellStyle name="Normal 2 2 2 3 2 2 4 2 11" xfId="12739"/>
    <cellStyle name="Normal 2 2 2 3 2 2 4 2 11 2" xfId="12740"/>
    <cellStyle name="Normal 2 2 2 3 2 2 4 2 12" xfId="12741"/>
    <cellStyle name="Normal 2 2 2 3 2 2 4 2 2" xfId="12742"/>
    <cellStyle name="Normal 2 2 2 3 2 2 4 2 2 10" xfId="12743"/>
    <cellStyle name="Normal 2 2 2 3 2 2 4 2 2 10 2" xfId="12744"/>
    <cellStyle name="Normal 2 2 2 3 2 2 4 2 2 11" xfId="12745"/>
    <cellStyle name="Normal 2 2 2 3 2 2 4 2 2 2" xfId="12746"/>
    <cellStyle name="Normal 2 2 2 3 2 2 4 2 2 2 2" xfId="12747"/>
    <cellStyle name="Normal 2 2 2 3 2 2 4 2 2 3" xfId="12748"/>
    <cellStyle name="Normal 2 2 2 3 2 2 4 2 2 3 2" xfId="12749"/>
    <cellStyle name="Normal 2 2 2 3 2 2 4 2 2 4" xfId="12750"/>
    <cellStyle name="Normal 2 2 2 3 2 2 4 2 2 4 2" xfId="12751"/>
    <cellStyle name="Normal 2 2 2 3 2 2 4 2 2 5" xfId="12752"/>
    <cellStyle name="Normal 2 2 2 3 2 2 4 2 2 5 2" xfId="12753"/>
    <cellStyle name="Normal 2 2 2 3 2 2 4 2 2 6" xfId="12754"/>
    <cellStyle name="Normal 2 2 2 3 2 2 4 2 2 6 2" xfId="12755"/>
    <cellStyle name="Normal 2 2 2 3 2 2 4 2 2 7" xfId="12756"/>
    <cellStyle name="Normal 2 2 2 3 2 2 4 2 2 7 2" xfId="12757"/>
    <cellStyle name="Normal 2 2 2 3 2 2 4 2 2 8" xfId="12758"/>
    <cellStyle name="Normal 2 2 2 3 2 2 4 2 2 8 2" xfId="12759"/>
    <cellStyle name="Normal 2 2 2 3 2 2 4 2 2 9" xfId="12760"/>
    <cellStyle name="Normal 2 2 2 3 2 2 4 2 2 9 2" xfId="12761"/>
    <cellStyle name="Normal 2 2 2 3 2 2 4 2 3" xfId="12762"/>
    <cellStyle name="Normal 2 2 2 3 2 2 4 2 3 2" xfId="12763"/>
    <cellStyle name="Normal 2 2 2 3 2 2 4 2 4" xfId="12764"/>
    <cellStyle name="Normal 2 2 2 3 2 2 4 2 4 2" xfId="12765"/>
    <cellStyle name="Normal 2 2 2 3 2 2 4 2 5" xfId="12766"/>
    <cellStyle name="Normal 2 2 2 3 2 2 4 2 5 2" xfId="12767"/>
    <cellStyle name="Normal 2 2 2 3 2 2 4 2 6" xfId="12768"/>
    <cellStyle name="Normal 2 2 2 3 2 2 4 2 6 2" xfId="12769"/>
    <cellStyle name="Normal 2 2 2 3 2 2 4 2 7" xfId="12770"/>
    <cellStyle name="Normal 2 2 2 3 2 2 4 2 7 2" xfId="12771"/>
    <cellStyle name="Normal 2 2 2 3 2 2 4 2 8" xfId="12772"/>
    <cellStyle name="Normal 2 2 2 3 2 2 4 2 8 2" xfId="12773"/>
    <cellStyle name="Normal 2 2 2 3 2 2 4 2 9" xfId="12774"/>
    <cellStyle name="Normal 2 2 2 3 2 2 4 2 9 2" xfId="12775"/>
    <cellStyle name="Normal 2 2 2 3 2 2 4 3" xfId="12776"/>
    <cellStyle name="Normal 2 2 2 3 2 2 4 3 10" xfId="12777"/>
    <cellStyle name="Normal 2 2 2 3 2 2 4 3 10 2" xfId="12778"/>
    <cellStyle name="Normal 2 2 2 3 2 2 4 3 11" xfId="12779"/>
    <cellStyle name="Normal 2 2 2 3 2 2 4 3 2" xfId="12780"/>
    <cellStyle name="Normal 2 2 2 3 2 2 4 3 2 2" xfId="12781"/>
    <cellStyle name="Normal 2 2 2 3 2 2 4 3 3" xfId="12782"/>
    <cellStyle name="Normal 2 2 2 3 2 2 4 3 3 2" xfId="12783"/>
    <cellStyle name="Normal 2 2 2 3 2 2 4 3 4" xfId="12784"/>
    <cellStyle name="Normal 2 2 2 3 2 2 4 3 4 2" xfId="12785"/>
    <cellStyle name="Normal 2 2 2 3 2 2 4 3 5" xfId="12786"/>
    <cellStyle name="Normal 2 2 2 3 2 2 4 3 5 2" xfId="12787"/>
    <cellStyle name="Normal 2 2 2 3 2 2 4 3 6" xfId="12788"/>
    <cellStyle name="Normal 2 2 2 3 2 2 4 3 6 2" xfId="12789"/>
    <cellStyle name="Normal 2 2 2 3 2 2 4 3 7" xfId="12790"/>
    <cellStyle name="Normal 2 2 2 3 2 2 4 3 7 2" xfId="12791"/>
    <cellStyle name="Normal 2 2 2 3 2 2 4 3 8" xfId="12792"/>
    <cellStyle name="Normal 2 2 2 3 2 2 4 3 8 2" xfId="12793"/>
    <cellStyle name="Normal 2 2 2 3 2 2 4 3 9" xfId="12794"/>
    <cellStyle name="Normal 2 2 2 3 2 2 4 3 9 2" xfId="12795"/>
    <cellStyle name="Normal 2 2 2 3 2 2 4 4" xfId="12796"/>
    <cellStyle name="Normal 2 2 2 3 2 2 4 4 2" xfId="12797"/>
    <cellStyle name="Normal 2 2 2 3 2 2 4 5" xfId="12798"/>
    <cellStyle name="Normal 2 2 2 3 2 2 4 5 2" xfId="12799"/>
    <cellStyle name="Normal 2 2 2 3 2 2 4 6" xfId="12800"/>
    <cellStyle name="Normal 2 2 2 3 2 2 4 6 2" xfId="12801"/>
    <cellStyle name="Normal 2 2 2 3 2 2 4 7" xfId="12802"/>
    <cellStyle name="Normal 2 2 2 3 2 2 4 7 2" xfId="12803"/>
    <cellStyle name="Normal 2 2 2 3 2 2 4 8" xfId="12804"/>
    <cellStyle name="Normal 2 2 2 3 2 2 4 8 2" xfId="12805"/>
    <cellStyle name="Normal 2 2 2 3 2 2 4 9" xfId="12806"/>
    <cellStyle name="Normal 2 2 2 3 2 2 4 9 2" xfId="12807"/>
    <cellStyle name="Normal 2 2 2 3 2 2 5" xfId="12808"/>
    <cellStyle name="Normal 2 2 2 3 2 2 5 10" xfId="12809"/>
    <cellStyle name="Normal 2 2 2 3 2 2 5 10 2" xfId="12810"/>
    <cellStyle name="Normal 2 2 2 3 2 2 5 11" xfId="12811"/>
    <cellStyle name="Normal 2 2 2 3 2 2 5 11 2" xfId="12812"/>
    <cellStyle name="Normal 2 2 2 3 2 2 5 12" xfId="12813"/>
    <cellStyle name="Normal 2 2 2 3 2 2 5 12 2" xfId="12814"/>
    <cellStyle name="Normal 2 2 2 3 2 2 5 13" xfId="12815"/>
    <cellStyle name="Normal 2 2 2 3 2 2 5 2" xfId="12816"/>
    <cellStyle name="Normal 2 2 2 3 2 2 5 2 10" xfId="12817"/>
    <cellStyle name="Normal 2 2 2 3 2 2 5 2 10 2" xfId="12818"/>
    <cellStyle name="Normal 2 2 2 3 2 2 5 2 11" xfId="12819"/>
    <cellStyle name="Normal 2 2 2 3 2 2 5 2 11 2" xfId="12820"/>
    <cellStyle name="Normal 2 2 2 3 2 2 5 2 12" xfId="12821"/>
    <cellStyle name="Normal 2 2 2 3 2 2 5 2 2" xfId="12822"/>
    <cellStyle name="Normal 2 2 2 3 2 2 5 2 2 10" xfId="12823"/>
    <cellStyle name="Normal 2 2 2 3 2 2 5 2 2 10 2" xfId="12824"/>
    <cellStyle name="Normal 2 2 2 3 2 2 5 2 2 11" xfId="12825"/>
    <cellStyle name="Normal 2 2 2 3 2 2 5 2 2 2" xfId="12826"/>
    <cellStyle name="Normal 2 2 2 3 2 2 5 2 2 2 2" xfId="12827"/>
    <cellStyle name="Normal 2 2 2 3 2 2 5 2 2 3" xfId="12828"/>
    <cellStyle name="Normal 2 2 2 3 2 2 5 2 2 3 2" xfId="12829"/>
    <cellStyle name="Normal 2 2 2 3 2 2 5 2 2 4" xfId="12830"/>
    <cellStyle name="Normal 2 2 2 3 2 2 5 2 2 4 2" xfId="12831"/>
    <cellStyle name="Normal 2 2 2 3 2 2 5 2 2 5" xfId="12832"/>
    <cellStyle name="Normal 2 2 2 3 2 2 5 2 2 5 2" xfId="12833"/>
    <cellStyle name="Normal 2 2 2 3 2 2 5 2 2 6" xfId="12834"/>
    <cellStyle name="Normal 2 2 2 3 2 2 5 2 2 6 2" xfId="12835"/>
    <cellStyle name="Normal 2 2 2 3 2 2 5 2 2 7" xfId="12836"/>
    <cellStyle name="Normal 2 2 2 3 2 2 5 2 2 7 2" xfId="12837"/>
    <cellStyle name="Normal 2 2 2 3 2 2 5 2 2 8" xfId="12838"/>
    <cellStyle name="Normal 2 2 2 3 2 2 5 2 2 8 2" xfId="12839"/>
    <cellStyle name="Normal 2 2 2 3 2 2 5 2 2 9" xfId="12840"/>
    <cellStyle name="Normal 2 2 2 3 2 2 5 2 2 9 2" xfId="12841"/>
    <cellStyle name="Normal 2 2 2 3 2 2 5 2 3" xfId="12842"/>
    <cellStyle name="Normal 2 2 2 3 2 2 5 2 3 2" xfId="12843"/>
    <cellStyle name="Normal 2 2 2 3 2 2 5 2 4" xfId="12844"/>
    <cellStyle name="Normal 2 2 2 3 2 2 5 2 4 2" xfId="12845"/>
    <cellStyle name="Normal 2 2 2 3 2 2 5 2 5" xfId="12846"/>
    <cellStyle name="Normal 2 2 2 3 2 2 5 2 5 2" xfId="12847"/>
    <cellStyle name="Normal 2 2 2 3 2 2 5 2 6" xfId="12848"/>
    <cellStyle name="Normal 2 2 2 3 2 2 5 2 6 2" xfId="12849"/>
    <cellStyle name="Normal 2 2 2 3 2 2 5 2 7" xfId="12850"/>
    <cellStyle name="Normal 2 2 2 3 2 2 5 2 7 2" xfId="12851"/>
    <cellStyle name="Normal 2 2 2 3 2 2 5 2 8" xfId="12852"/>
    <cellStyle name="Normal 2 2 2 3 2 2 5 2 8 2" xfId="12853"/>
    <cellStyle name="Normal 2 2 2 3 2 2 5 2 9" xfId="12854"/>
    <cellStyle name="Normal 2 2 2 3 2 2 5 2 9 2" xfId="12855"/>
    <cellStyle name="Normal 2 2 2 3 2 2 5 3" xfId="12856"/>
    <cellStyle name="Normal 2 2 2 3 2 2 5 3 10" xfId="12857"/>
    <cellStyle name="Normal 2 2 2 3 2 2 5 3 10 2" xfId="12858"/>
    <cellStyle name="Normal 2 2 2 3 2 2 5 3 11" xfId="12859"/>
    <cellStyle name="Normal 2 2 2 3 2 2 5 3 2" xfId="12860"/>
    <cellStyle name="Normal 2 2 2 3 2 2 5 3 2 2" xfId="12861"/>
    <cellStyle name="Normal 2 2 2 3 2 2 5 3 3" xfId="12862"/>
    <cellStyle name="Normal 2 2 2 3 2 2 5 3 3 2" xfId="12863"/>
    <cellStyle name="Normal 2 2 2 3 2 2 5 3 4" xfId="12864"/>
    <cellStyle name="Normal 2 2 2 3 2 2 5 3 4 2" xfId="12865"/>
    <cellStyle name="Normal 2 2 2 3 2 2 5 3 5" xfId="12866"/>
    <cellStyle name="Normal 2 2 2 3 2 2 5 3 5 2" xfId="12867"/>
    <cellStyle name="Normal 2 2 2 3 2 2 5 3 6" xfId="12868"/>
    <cellStyle name="Normal 2 2 2 3 2 2 5 3 6 2" xfId="12869"/>
    <cellStyle name="Normal 2 2 2 3 2 2 5 3 7" xfId="12870"/>
    <cellStyle name="Normal 2 2 2 3 2 2 5 3 7 2" xfId="12871"/>
    <cellStyle name="Normal 2 2 2 3 2 2 5 3 8" xfId="12872"/>
    <cellStyle name="Normal 2 2 2 3 2 2 5 3 8 2" xfId="12873"/>
    <cellStyle name="Normal 2 2 2 3 2 2 5 3 9" xfId="12874"/>
    <cellStyle name="Normal 2 2 2 3 2 2 5 3 9 2" xfId="12875"/>
    <cellStyle name="Normal 2 2 2 3 2 2 5 4" xfId="12876"/>
    <cellStyle name="Normal 2 2 2 3 2 2 5 4 2" xfId="12877"/>
    <cellStyle name="Normal 2 2 2 3 2 2 5 5" xfId="12878"/>
    <cellStyle name="Normal 2 2 2 3 2 2 5 5 2" xfId="12879"/>
    <cellStyle name="Normal 2 2 2 3 2 2 5 6" xfId="12880"/>
    <cellStyle name="Normal 2 2 2 3 2 2 5 6 2" xfId="12881"/>
    <cellStyle name="Normal 2 2 2 3 2 2 5 7" xfId="12882"/>
    <cellStyle name="Normal 2 2 2 3 2 2 5 7 2" xfId="12883"/>
    <cellStyle name="Normal 2 2 2 3 2 2 5 8" xfId="12884"/>
    <cellStyle name="Normal 2 2 2 3 2 2 5 8 2" xfId="12885"/>
    <cellStyle name="Normal 2 2 2 3 2 2 5 9" xfId="12886"/>
    <cellStyle name="Normal 2 2 2 3 2 2 5 9 2" xfId="12887"/>
    <cellStyle name="Normal 2 2 2 3 2 2 6" xfId="12888"/>
    <cellStyle name="Normal 2 2 2 3 2 2 6 10" xfId="12889"/>
    <cellStyle name="Normal 2 2 2 3 2 2 6 10 2" xfId="12890"/>
    <cellStyle name="Normal 2 2 2 3 2 2 6 11" xfId="12891"/>
    <cellStyle name="Normal 2 2 2 3 2 2 6 11 2" xfId="12892"/>
    <cellStyle name="Normal 2 2 2 3 2 2 6 12" xfId="12893"/>
    <cellStyle name="Normal 2 2 2 3 2 2 6 12 2" xfId="12894"/>
    <cellStyle name="Normal 2 2 2 3 2 2 6 13" xfId="12895"/>
    <cellStyle name="Normal 2 2 2 3 2 2 6 2" xfId="12896"/>
    <cellStyle name="Normal 2 2 2 3 2 2 6 2 10" xfId="12897"/>
    <cellStyle name="Normal 2 2 2 3 2 2 6 2 10 2" xfId="12898"/>
    <cellStyle name="Normal 2 2 2 3 2 2 6 2 11" xfId="12899"/>
    <cellStyle name="Normal 2 2 2 3 2 2 6 2 11 2" xfId="12900"/>
    <cellStyle name="Normal 2 2 2 3 2 2 6 2 12" xfId="12901"/>
    <cellStyle name="Normal 2 2 2 3 2 2 6 2 2" xfId="12902"/>
    <cellStyle name="Normal 2 2 2 3 2 2 6 2 2 10" xfId="12903"/>
    <cellStyle name="Normal 2 2 2 3 2 2 6 2 2 10 2" xfId="12904"/>
    <cellStyle name="Normal 2 2 2 3 2 2 6 2 2 11" xfId="12905"/>
    <cellStyle name="Normal 2 2 2 3 2 2 6 2 2 2" xfId="12906"/>
    <cellStyle name="Normal 2 2 2 3 2 2 6 2 2 2 2" xfId="12907"/>
    <cellStyle name="Normal 2 2 2 3 2 2 6 2 2 3" xfId="12908"/>
    <cellStyle name="Normal 2 2 2 3 2 2 6 2 2 3 2" xfId="12909"/>
    <cellStyle name="Normal 2 2 2 3 2 2 6 2 2 4" xfId="12910"/>
    <cellStyle name="Normal 2 2 2 3 2 2 6 2 2 4 2" xfId="12911"/>
    <cellStyle name="Normal 2 2 2 3 2 2 6 2 2 5" xfId="12912"/>
    <cellStyle name="Normal 2 2 2 3 2 2 6 2 2 5 2" xfId="12913"/>
    <cellStyle name="Normal 2 2 2 3 2 2 6 2 2 6" xfId="12914"/>
    <cellStyle name="Normal 2 2 2 3 2 2 6 2 2 6 2" xfId="12915"/>
    <cellStyle name="Normal 2 2 2 3 2 2 6 2 2 7" xfId="12916"/>
    <cellStyle name="Normal 2 2 2 3 2 2 6 2 2 7 2" xfId="12917"/>
    <cellStyle name="Normal 2 2 2 3 2 2 6 2 2 8" xfId="12918"/>
    <cellStyle name="Normal 2 2 2 3 2 2 6 2 2 8 2" xfId="12919"/>
    <cellStyle name="Normal 2 2 2 3 2 2 6 2 2 9" xfId="12920"/>
    <cellStyle name="Normal 2 2 2 3 2 2 6 2 2 9 2" xfId="12921"/>
    <cellStyle name="Normal 2 2 2 3 2 2 6 2 3" xfId="12922"/>
    <cellStyle name="Normal 2 2 2 3 2 2 6 2 3 2" xfId="12923"/>
    <cellStyle name="Normal 2 2 2 3 2 2 6 2 4" xfId="12924"/>
    <cellStyle name="Normal 2 2 2 3 2 2 6 2 4 2" xfId="12925"/>
    <cellStyle name="Normal 2 2 2 3 2 2 6 2 5" xfId="12926"/>
    <cellStyle name="Normal 2 2 2 3 2 2 6 2 5 2" xfId="12927"/>
    <cellStyle name="Normal 2 2 2 3 2 2 6 2 6" xfId="12928"/>
    <cellStyle name="Normal 2 2 2 3 2 2 6 2 6 2" xfId="12929"/>
    <cellStyle name="Normal 2 2 2 3 2 2 6 2 7" xfId="12930"/>
    <cellStyle name="Normal 2 2 2 3 2 2 6 2 7 2" xfId="12931"/>
    <cellStyle name="Normal 2 2 2 3 2 2 6 2 8" xfId="12932"/>
    <cellStyle name="Normal 2 2 2 3 2 2 6 2 8 2" xfId="12933"/>
    <cellStyle name="Normal 2 2 2 3 2 2 6 2 9" xfId="12934"/>
    <cellStyle name="Normal 2 2 2 3 2 2 6 2 9 2" xfId="12935"/>
    <cellStyle name="Normal 2 2 2 3 2 2 6 3" xfId="12936"/>
    <cellStyle name="Normal 2 2 2 3 2 2 6 3 10" xfId="12937"/>
    <cellStyle name="Normal 2 2 2 3 2 2 6 3 10 2" xfId="12938"/>
    <cellStyle name="Normal 2 2 2 3 2 2 6 3 11" xfId="12939"/>
    <cellStyle name="Normal 2 2 2 3 2 2 6 3 2" xfId="12940"/>
    <cellStyle name="Normal 2 2 2 3 2 2 6 3 2 2" xfId="12941"/>
    <cellStyle name="Normal 2 2 2 3 2 2 6 3 3" xfId="12942"/>
    <cellStyle name="Normal 2 2 2 3 2 2 6 3 3 2" xfId="12943"/>
    <cellStyle name="Normal 2 2 2 3 2 2 6 3 4" xfId="12944"/>
    <cellStyle name="Normal 2 2 2 3 2 2 6 3 4 2" xfId="12945"/>
    <cellStyle name="Normal 2 2 2 3 2 2 6 3 5" xfId="12946"/>
    <cellStyle name="Normal 2 2 2 3 2 2 6 3 5 2" xfId="12947"/>
    <cellStyle name="Normal 2 2 2 3 2 2 6 3 6" xfId="12948"/>
    <cellStyle name="Normal 2 2 2 3 2 2 6 3 6 2" xfId="12949"/>
    <cellStyle name="Normal 2 2 2 3 2 2 6 3 7" xfId="12950"/>
    <cellStyle name="Normal 2 2 2 3 2 2 6 3 7 2" xfId="12951"/>
    <cellStyle name="Normal 2 2 2 3 2 2 6 3 8" xfId="12952"/>
    <cellStyle name="Normal 2 2 2 3 2 2 6 3 8 2" xfId="12953"/>
    <cellStyle name="Normal 2 2 2 3 2 2 6 3 9" xfId="12954"/>
    <cellStyle name="Normal 2 2 2 3 2 2 6 3 9 2" xfId="12955"/>
    <cellStyle name="Normal 2 2 2 3 2 2 6 4" xfId="12956"/>
    <cellStyle name="Normal 2 2 2 3 2 2 6 4 2" xfId="12957"/>
    <cellStyle name="Normal 2 2 2 3 2 2 6 5" xfId="12958"/>
    <cellStyle name="Normal 2 2 2 3 2 2 6 5 2" xfId="12959"/>
    <cellStyle name="Normal 2 2 2 3 2 2 6 6" xfId="12960"/>
    <cellStyle name="Normal 2 2 2 3 2 2 6 6 2" xfId="12961"/>
    <cellStyle name="Normal 2 2 2 3 2 2 6 7" xfId="12962"/>
    <cellStyle name="Normal 2 2 2 3 2 2 6 7 2" xfId="12963"/>
    <cellStyle name="Normal 2 2 2 3 2 2 6 8" xfId="12964"/>
    <cellStyle name="Normal 2 2 2 3 2 2 6 8 2" xfId="12965"/>
    <cellStyle name="Normal 2 2 2 3 2 2 6 9" xfId="12966"/>
    <cellStyle name="Normal 2 2 2 3 2 2 6 9 2" xfId="12967"/>
    <cellStyle name="Normal 2 2 2 3 2 2 7" xfId="12968"/>
    <cellStyle name="Normal 2 2 2 3 2 20" xfId="12969"/>
    <cellStyle name="Normal 2 2 2 3 2 20 2" xfId="12970"/>
    <cellStyle name="Normal 2 2 2 3 2 21" xfId="12971"/>
    <cellStyle name="Normal 2 2 2 3 2 3" xfId="12972"/>
    <cellStyle name="Normal 2 2 2 3 2 3 10" xfId="12973"/>
    <cellStyle name="Normal 2 2 2 3 2 3 10 2" xfId="12974"/>
    <cellStyle name="Normal 2 2 2 3 2 3 11" xfId="12975"/>
    <cellStyle name="Normal 2 2 2 3 2 3 11 2" xfId="12976"/>
    <cellStyle name="Normal 2 2 2 3 2 3 12" xfId="12977"/>
    <cellStyle name="Normal 2 2 2 3 2 3 12 2" xfId="12978"/>
    <cellStyle name="Normal 2 2 2 3 2 3 13" xfId="12979"/>
    <cellStyle name="Normal 2 2 2 3 2 3 2" xfId="12980"/>
    <cellStyle name="Normal 2 2 2 3 2 3 2 10" xfId="12981"/>
    <cellStyle name="Normal 2 2 2 3 2 3 2 10 2" xfId="12982"/>
    <cellStyle name="Normal 2 2 2 3 2 3 2 11" xfId="12983"/>
    <cellStyle name="Normal 2 2 2 3 2 3 2 11 2" xfId="12984"/>
    <cellStyle name="Normal 2 2 2 3 2 3 2 12" xfId="12985"/>
    <cellStyle name="Normal 2 2 2 3 2 3 2 2" xfId="12986"/>
    <cellStyle name="Normal 2 2 2 3 2 3 2 2 10" xfId="12987"/>
    <cellStyle name="Normal 2 2 2 3 2 3 2 2 10 2" xfId="12988"/>
    <cellStyle name="Normal 2 2 2 3 2 3 2 2 11" xfId="12989"/>
    <cellStyle name="Normal 2 2 2 3 2 3 2 2 2" xfId="12990"/>
    <cellStyle name="Normal 2 2 2 3 2 3 2 2 2 2" xfId="12991"/>
    <cellStyle name="Normal 2 2 2 3 2 3 2 2 3" xfId="12992"/>
    <cellStyle name="Normal 2 2 2 3 2 3 2 2 3 2" xfId="12993"/>
    <cellStyle name="Normal 2 2 2 3 2 3 2 2 4" xfId="12994"/>
    <cellStyle name="Normal 2 2 2 3 2 3 2 2 4 2" xfId="12995"/>
    <cellStyle name="Normal 2 2 2 3 2 3 2 2 5" xfId="12996"/>
    <cellStyle name="Normal 2 2 2 3 2 3 2 2 5 2" xfId="12997"/>
    <cellStyle name="Normal 2 2 2 3 2 3 2 2 6" xfId="12998"/>
    <cellStyle name="Normal 2 2 2 3 2 3 2 2 6 2" xfId="12999"/>
    <cellStyle name="Normal 2 2 2 3 2 3 2 2 7" xfId="13000"/>
    <cellStyle name="Normal 2 2 2 3 2 3 2 2 7 2" xfId="13001"/>
    <cellStyle name="Normal 2 2 2 3 2 3 2 2 8" xfId="13002"/>
    <cellStyle name="Normal 2 2 2 3 2 3 2 2 8 2" xfId="13003"/>
    <cellStyle name="Normal 2 2 2 3 2 3 2 2 9" xfId="13004"/>
    <cellStyle name="Normal 2 2 2 3 2 3 2 2 9 2" xfId="13005"/>
    <cellStyle name="Normal 2 2 2 3 2 3 2 3" xfId="13006"/>
    <cellStyle name="Normal 2 2 2 3 2 3 2 3 2" xfId="13007"/>
    <cellStyle name="Normal 2 2 2 3 2 3 2 4" xfId="13008"/>
    <cellStyle name="Normal 2 2 2 3 2 3 2 4 2" xfId="13009"/>
    <cellStyle name="Normal 2 2 2 3 2 3 2 5" xfId="13010"/>
    <cellStyle name="Normal 2 2 2 3 2 3 2 5 2" xfId="13011"/>
    <cellStyle name="Normal 2 2 2 3 2 3 2 6" xfId="13012"/>
    <cellStyle name="Normal 2 2 2 3 2 3 2 6 2" xfId="13013"/>
    <cellStyle name="Normal 2 2 2 3 2 3 2 7" xfId="13014"/>
    <cellStyle name="Normal 2 2 2 3 2 3 2 7 2" xfId="13015"/>
    <cellStyle name="Normal 2 2 2 3 2 3 2 8" xfId="13016"/>
    <cellStyle name="Normal 2 2 2 3 2 3 2 8 2" xfId="13017"/>
    <cellStyle name="Normal 2 2 2 3 2 3 2 9" xfId="13018"/>
    <cellStyle name="Normal 2 2 2 3 2 3 2 9 2" xfId="13019"/>
    <cellStyle name="Normal 2 2 2 3 2 3 3" xfId="13020"/>
    <cellStyle name="Normal 2 2 2 3 2 3 3 10" xfId="13021"/>
    <cellStyle name="Normal 2 2 2 3 2 3 3 10 2" xfId="13022"/>
    <cellStyle name="Normal 2 2 2 3 2 3 3 11" xfId="13023"/>
    <cellStyle name="Normal 2 2 2 3 2 3 3 2" xfId="13024"/>
    <cellStyle name="Normal 2 2 2 3 2 3 3 2 2" xfId="13025"/>
    <cellStyle name="Normal 2 2 2 3 2 3 3 3" xfId="13026"/>
    <cellStyle name="Normal 2 2 2 3 2 3 3 3 2" xfId="13027"/>
    <cellStyle name="Normal 2 2 2 3 2 3 3 4" xfId="13028"/>
    <cellStyle name="Normal 2 2 2 3 2 3 3 4 2" xfId="13029"/>
    <cellStyle name="Normal 2 2 2 3 2 3 3 5" xfId="13030"/>
    <cellStyle name="Normal 2 2 2 3 2 3 3 5 2" xfId="13031"/>
    <cellStyle name="Normal 2 2 2 3 2 3 3 6" xfId="13032"/>
    <cellStyle name="Normal 2 2 2 3 2 3 3 6 2" xfId="13033"/>
    <cellStyle name="Normal 2 2 2 3 2 3 3 7" xfId="13034"/>
    <cellStyle name="Normal 2 2 2 3 2 3 3 7 2" xfId="13035"/>
    <cellStyle name="Normal 2 2 2 3 2 3 3 8" xfId="13036"/>
    <cellStyle name="Normal 2 2 2 3 2 3 3 8 2" xfId="13037"/>
    <cellStyle name="Normal 2 2 2 3 2 3 3 9" xfId="13038"/>
    <cellStyle name="Normal 2 2 2 3 2 3 3 9 2" xfId="13039"/>
    <cellStyle name="Normal 2 2 2 3 2 3 4" xfId="13040"/>
    <cellStyle name="Normal 2 2 2 3 2 3 4 2" xfId="13041"/>
    <cellStyle name="Normal 2 2 2 3 2 3 5" xfId="13042"/>
    <cellStyle name="Normal 2 2 2 3 2 3 5 2" xfId="13043"/>
    <cellStyle name="Normal 2 2 2 3 2 3 6" xfId="13044"/>
    <cellStyle name="Normal 2 2 2 3 2 3 6 2" xfId="13045"/>
    <cellStyle name="Normal 2 2 2 3 2 3 7" xfId="13046"/>
    <cellStyle name="Normal 2 2 2 3 2 3 7 2" xfId="13047"/>
    <cellStyle name="Normal 2 2 2 3 2 3 8" xfId="13048"/>
    <cellStyle name="Normal 2 2 2 3 2 3 8 2" xfId="13049"/>
    <cellStyle name="Normal 2 2 2 3 2 3 9" xfId="13050"/>
    <cellStyle name="Normal 2 2 2 3 2 3 9 2" xfId="13051"/>
    <cellStyle name="Normal 2 2 2 3 2 4" xfId="13052"/>
    <cellStyle name="Normal 2 2 2 3 2 4 10" xfId="13053"/>
    <cellStyle name="Normal 2 2 2 3 2 4 10 2" xfId="13054"/>
    <cellStyle name="Normal 2 2 2 3 2 4 11" xfId="13055"/>
    <cellStyle name="Normal 2 2 2 3 2 4 11 2" xfId="13056"/>
    <cellStyle name="Normal 2 2 2 3 2 4 12" xfId="13057"/>
    <cellStyle name="Normal 2 2 2 3 2 4 12 2" xfId="13058"/>
    <cellStyle name="Normal 2 2 2 3 2 4 13" xfId="13059"/>
    <cellStyle name="Normal 2 2 2 3 2 4 2" xfId="13060"/>
    <cellStyle name="Normal 2 2 2 3 2 4 2 10" xfId="13061"/>
    <cellStyle name="Normal 2 2 2 3 2 4 2 10 2" xfId="13062"/>
    <cellStyle name="Normal 2 2 2 3 2 4 2 11" xfId="13063"/>
    <cellStyle name="Normal 2 2 2 3 2 4 2 11 2" xfId="13064"/>
    <cellStyle name="Normal 2 2 2 3 2 4 2 12" xfId="13065"/>
    <cellStyle name="Normal 2 2 2 3 2 4 2 2" xfId="13066"/>
    <cellStyle name="Normal 2 2 2 3 2 4 2 2 10" xfId="13067"/>
    <cellStyle name="Normal 2 2 2 3 2 4 2 2 10 2" xfId="13068"/>
    <cellStyle name="Normal 2 2 2 3 2 4 2 2 11" xfId="13069"/>
    <cellStyle name="Normal 2 2 2 3 2 4 2 2 2" xfId="13070"/>
    <cellStyle name="Normal 2 2 2 3 2 4 2 2 2 2" xfId="13071"/>
    <cellStyle name="Normal 2 2 2 3 2 4 2 2 3" xfId="13072"/>
    <cellStyle name="Normal 2 2 2 3 2 4 2 2 3 2" xfId="13073"/>
    <cellStyle name="Normal 2 2 2 3 2 4 2 2 4" xfId="13074"/>
    <cellStyle name="Normal 2 2 2 3 2 4 2 2 4 2" xfId="13075"/>
    <cellStyle name="Normal 2 2 2 3 2 4 2 2 5" xfId="13076"/>
    <cellStyle name="Normal 2 2 2 3 2 4 2 2 5 2" xfId="13077"/>
    <cellStyle name="Normal 2 2 2 3 2 4 2 2 6" xfId="13078"/>
    <cellStyle name="Normal 2 2 2 3 2 4 2 2 6 2" xfId="13079"/>
    <cellStyle name="Normal 2 2 2 3 2 4 2 2 7" xfId="13080"/>
    <cellStyle name="Normal 2 2 2 3 2 4 2 2 7 2" xfId="13081"/>
    <cellStyle name="Normal 2 2 2 3 2 4 2 2 8" xfId="13082"/>
    <cellStyle name="Normal 2 2 2 3 2 4 2 2 8 2" xfId="13083"/>
    <cellStyle name="Normal 2 2 2 3 2 4 2 2 9" xfId="13084"/>
    <cellStyle name="Normal 2 2 2 3 2 4 2 2 9 2" xfId="13085"/>
    <cellStyle name="Normal 2 2 2 3 2 4 2 3" xfId="13086"/>
    <cellStyle name="Normal 2 2 2 3 2 4 2 3 2" xfId="13087"/>
    <cellStyle name="Normal 2 2 2 3 2 4 2 4" xfId="13088"/>
    <cellStyle name="Normal 2 2 2 3 2 4 2 4 2" xfId="13089"/>
    <cellStyle name="Normal 2 2 2 3 2 4 2 5" xfId="13090"/>
    <cellStyle name="Normal 2 2 2 3 2 4 2 5 2" xfId="13091"/>
    <cellStyle name="Normal 2 2 2 3 2 4 2 6" xfId="13092"/>
    <cellStyle name="Normal 2 2 2 3 2 4 2 6 2" xfId="13093"/>
    <cellStyle name="Normal 2 2 2 3 2 4 2 7" xfId="13094"/>
    <cellStyle name="Normal 2 2 2 3 2 4 2 7 2" xfId="13095"/>
    <cellStyle name="Normal 2 2 2 3 2 4 2 8" xfId="13096"/>
    <cellStyle name="Normal 2 2 2 3 2 4 2 8 2" xfId="13097"/>
    <cellStyle name="Normal 2 2 2 3 2 4 2 9" xfId="13098"/>
    <cellStyle name="Normal 2 2 2 3 2 4 2 9 2" xfId="13099"/>
    <cellStyle name="Normal 2 2 2 3 2 4 3" xfId="13100"/>
    <cellStyle name="Normal 2 2 2 3 2 4 3 10" xfId="13101"/>
    <cellStyle name="Normal 2 2 2 3 2 4 3 10 2" xfId="13102"/>
    <cellStyle name="Normal 2 2 2 3 2 4 3 11" xfId="13103"/>
    <cellStyle name="Normal 2 2 2 3 2 4 3 2" xfId="13104"/>
    <cellStyle name="Normal 2 2 2 3 2 4 3 2 2" xfId="13105"/>
    <cellStyle name="Normal 2 2 2 3 2 4 3 3" xfId="13106"/>
    <cellStyle name="Normal 2 2 2 3 2 4 3 3 2" xfId="13107"/>
    <cellStyle name="Normal 2 2 2 3 2 4 3 4" xfId="13108"/>
    <cellStyle name="Normal 2 2 2 3 2 4 3 4 2" xfId="13109"/>
    <cellStyle name="Normal 2 2 2 3 2 4 3 5" xfId="13110"/>
    <cellStyle name="Normal 2 2 2 3 2 4 3 5 2" xfId="13111"/>
    <cellStyle name="Normal 2 2 2 3 2 4 3 6" xfId="13112"/>
    <cellStyle name="Normal 2 2 2 3 2 4 3 6 2" xfId="13113"/>
    <cellStyle name="Normal 2 2 2 3 2 4 3 7" xfId="13114"/>
    <cellStyle name="Normal 2 2 2 3 2 4 3 7 2" xfId="13115"/>
    <cellStyle name="Normal 2 2 2 3 2 4 3 8" xfId="13116"/>
    <cellStyle name="Normal 2 2 2 3 2 4 3 8 2" xfId="13117"/>
    <cellStyle name="Normal 2 2 2 3 2 4 3 9" xfId="13118"/>
    <cellStyle name="Normal 2 2 2 3 2 4 3 9 2" xfId="13119"/>
    <cellStyle name="Normal 2 2 2 3 2 4 4" xfId="13120"/>
    <cellStyle name="Normal 2 2 2 3 2 4 4 2" xfId="13121"/>
    <cellStyle name="Normal 2 2 2 3 2 4 5" xfId="13122"/>
    <cellStyle name="Normal 2 2 2 3 2 4 5 2" xfId="13123"/>
    <cellStyle name="Normal 2 2 2 3 2 4 6" xfId="13124"/>
    <cellStyle name="Normal 2 2 2 3 2 4 6 2" xfId="13125"/>
    <cellStyle name="Normal 2 2 2 3 2 4 7" xfId="13126"/>
    <cellStyle name="Normal 2 2 2 3 2 4 7 2" xfId="13127"/>
    <cellStyle name="Normal 2 2 2 3 2 4 8" xfId="13128"/>
    <cellStyle name="Normal 2 2 2 3 2 4 8 2" xfId="13129"/>
    <cellStyle name="Normal 2 2 2 3 2 4 9" xfId="13130"/>
    <cellStyle name="Normal 2 2 2 3 2 4 9 2" xfId="13131"/>
    <cellStyle name="Normal 2 2 2 3 2 5" xfId="13132"/>
    <cellStyle name="Normal 2 2 2 3 2 5 10" xfId="13133"/>
    <cellStyle name="Normal 2 2 2 3 2 5 10 2" xfId="13134"/>
    <cellStyle name="Normal 2 2 2 3 2 5 11" xfId="13135"/>
    <cellStyle name="Normal 2 2 2 3 2 5 11 2" xfId="13136"/>
    <cellStyle name="Normal 2 2 2 3 2 5 12" xfId="13137"/>
    <cellStyle name="Normal 2 2 2 3 2 5 12 2" xfId="13138"/>
    <cellStyle name="Normal 2 2 2 3 2 5 13" xfId="13139"/>
    <cellStyle name="Normal 2 2 2 3 2 5 2" xfId="13140"/>
    <cellStyle name="Normal 2 2 2 3 2 5 2 10" xfId="13141"/>
    <cellStyle name="Normal 2 2 2 3 2 5 2 10 2" xfId="13142"/>
    <cellStyle name="Normal 2 2 2 3 2 5 2 11" xfId="13143"/>
    <cellStyle name="Normal 2 2 2 3 2 5 2 11 2" xfId="13144"/>
    <cellStyle name="Normal 2 2 2 3 2 5 2 12" xfId="13145"/>
    <cellStyle name="Normal 2 2 2 3 2 5 2 2" xfId="13146"/>
    <cellStyle name="Normal 2 2 2 3 2 5 2 2 10" xfId="13147"/>
    <cellStyle name="Normal 2 2 2 3 2 5 2 2 10 2" xfId="13148"/>
    <cellStyle name="Normal 2 2 2 3 2 5 2 2 11" xfId="13149"/>
    <cellStyle name="Normal 2 2 2 3 2 5 2 2 2" xfId="13150"/>
    <cellStyle name="Normal 2 2 2 3 2 5 2 2 2 2" xfId="13151"/>
    <cellStyle name="Normal 2 2 2 3 2 5 2 2 3" xfId="13152"/>
    <cellStyle name="Normal 2 2 2 3 2 5 2 2 3 2" xfId="13153"/>
    <cellStyle name="Normal 2 2 2 3 2 5 2 2 4" xfId="13154"/>
    <cellStyle name="Normal 2 2 2 3 2 5 2 2 4 2" xfId="13155"/>
    <cellStyle name="Normal 2 2 2 3 2 5 2 2 5" xfId="13156"/>
    <cellStyle name="Normal 2 2 2 3 2 5 2 2 5 2" xfId="13157"/>
    <cellStyle name="Normal 2 2 2 3 2 5 2 2 6" xfId="13158"/>
    <cellStyle name="Normal 2 2 2 3 2 5 2 2 6 2" xfId="13159"/>
    <cellStyle name="Normal 2 2 2 3 2 5 2 2 7" xfId="13160"/>
    <cellStyle name="Normal 2 2 2 3 2 5 2 2 7 2" xfId="13161"/>
    <cellStyle name="Normal 2 2 2 3 2 5 2 2 8" xfId="13162"/>
    <cellStyle name="Normal 2 2 2 3 2 5 2 2 8 2" xfId="13163"/>
    <cellStyle name="Normal 2 2 2 3 2 5 2 2 9" xfId="13164"/>
    <cellStyle name="Normal 2 2 2 3 2 5 2 2 9 2" xfId="13165"/>
    <cellStyle name="Normal 2 2 2 3 2 5 2 3" xfId="13166"/>
    <cellStyle name="Normal 2 2 2 3 2 5 2 3 2" xfId="13167"/>
    <cellStyle name="Normal 2 2 2 3 2 5 2 4" xfId="13168"/>
    <cellStyle name="Normal 2 2 2 3 2 5 2 4 2" xfId="13169"/>
    <cellStyle name="Normal 2 2 2 3 2 5 2 5" xfId="13170"/>
    <cellStyle name="Normal 2 2 2 3 2 5 2 5 2" xfId="13171"/>
    <cellStyle name="Normal 2 2 2 3 2 5 2 6" xfId="13172"/>
    <cellStyle name="Normal 2 2 2 3 2 5 2 6 2" xfId="13173"/>
    <cellStyle name="Normal 2 2 2 3 2 5 2 7" xfId="13174"/>
    <cellStyle name="Normal 2 2 2 3 2 5 2 7 2" xfId="13175"/>
    <cellStyle name="Normal 2 2 2 3 2 5 2 8" xfId="13176"/>
    <cellStyle name="Normal 2 2 2 3 2 5 2 8 2" xfId="13177"/>
    <cellStyle name="Normal 2 2 2 3 2 5 2 9" xfId="13178"/>
    <cellStyle name="Normal 2 2 2 3 2 5 2 9 2" xfId="13179"/>
    <cellStyle name="Normal 2 2 2 3 2 5 3" xfId="13180"/>
    <cellStyle name="Normal 2 2 2 3 2 5 3 10" xfId="13181"/>
    <cellStyle name="Normal 2 2 2 3 2 5 3 10 2" xfId="13182"/>
    <cellStyle name="Normal 2 2 2 3 2 5 3 11" xfId="13183"/>
    <cellStyle name="Normal 2 2 2 3 2 5 3 2" xfId="13184"/>
    <cellStyle name="Normal 2 2 2 3 2 5 3 2 2" xfId="13185"/>
    <cellStyle name="Normal 2 2 2 3 2 5 3 3" xfId="13186"/>
    <cellStyle name="Normal 2 2 2 3 2 5 3 3 2" xfId="13187"/>
    <cellStyle name="Normal 2 2 2 3 2 5 3 4" xfId="13188"/>
    <cellStyle name="Normal 2 2 2 3 2 5 3 4 2" xfId="13189"/>
    <cellStyle name="Normal 2 2 2 3 2 5 3 5" xfId="13190"/>
    <cellStyle name="Normal 2 2 2 3 2 5 3 5 2" xfId="13191"/>
    <cellStyle name="Normal 2 2 2 3 2 5 3 6" xfId="13192"/>
    <cellStyle name="Normal 2 2 2 3 2 5 3 6 2" xfId="13193"/>
    <cellStyle name="Normal 2 2 2 3 2 5 3 7" xfId="13194"/>
    <cellStyle name="Normal 2 2 2 3 2 5 3 7 2" xfId="13195"/>
    <cellStyle name="Normal 2 2 2 3 2 5 3 8" xfId="13196"/>
    <cellStyle name="Normal 2 2 2 3 2 5 3 8 2" xfId="13197"/>
    <cellStyle name="Normal 2 2 2 3 2 5 3 9" xfId="13198"/>
    <cellStyle name="Normal 2 2 2 3 2 5 3 9 2" xfId="13199"/>
    <cellStyle name="Normal 2 2 2 3 2 5 4" xfId="13200"/>
    <cellStyle name="Normal 2 2 2 3 2 5 4 2" xfId="13201"/>
    <cellStyle name="Normal 2 2 2 3 2 5 5" xfId="13202"/>
    <cellStyle name="Normal 2 2 2 3 2 5 5 2" xfId="13203"/>
    <cellStyle name="Normal 2 2 2 3 2 5 6" xfId="13204"/>
    <cellStyle name="Normal 2 2 2 3 2 5 6 2" xfId="13205"/>
    <cellStyle name="Normal 2 2 2 3 2 5 7" xfId="13206"/>
    <cellStyle name="Normal 2 2 2 3 2 5 7 2" xfId="13207"/>
    <cellStyle name="Normal 2 2 2 3 2 5 8" xfId="13208"/>
    <cellStyle name="Normal 2 2 2 3 2 5 8 2" xfId="13209"/>
    <cellStyle name="Normal 2 2 2 3 2 5 9" xfId="13210"/>
    <cellStyle name="Normal 2 2 2 3 2 5 9 2" xfId="13211"/>
    <cellStyle name="Normal 2 2 2 3 2 6" xfId="13212"/>
    <cellStyle name="Normal 2 2 2 3 2 6 2" xfId="13213"/>
    <cellStyle name="Normal 2 2 2 3 2 6 2 10" xfId="13214"/>
    <cellStyle name="Normal 2 2 2 3 2 6 2 10 2" xfId="13215"/>
    <cellStyle name="Normal 2 2 2 3 2 6 2 11" xfId="13216"/>
    <cellStyle name="Normal 2 2 2 3 2 6 2 11 2" xfId="13217"/>
    <cellStyle name="Normal 2 2 2 3 2 6 2 12" xfId="13218"/>
    <cellStyle name="Normal 2 2 2 3 2 6 2 12 2" xfId="13219"/>
    <cellStyle name="Normal 2 2 2 3 2 6 2 13" xfId="13220"/>
    <cellStyle name="Normal 2 2 2 3 2 6 2 2" xfId="13221"/>
    <cellStyle name="Normal 2 2 2 3 2 6 2 2 10" xfId="13222"/>
    <cellStyle name="Normal 2 2 2 3 2 6 2 2 10 2" xfId="13223"/>
    <cellStyle name="Normal 2 2 2 3 2 6 2 2 11" xfId="13224"/>
    <cellStyle name="Normal 2 2 2 3 2 6 2 2 11 2" xfId="13225"/>
    <cellStyle name="Normal 2 2 2 3 2 6 2 2 12" xfId="13226"/>
    <cellStyle name="Normal 2 2 2 3 2 6 2 2 2" xfId="13227"/>
    <cellStyle name="Normal 2 2 2 3 2 6 2 2 2 10" xfId="13228"/>
    <cellStyle name="Normal 2 2 2 3 2 6 2 2 2 10 2" xfId="13229"/>
    <cellStyle name="Normal 2 2 2 3 2 6 2 2 2 11" xfId="13230"/>
    <cellStyle name="Normal 2 2 2 3 2 6 2 2 2 2" xfId="13231"/>
    <cellStyle name="Normal 2 2 2 3 2 6 2 2 2 2 2" xfId="13232"/>
    <cellStyle name="Normal 2 2 2 3 2 6 2 2 2 3" xfId="13233"/>
    <cellStyle name="Normal 2 2 2 3 2 6 2 2 2 3 2" xfId="13234"/>
    <cellStyle name="Normal 2 2 2 3 2 6 2 2 2 4" xfId="13235"/>
    <cellStyle name="Normal 2 2 2 3 2 6 2 2 2 4 2" xfId="13236"/>
    <cellStyle name="Normal 2 2 2 3 2 6 2 2 2 5" xfId="13237"/>
    <cellStyle name="Normal 2 2 2 3 2 6 2 2 2 5 2" xfId="13238"/>
    <cellStyle name="Normal 2 2 2 3 2 6 2 2 2 6" xfId="13239"/>
    <cellStyle name="Normal 2 2 2 3 2 6 2 2 2 6 2" xfId="13240"/>
    <cellStyle name="Normal 2 2 2 3 2 6 2 2 2 7" xfId="13241"/>
    <cellStyle name="Normal 2 2 2 3 2 6 2 2 2 7 2" xfId="13242"/>
    <cellStyle name="Normal 2 2 2 3 2 6 2 2 2 8" xfId="13243"/>
    <cellStyle name="Normal 2 2 2 3 2 6 2 2 2 8 2" xfId="13244"/>
    <cellStyle name="Normal 2 2 2 3 2 6 2 2 2 9" xfId="13245"/>
    <cellStyle name="Normal 2 2 2 3 2 6 2 2 2 9 2" xfId="13246"/>
    <cellStyle name="Normal 2 2 2 3 2 6 2 2 3" xfId="13247"/>
    <cellStyle name="Normal 2 2 2 3 2 6 2 2 3 2" xfId="13248"/>
    <cellStyle name="Normal 2 2 2 3 2 6 2 2 4" xfId="13249"/>
    <cellStyle name="Normal 2 2 2 3 2 6 2 2 4 2" xfId="13250"/>
    <cellStyle name="Normal 2 2 2 3 2 6 2 2 5" xfId="13251"/>
    <cellStyle name="Normal 2 2 2 3 2 6 2 2 5 2" xfId="13252"/>
    <cellStyle name="Normal 2 2 2 3 2 6 2 2 6" xfId="13253"/>
    <cellStyle name="Normal 2 2 2 3 2 6 2 2 6 2" xfId="13254"/>
    <cellStyle name="Normal 2 2 2 3 2 6 2 2 7" xfId="13255"/>
    <cellStyle name="Normal 2 2 2 3 2 6 2 2 7 2" xfId="13256"/>
    <cellStyle name="Normal 2 2 2 3 2 6 2 2 8" xfId="13257"/>
    <cellStyle name="Normal 2 2 2 3 2 6 2 2 8 2" xfId="13258"/>
    <cellStyle name="Normal 2 2 2 3 2 6 2 2 9" xfId="13259"/>
    <cellStyle name="Normal 2 2 2 3 2 6 2 2 9 2" xfId="13260"/>
    <cellStyle name="Normal 2 2 2 3 2 6 2 3" xfId="13261"/>
    <cellStyle name="Normal 2 2 2 3 2 6 2 3 10" xfId="13262"/>
    <cellStyle name="Normal 2 2 2 3 2 6 2 3 10 2" xfId="13263"/>
    <cellStyle name="Normal 2 2 2 3 2 6 2 3 11" xfId="13264"/>
    <cellStyle name="Normal 2 2 2 3 2 6 2 3 2" xfId="13265"/>
    <cellStyle name="Normal 2 2 2 3 2 6 2 3 2 2" xfId="13266"/>
    <cellStyle name="Normal 2 2 2 3 2 6 2 3 3" xfId="13267"/>
    <cellStyle name="Normal 2 2 2 3 2 6 2 3 3 2" xfId="13268"/>
    <cellStyle name="Normal 2 2 2 3 2 6 2 3 4" xfId="13269"/>
    <cellStyle name="Normal 2 2 2 3 2 6 2 3 4 2" xfId="13270"/>
    <cellStyle name="Normal 2 2 2 3 2 6 2 3 5" xfId="13271"/>
    <cellStyle name="Normal 2 2 2 3 2 6 2 3 5 2" xfId="13272"/>
    <cellStyle name="Normal 2 2 2 3 2 6 2 3 6" xfId="13273"/>
    <cellStyle name="Normal 2 2 2 3 2 6 2 3 6 2" xfId="13274"/>
    <cellStyle name="Normal 2 2 2 3 2 6 2 3 7" xfId="13275"/>
    <cellStyle name="Normal 2 2 2 3 2 6 2 3 7 2" xfId="13276"/>
    <cellStyle name="Normal 2 2 2 3 2 6 2 3 8" xfId="13277"/>
    <cellStyle name="Normal 2 2 2 3 2 6 2 3 8 2" xfId="13278"/>
    <cellStyle name="Normal 2 2 2 3 2 6 2 3 9" xfId="13279"/>
    <cellStyle name="Normal 2 2 2 3 2 6 2 3 9 2" xfId="13280"/>
    <cellStyle name="Normal 2 2 2 3 2 6 2 4" xfId="13281"/>
    <cellStyle name="Normal 2 2 2 3 2 6 2 4 2" xfId="13282"/>
    <cellStyle name="Normal 2 2 2 3 2 6 2 5" xfId="13283"/>
    <cellStyle name="Normal 2 2 2 3 2 6 2 5 2" xfId="13284"/>
    <cellStyle name="Normal 2 2 2 3 2 6 2 6" xfId="13285"/>
    <cellStyle name="Normal 2 2 2 3 2 6 2 6 2" xfId="13286"/>
    <cellStyle name="Normal 2 2 2 3 2 6 2 7" xfId="13287"/>
    <cellStyle name="Normal 2 2 2 3 2 6 2 7 2" xfId="13288"/>
    <cellStyle name="Normal 2 2 2 3 2 6 2 8" xfId="13289"/>
    <cellStyle name="Normal 2 2 2 3 2 6 2 8 2" xfId="13290"/>
    <cellStyle name="Normal 2 2 2 3 2 6 2 9" xfId="13291"/>
    <cellStyle name="Normal 2 2 2 3 2 6 2 9 2" xfId="13292"/>
    <cellStyle name="Normal 2 2 2 3 2 6 3" xfId="13293"/>
    <cellStyle name="Normal 2 2 2 3 2 6 3 10" xfId="13294"/>
    <cellStyle name="Normal 2 2 2 3 2 6 3 10 2" xfId="13295"/>
    <cellStyle name="Normal 2 2 2 3 2 6 3 11" xfId="13296"/>
    <cellStyle name="Normal 2 2 2 3 2 6 3 11 2" xfId="13297"/>
    <cellStyle name="Normal 2 2 2 3 2 6 3 12" xfId="13298"/>
    <cellStyle name="Normal 2 2 2 3 2 6 3 12 2" xfId="13299"/>
    <cellStyle name="Normal 2 2 2 3 2 6 3 13" xfId="13300"/>
    <cellStyle name="Normal 2 2 2 3 2 6 3 2" xfId="13301"/>
    <cellStyle name="Normal 2 2 2 3 2 6 3 2 10" xfId="13302"/>
    <cellStyle name="Normal 2 2 2 3 2 6 3 2 10 2" xfId="13303"/>
    <cellStyle name="Normal 2 2 2 3 2 6 3 2 11" xfId="13304"/>
    <cellStyle name="Normal 2 2 2 3 2 6 3 2 11 2" xfId="13305"/>
    <cellStyle name="Normal 2 2 2 3 2 6 3 2 12" xfId="13306"/>
    <cellStyle name="Normal 2 2 2 3 2 6 3 2 2" xfId="13307"/>
    <cellStyle name="Normal 2 2 2 3 2 6 3 2 2 10" xfId="13308"/>
    <cellStyle name="Normal 2 2 2 3 2 6 3 2 2 10 2" xfId="13309"/>
    <cellStyle name="Normal 2 2 2 3 2 6 3 2 2 11" xfId="13310"/>
    <cellStyle name="Normal 2 2 2 3 2 6 3 2 2 2" xfId="13311"/>
    <cellStyle name="Normal 2 2 2 3 2 6 3 2 2 2 2" xfId="13312"/>
    <cellStyle name="Normal 2 2 2 3 2 6 3 2 2 3" xfId="13313"/>
    <cellStyle name="Normal 2 2 2 3 2 6 3 2 2 3 2" xfId="13314"/>
    <cellStyle name="Normal 2 2 2 3 2 6 3 2 2 4" xfId="13315"/>
    <cellStyle name="Normal 2 2 2 3 2 6 3 2 2 4 2" xfId="13316"/>
    <cellStyle name="Normal 2 2 2 3 2 6 3 2 2 5" xfId="13317"/>
    <cellStyle name="Normal 2 2 2 3 2 6 3 2 2 5 2" xfId="13318"/>
    <cellStyle name="Normal 2 2 2 3 2 6 3 2 2 6" xfId="13319"/>
    <cellStyle name="Normal 2 2 2 3 2 6 3 2 2 6 2" xfId="13320"/>
    <cellStyle name="Normal 2 2 2 3 2 6 3 2 2 7" xfId="13321"/>
    <cellStyle name="Normal 2 2 2 3 2 6 3 2 2 7 2" xfId="13322"/>
    <cellStyle name="Normal 2 2 2 3 2 6 3 2 2 8" xfId="13323"/>
    <cellStyle name="Normal 2 2 2 3 2 6 3 2 2 8 2" xfId="13324"/>
    <cellStyle name="Normal 2 2 2 3 2 6 3 2 2 9" xfId="13325"/>
    <cellStyle name="Normal 2 2 2 3 2 6 3 2 2 9 2" xfId="13326"/>
    <cellStyle name="Normal 2 2 2 3 2 6 3 2 3" xfId="13327"/>
    <cellStyle name="Normal 2 2 2 3 2 6 3 2 3 2" xfId="13328"/>
    <cellStyle name="Normal 2 2 2 3 2 6 3 2 4" xfId="13329"/>
    <cellStyle name="Normal 2 2 2 3 2 6 3 2 4 2" xfId="13330"/>
    <cellStyle name="Normal 2 2 2 3 2 6 3 2 5" xfId="13331"/>
    <cellStyle name="Normal 2 2 2 3 2 6 3 2 5 2" xfId="13332"/>
    <cellStyle name="Normal 2 2 2 3 2 6 3 2 6" xfId="13333"/>
    <cellStyle name="Normal 2 2 2 3 2 6 3 2 6 2" xfId="13334"/>
    <cellStyle name="Normal 2 2 2 3 2 6 3 2 7" xfId="13335"/>
    <cellStyle name="Normal 2 2 2 3 2 6 3 2 7 2" xfId="13336"/>
    <cellStyle name="Normal 2 2 2 3 2 6 3 2 8" xfId="13337"/>
    <cellStyle name="Normal 2 2 2 3 2 6 3 2 8 2" xfId="13338"/>
    <cellStyle name="Normal 2 2 2 3 2 6 3 2 9" xfId="13339"/>
    <cellStyle name="Normal 2 2 2 3 2 6 3 2 9 2" xfId="13340"/>
    <cellStyle name="Normal 2 2 2 3 2 6 3 3" xfId="13341"/>
    <cellStyle name="Normal 2 2 2 3 2 6 3 3 10" xfId="13342"/>
    <cellStyle name="Normal 2 2 2 3 2 6 3 3 10 2" xfId="13343"/>
    <cellStyle name="Normal 2 2 2 3 2 6 3 3 11" xfId="13344"/>
    <cellStyle name="Normal 2 2 2 3 2 6 3 3 2" xfId="13345"/>
    <cellStyle name="Normal 2 2 2 3 2 6 3 3 2 2" xfId="13346"/>
    <cellStyle name="Normal 2 2 2 3 2 6 3 3 3" xfId="13347"/>
    <cellStyle name="Normal 2 2 2 3 2 6 3 3 3 2" xfId="13348"/>
    <cellStyle name="Normal 2 2 2 3 2 6 3 3 4" xfId="13349"/>
    <cellStyle name="Normal 2 2 2 3 2 6 3 3 4 2" xfId="13350"/>
    <cellStyle name="Normal 2 2 2 3 2 6 3 3 5" xfId="13351"/>
    <cellStyle name="Normal 2 2 2 3 2 6 3 3 5 2" xfId="13352"/>
    <cellStyle name="Normal 2 2 2 3 2 6 3 3 6" xfId="13353"/>
    <cellStyle name="Normal 2 2 2 3 2 6 3 3 6 2" xfId="13354"/>
    <cellStyle name="Normal 2 2 2 3 2 6 3 3 7" xfId="13355"/>
    <cellStyle name="Normal 2 2 2 3 2 6 3 3 7 2" xfId="13356"/>
    <cellStyle name="Normal 2 2 2 3 2 6 3 3 8" xfId="13357"/>
    <cellStyle name="Normal 2 2 2 3 2 6 3 3 8 2" xfId="13358"/>
    <cellStyle name="Normal 2 2 2 3 2 6 3 3 9" xfId="13359"/>
    <cellStyle name="Normal 2 2 2 3 2 6 3 3 9 2" xfId="13360"/>
    <cellStyle name="Normal 2 2 2 3 2 6 3 4" xfId="13361"/>
    <cellStyle name="Normal 2 2 2 3 2 6 3 4 2" xfId="13362"/>
    <cellStyle name="Normal 2 2 2 3 2 6 3 5" xfId="13363"/>
    <cellStyle name="Normal 2 2 2 3 2 6 3 5 2" xfId="13364"/>
    <cellStyle name="Normal 2 2 2 3 2 6 3 6" xfId="13365"/>
    <cellStyle name="Normal 2 2 2 3 2 6 3 6 2" xfId="13366"/>
    <cellStyle name="Normal 2 2 2 3 2 6 3 7" xfId="13367"/>
    <cellStyle name="Normal 2 2 2 3 2 6 3 7 2" xfId="13368"/>
    <cellStyle name="Normal 2 2 2 3 2 6 3 8" xfId="13369"/>
    <cellStyle name="Normal 2 2 2 3 2 6 3 8 2" xfId="13370"/>
    <cellStyle name="Normal 2 2 2 3 2 6 3 9" xfId="13371"/>
    <cellStyle name="Normal 2 2 2 3 2 6 3 9 2" xfId="13372"/>
    <cellStyle name="Normal 2 2 2 3 2 6 4" xfId="13373"/>
    <cellStyle name="Normal 2 2 2 3 2 6 4 10" xfId="13374"/>
    <cellStyle name="Normal 2 2 2 3 2 6 4 10 2" xfId="13375"/>
    <cellStyle name="Normal 2 2 2 3 2 6 4 11" xfId="13376"/>
    <cellStyle name="Normal 2 2 2 3 2 6 4 11 2" xfId="13377"/>
    <cellStyle name="Normal 2 2 2 3 2 6 4 12" xfId="13378"/>
    <cellStyle name="Normal 2 2 2 3 2 6 4 12 2" xfId="13379"/>
    <cellStyle name="Normal 2 2 2 3 2 6 4 13" xfId="13380"/>
    <cellStyle name="Normal 2 2 2 3 2 6 4 2" xfId="13381"/>
    <cellStyle name="Normal 2 2 2 3 2 6 4 2 10" xfId="13382"/>
    <cellStyle name="Normal 2 2 2 3 2 6 4 2 10 2" xfId="13383"/>
    <cellStyle name="Normal 2 2 2 3 2 6 4 2 11" xfId="13384"/>
    <cellStyle name="Normal 2 2 2 3 2 6 4 2 11 2" xfId="13385"/>
    <cellStyle name="Normal 2 2 2 3 2 6 4 2 12" xfId="13386"/>
    <cellStyle name="Normal 2 2 2 3 2 6 4 2 2" xfId="13387"/>
    <cellStyle name="Normal 2 2 2 3 2 6 4 2 2 10" xfId="13388"/>
    <cellStyle name="Normal 2 2 2 3 2 6 4 2 2 10 2" xfId="13389"/>
    <cellStyle name="Normal 2 2 2 3 2 6 4 2 2 11" xfId="13390"/>
    <cellStyle name="Normal 2 2 2 3 2 6 4 2 2 2" xfId="13391"/>
    <cellStyle name="Normal 2 2 2 3 2 6 4 2 2 2 2" xfId="13392"/>
    <cellStyle name="Normal 2 2 2 3 2 6 4 2 2 3" xfId="13393"/>
    <cellStyle name="Normal 2 2 2 3 2 6 4 2 2 3 2" xfId="13394"/>
    <cellStyle name="Normal 2 2 2 3 2 6 4 2 2 4" xfId="13395"/>
    <cellStyle name="Normal 2 2 2 3 2 6 4 2 2 4 2" xfId="13396"/>
    <cellStyle name="Normal 2 2 2 3 2 6 4 2 2 5" xfId="13397"/>
    <cellStyle name="Normal 2 2 2 3 2 6 4 2 2 5 2" xfId="13398"/>
    <cellStyle name="Normal 2 2 2 3 2 6 4 2 2 6" xfId="13399"/>
    <cellStyle name="Normal 2 2 2 3 2 6 4 2 2 6 2" xfId="13400"/>
    <cellStyle name="Normal 2 2 2 3 2 6 4 2 2 7" xfId="13401"/>
    <cellStyle name="Normal 2 2 2 3 2 6 4 2 2 7 2" xfId="13402"/>
    <cellStyle name="Normal 2 2 2 3 2 6 4 2 2 8" xfId="13403"/>
    <cellStyle name="Normal 2 2 2 3 2 6 4 2 2 8 2" xfId="13404"/>
    <cellStyle name="Normal 2 2 2 3 2 6 4 2 2 9" xfId="13405"/>
    <cellStyle name="Normal 2 2 2 3 2 6 4 2 2 9 2" xfId="13406"/>
    <cellStyle name="Normal 2 2 2 3 2 6 4 2 3" xfId="13407"/>
    <cellStyle name="Normal 2 2 2 3 2 6 4 2 3 2" xfId="13408"/>
    <cellStyle name="Normal 2 2 2 3 2 6 4 2 4" xfId="13409"/>
    <cellStyle name="Normal 2 2 2 3 2 6 4 2 4 2" xfId="13410"/>
    <cellStyle name="Normal 2 2 2 3 2 6 4 2 5" xfId="13411"/>
    <cellStyle name="Normal 2 2 2 3 2 6 4 2 5 2" xfId="13412"/>
    <cellStyle name="Normal 2 2 2 3 2 6 4 2 6" xfId="13413"/>
    <cellStyle name="Normal 2 2 2 3 2 6 4 2 6 2" xfId="13414"/>
    <cellStyle name="Normal 2 2 2 3 2 6 4 2 7" xfId="13415"/>
    <cellStyle name="Normal 2 2 2 3 2 6 4 2 7 2" xfId="13416"/>
    <cellStyle name="Normal 2 2 2 3 2 6 4 2 8" xfId="13417"/>
    <cellStyle name="Normal 2 2 2 3 2 6 4 2 8 2" xfId="13418"/>
    <cellStyle name="Normal 2 2 2 3 2 6 4 2 9" xfId="13419"/>
    <cellStyle name="Normal 2 2 2 3 2 6 4 2 9 2" xfId="13420"/>
    <cellStyle name="Normal 2 2 2 3 2 6 4 3" xfId="13421"/>
    <cellStyle name="Normal 2 2 2 3 2 6 4 3 10" xfId="13422"/>
    <cellStyle name="Normal 2 2 2 3 2 6 4 3 10 2" xfId="13423"/>
    <cellStyle name="Normal 2 2 2 3 2 6 4 3 11" xfId="13424"/>
    <cellStyle name="Normal 2 2 2 3 2 6 4 3 2" xfId="13425"/>
    <cellStyle name="Normal 2 2 2 3 2 6 4 3 2 2" xfId="13426"/>
    <cellStyle name="Normal 2 2 2 3 2 6 4 3 3" xfId="13427"/>
    <cellStyle name="Normal 2 2 2 3 2 6 4 3 3 2" xfId="13428"/>
    <cellStyle name="Normal 2 2 2 3 2 6 4 3 4" xfId="13429"/>
    <cellStyle name="Normal 2 2 2 3 2 6 4 3 4 2" xfId="13430"/>
    <cellStyle name="Normal 2 2 2 3 2 6 4 3 5" xfId="13431"/>
    <cellStyle name="Normal 2 2 2 3 2 6 4 3 5 2" xfId="13432"/>
    <cellStyle name="Normal 2 2 2 3 2 6 4 3 6" xfId="13433"/>
    <cellStyle name="Normal 2 2 2 3 2 6 4 3 6 2" xfId="13434"/>
    <cellStyle name="Normal 2 2 2 3 2 6 4 3 7" xfId="13435"/>
    <cellStyle name="Normal 2 2 2 3 2 6 4 3 7 2" xfId="13436"/>
    <cellStyle name="Normal 2 2 2 3 2 6 4 3 8" xfId="13437"/>
    <cellStyle name="Normal 2 2 2 3 2 6 4 3 8 2" xfId="13438"/>
    <cellStyle name="Normal 2 2 2 3 2 6 4 3 9" xfId="13439"/>
    <cellStyle name="Normal 2 2 2 3 2 6 4 3 9 2" xfId="13440"/>
    <cellStyle name="Normal 2 2 2 3 2 6 4 4" xfId="13441"/>
    <cellStyle name="Normal 2 2 2 3 2 6 4 4 2" xfId="13442"/>
    <cellStyle name="Normal 2 2 2 3 2 6 4 5" xfId="13443"/>
    <cellStyle name="Normal 2 2 2 3 2 6 4 5 2" xfId="13444"/>
    <cellStyle name="Normal 2 2 2 3 2 6 4 6" xfId="13445"/>
    <cellStyle name="Normal 2 2 2 3 2 6 4 6 2" xfId="13446"/>
    <cellStyle name="Normal 2 2 2 3 2 6 4 7" xfId="13447"/>
    <cellStyle name="Normal 2 2 2 3 2 6 4 7 2" xfId="13448"/>
    <cellStyle name="Normal 2 2 2 3 2 6 4 8" xfId="13449"/>
    <cellStyle name="Normal 2 2 2 3 2 6 4 8 2" xfId="13450"/>
    <cellStyle name="Normal 2 2 2 3 2 6 4 9" xfId="13451"/>
    <cellStyle name="Normal 2 2 2 3 2 6 4 9 2" xfId="13452"/>
    <cellStyle name="Normal 2 2 2 3 2 6 5" xfId="13453"/>
    <cellStyle name="Normal 2 2 2 3 2 6 5 10" xfId="13454"/>
    <cellStyle name="Normal 2 2 2 3 2 6 5 10 2" xfId="13455"/>
    <cellStyle name="Normal 2 2 2 3 2 6 5 11" xfId="13456"/>
    <cellStyle name="Normal 2 2 2 3 2 6 5 11 2" xfId="13457"/>
    <cellStyle name="Normal 2 2 2 3 2 6 5 12" xfId="13458"/>
    <cellStyle name="Normal 2 2 2 3 2 6 5 12 2" xfId="13459"/>
    <cellStyle name="Normal 2 2 2 3 2 6 5 13" xfId="13460"/>
    <cellStyle name="Normal 2 2 2 3 2 6 5 2" xfId="13461"/>
    <cellStyle name="Normal 2 2 2 3 2 6 5 2 10" xfId="13462"/>
    <cellStyle name="Normal 2 2 2 3 2 6 5 2 10 2" xfId="13463"/>
    <cellStyle name="Normal 2 2 2 3 2 6 5 2 11" xfId="13464"/>
    <cellStyle name="Normal 2 2 2 3 2 6 5 2 11 2" xfId="13465"/>
    <cellStyle name="Normal 2 2 2 3 2 6 5 2 12" xfId="13466"/>
    <cellStyle name="Normal 2 2 2 3 2 6 5 2 2" xfId="13467"/>
    <cellStyle name="Normal 2 2 2 3 2 6 5 2 2 10" xfId="13468"/>
    <cellStyle name="Normal 2 2 2 3 2 6 5 2 2 10 2" xfId="13469"/>
    <cellStyle name="Normal 2 2 2 3 2 6 5 2 2 11" xfId="13470"/>
    <cellStyle name="Normal 2 2 2 3 2 6 5 2 2 2" xfId="13471"/>
    <cellStyle name="Normal 2 2 2 3 2 6 5 2 2 2 2" xfId="13472"/>
    <cellStyle name="Normal 2 2 2 3 2 6 5 2 2 3" xfId="13473"/>
    <cellStyle name="Normal 2 2 2 3 2 6 5 2 2 3 2" xfId="13474"/>
    <cellStyle name="Normal 2 2 2 3 2 6 5 2 2 4" xfId="13475"/>
    <cellStyle name="Normal 2 2 2 3 2 6 5 2 2 4 2" xfId="13476"/>
    <cellStyle name="Normal 2 2 2 3 2 6 5 2 2 5" xfId="13477"/>
    <cellStyle name="Normal 2 2 2 3 2 6 5 2 2 5 2" xfId="13478"/>
    <cellStyle name="Normal 2 2 2 3 2 6 5 2 2 6" xfId="13479"/>
    <cellStyle name="Normal 2 2 2 3 2 6 5 2 2 6 2" xfId="13480"/>
    <cellStyle name="Normal 2 2 2 3 2 6 5 2 2 7" xfId="13481"/>
    <cellStyle name="Normal 2 2 2 3 2 6 5 2 2 7 2" xfId="13482"/>
    <cellStyle name="Normal 2 2 2 3 2 6 5 2 2 8" xfId="13483"/>
    <cellStyle name="Normal 2 2 2 3 2 6 5 2 2 8 2" xfId="13484"/>
    <cellStyle name="Normal 2 2 2 3 2 6 5 2 2 9" xfId="13485"/>
    <cellStyle name="Normal 2 2 2 3 2 6 5 2 2 9 2" xfId="13486"/>
    <cellStyle name="Normal 2 2 2 3 2 6 5 2 3" xfId="13487"/>
    <cellStyle name="Normal 2 2 2 3 2 6 5 2 3 2" xfId="13488"/>
    <cellStyle name="Normal 2 2 2 3 2 6 5 2 4" xfId="13489"/>
    <cellStyle name="Normal 2 2 2 3 2 6 5 2 4 2" xfId="13490"/>
    <cellStyle name="Normal 2 2 2 3 2 6 5 2 5" xfId="13491"/>
    <cellStyle name="Normal 2 2 2 3 2 6 5 2 5 2" xfId="13492"/>
    <cellStyle name="Normal 2 2 2 3 2 6 5 2 6" xfId="13493"/>
    <cellStyle name="Normal 2 2 2 3 2 6 5 2 6 2" xfId="13494"/>
    <cellStyle name="Normal 2 2 2 3 2 6 5 2 7" xfId="13495"/>
    <cellStyle name="Normal 2 2 2 3 2 6 5 2 7 2" xfId="13496"/>
    <cellStyle name="Normal 2 2 2 3 2 6 5 2 8" xfId="13497"/>
    <cellStyle name="Normal 2 2 2 3 2 6 5 2 8 2" xfId="13498"/>
    <cellStyle name="Normal 2 2 2 3 2 6 5 2 9" xfId="13499"/>
    <cellStyle name="Normal 2 2 2 3 2 6 5 2 9 2" xfId="13500"/>
    <cellStyle name="Normal 2 2 2 3 2 6 5 3" xfId="13501"/>
    <cellStyle name="Normal 2 2 2 3 2 6 5 3 10" xfId="13502"/>
    <cellStyle name="Normal 2 2 2 3 2 6 5 3 10 2" xfId="13503"/>
    <cellStyle name="Normal 2 2 2 3 2 6 5 3 11" xfId="13504"/>
    <cellStyle name="Normal 2 2 2 3 2 6 5 3 2" xfId="13505"/>
    <cellStyle name="Normal 2 2 2 3 2 6 5 3 2 2" xfId="13506"/>
    <cellStyle name="Normal 2 2 2 3 2 6 5 3 3" xfId="13507"/>
    <cellStyle name="Normal 2 2 2 3 2 6 5 3 3 2" xfId="13508"/>
    <cellStyle name="Normal 2 2 2 3 2 6 5 3 4" xfId="13509"/>
    <cellStyle name="Normal 2 2 2 3 2 6 5 3 4 2" xfId="13510"/>
    <cellStyle name="Normal 2 2 2 3 2 6 5 3 5" xfId="13511"/>
    <cellStyle name="Normal 2 2 2 3 2 6 5 3 5 2" xfId="13512"/>
    <cellStyle name="Normal 2 2 2 3 2 6 5 3 6" xfId="13513"/>
    <cellStyle name="Normal 2 2 2 3 2 6 5 3 6 2" xfId="13514"/>
    <cellStyle name="Normal 2 2 2 3 2 6 5 3 7" xfId="13515"/>
    <cellStyle name="Normal 2 2 2 3 2 6 5 3 7 2" xfId="13516"/>
    <cellStyle name="Normal 2 2 2 3 2 6 5 3 8" xfId="13517"/>
    <cellStyle name="Normal 2 2 2 3 2 6 5 3 8 2" xfId="13518"/>
    <cellStyle name="Normal 2 2 2 3 2 6 5 3 9" xfId="13519"/>
    <cellStyle name="Normal 2 2 2 3 2 6 5 3 9 2" xfId="13520"/>
    <cellStyle name="Normal 2 2 2 3 2 6 5 4" xfId="13521"/>
    <cellStyle name="Normal 2 2 2 3 2 6 5 4 2" xfId="13522"/>
    <cellStyle name="Normal 2 2 2 3 2 6 5 5" xfId="13523"/>
    <cellStyle name="Normal 2 2 2 3 2 6 5 5 2" xfId="13524"/>
    <cellStyle name="Normal 2 2 2 3 2 6 5 6" xfId="13525"/>
    <cellStyle name="Normal 2 2 2 3 2 6 5 6 2" xfId="13526"/>
    <cellStyle name="Normal 2 2 2 3 2 6 5 7" xfId="13527"/>
    <cellStyle name="Normal 2 2 2 3 2 6 5 7 2" xfId="13528"/>
    <cellStyle name="Normal 2 2 2 3 2 6 5 8" xfId="13529"/>
    <cellStyle name="Normal 2 2 2 3 2 6 5 8 2" xfId="13530"/>
    <cellStyle name="Normal 2 2 2 3 2 6 5 9" xfId="13531"/>
    <cellStyle name="Normal 2 2 2 3 2 6 5 9 2" xfId="13532"/>
    <cellStyle name="Normal 2 2 2 3 2 6 6" xfId="13533"/>
    <cellStyle name="Normal 2 2 2 3 2 7" xfId="13534"/>
    <cellStyle name="Normal 2 2 2 3 2 7 2" xfId="13535"/>
    <cellStyle name="Normal 2 2 2 3 2 8" xfId="13536"/>
    <cellStyle name="Normal 2 2 2 3 2 8 2" xfId="13537"/>
    <cellStyle name="Normal 2 2 2 3 2 9" xfId="13538"/>
    <cellStyle name="Normal 2 2 2 3 2 9 2" xfId="13539"/>
    <cellStyle name="Normal 2 2 2 3 3" xfId="13540"/>
    <cellStyle name="Normal 2 2 2 3 3 10" xfId="13541"/>
    <cellStyle name="Normal 2 2 2 3 3 10 2" xfId="13542"/>
    <cellStyle name="Normal 2 2 2 3 3 11" xfId="13543"/>
    <cellStyle name="Normal 2 2 2 3 3 11 2" xfId="13544"/>
    <cellStyle name="Normal 2 2 2 3 3 12" xfId="13545"/>
    <cellStyle name="Normal 2 2 2 3 3 12 2" xfId="13546"/>
    <cellStyle name="Normal 2 2 2 3 3 13" xfId="13547"/>
    <cellStyle name="Normal 2 2 2 3 3 13 2" xfId="13548"/>
    <cellStyle name="Normal 2 2 2 3 3 14" xfId="13549"/>
    <cellStyle name="Normal 2 2 2 3 3 14 2" xfId="13550"/>
    <cellStyle name="Normal 2 2 2 3 3 15" xfId="13551"/>
    <cellStyle name="Normal 2 2 2 3 3 15 2" xfId="13552"/>
    <cellStyle name="Normal 2 2 2 3 3 16" xfId="13553"/>
    <cellStyle name="Normal 2 2 2 3 3 16 2" xfId="13554"/>
    <cellStyle name="Normal 2 2 2 3 3 17" xfId="13555"/>
    <cellStyle name="Normal 2 2 2 3 3 17 2" xfId="13556"/>
    <cellStyle name="Normal 2 2 2 3 3 18" xfId="13557"/>
    <cellStyle name="Normal 2 2 2 3 3 2" xfId="13558"/>
    <cellStyle name="Normal 2 2 2 3 3 2 2" xfId="13559"/>
    <cellStyle name="Normal 2 2 2 3 3 2 2 10" xfId="13560"/>
    <cellStyle name="Normal 2 2 2 3 3 2 2 10 2" xfId="13561"/>
    <cellStyle name="Normal 2 2 2 3 3 2 2 11" xfId="13562"/>
    <cellStyle name="Normal 2 2 2 3 3 2 2 11 2" xfId="13563"/>
    <cellStyle name="Normal 2 2 2 3 3 2 2 12" xfId="13564"/>
    <cellStyle name="Normal 2 2 2 3 3 2 2 12 2" xfId="13565"/>
    <cellStyle name="Normal 2 2 2 3 3 2 2 13" xfId="13566"/>
    <cellStyle name="Normal 2 2 2 3 3 2 2 13 2" xfId="13567"/>
    <cellStyle name="Normal 2 2 2 3 3 2 2 14" xfId="13568"/>
    <cellStyle name="Normal 2 2 2 3 3 2 2 14 2" xfId="13569"/>
    <cellStyle name="Normal 2 2 2 3 3 2 2 15" xfId="13570"/>
    <cellStyle name="Normal 2 2 2 3 3 2 2 15 2" xfId="13571"/>
    <cellStyle name="Normal 2 2 2 3 3 2 2 16" xfId="13572"/>
    <cellStyle name="Normal 2 2 2 3 3 2 2 16 2" xfId="13573"/>
    <cellStyle name="Normal 2 2 2 3 3 2 2 17" xfId="13574"/>
    <cellStyle name="Normal 2 2 2 3 3 2 2 2" xfId="13575"/>
    <cellStyle name="Normal 2 2 2 3 3 2 2 2 2" xfId="13576"/>
    <cellStyle name="Normal 2 2 2 3 3 2 2 3" xfId="13577"/>
    <cellStyle name="Normal 2 2 2 3 3 2 2 3 2" xfId="13578"/>
    <cellStyle name="Normal 2 2 2 3 3 2 2 4" xfId="13579"/>
    <cellStyle name="Normal 2 2 2 3 3 2 2 4 2" xfId="13580"/>
    <cellStyle name="Normal 2 2 2 3 3 2 2 5" xfId="13581"/>
    <cellStyle name="Normal 2 2 2 3 3 2 2 5 2" xfId="13582"/>
    <cellStyle name="Normal 2 2 2 3 3 2 2 6" xfId="13583"/>
    <cellStyle name="Normal 2 2 2 3 3 2 2 6 10" xfId="13584"/>
    <cellStyle name="Normal 2 2 2 3 3 2 2 6 10 2" xfId="13585"/>
    <cellStyle name="Normal 2 2 2 3 3 2 2 6 11" xfId="13586"/>
    <cellStyle name="Normal 2 2 2 3 3 2 2 6 11 2" xfId="13587"/>
    <cellStyle name="Normal 2 2 2 3 3 2 2 6 12" xfId="13588"/>
    <cellStyle name="Normal 2 2 2 3 3 2 2 6 2" xfId="13589"/>
    <cellStyle name="Normal 2 2 2 3 3 2 2 6 2 10" xfId="13590"/>
    <cellStyle name="Normal 2 2 2 3 3 2 2 6 2 10 2" xfId="13591"/>
    <cellStyle name="Normal 2 2 2 3 3 2 2 6 2 11" xfId="13592"/>
    <cellStyle name="Normal 2 2 2 3 3 2 2 6 2 2" xfId="13593"/>
    <cellStyle name="Normal 2 2 2 3 3 2 2 6 2 2 2" xfId="13594"/>
    <cellStyle name="Normal 2 2 2 3 3 2 2 6 2 3" xfId="13595"/>
    <cellStyle name="Normal 2 2 2 3 3 2 2 6 2 3 2" xfId="13596"/>
    <cellStyle name="Normal 2 2 2 3 3 2 2 6 2 4" xfId="13597"/>
    <cellStyle name="Normal 2 2 2 3 3 2 2 6 2 4 2" xfId="13598"/>
    <cellStyle name="Normal 2 2 2 3 3 2 2 6 2 5" xfId="13599"/>
    <cellStyle name="Normal 2 2 2 3 3 2 2 6 2 5 2" xfId="13600"/>
    <cellStyle name="Normal 2 2 2 3 3 2 2 6 2 6" xfId="13601"/>
    <cellStyle name="Normal 2 2 2 3 3 2 2 6 2 6 2" xfId="13602"/>
    <cellStyle name="Normal 2 2 2 3 3 2 2 6 2 7" xfId="13603"/>
    <cellStyle name="Normal 2 2 2 3 3 2 2 6 2 7 2" xfId="13604"/>
    <cellStyle name="Normal 2 2 2 3 3 2 2 6 2 8" xfId="13605"/>
    <cellStyle name="Normal 2 2 2 3 3 2 2 6 2 8 2" xfId="13606"/>
    <cellStyle name="Normal 2 2 2 3 3 2 2 6 2 9" xfId="13607"/>
    <cellStyle name="Normal 2 2 2 3 3 2 2 6 2 9 2" xfId="13608"/>
    <cellStyle name="Normal 2 2 2 3 3 2 2 6 3" xfId="13609"/>
    <cellStyle name="Normal 2 2 2 3 3 2 2 6 3 2" xfId="13610"/>
    <cellStyle name="Normal 2 2 2 3 3 2 2 6 4" xfId="13611"/>
    <cellStyle name="Normal 2 2 2 3 3 2 2 6 4 2" xfId="13612"/>
    <cellStyle name="Normal 2 2 2 3 3 2 2 6 5" xfId="13613"/>
    <cellStyle name="Normal 2 2 2 3 3 2 2 6 5 2" xfId="13614"/>
    <cellStyle name="Normal 2 2 2 3 3 2 2 6 6" xfId="13615"/>
    <cellStyle name="Normal 2 2 2 3 3 2 2 6 6 2" xfId="13616"/>
    <cellStyle name="Normal 2 2 2 3 3 2 2 6 7" xfId="13617"/>
    <cellStyle name="Normal 2 2 2 3 3 2 2 6 7 2" xfId="13618"/>
    <cellStyle name="Normal 2 2 2 3 3 2 2 6 8" xfId="13619"/>
    <cellStyle name="Normal 2 2 2 3 3 2 2 6 8 2" xfId="13620"/>
    <cellStyle name="Normal 2 2 2 3 3 2 2 6 9" xfId="13621"/>
    <cellStyle name="Normal 2 2 2 3 3 2 2 6 9 2" xfId="13622"/>
    <cellStyle name="Normal 2 2 2 3 3 2 2 7" xfId="13623"/>
    <cellStyle name="Normal 2 2 2 3 3 2 2 7 10" xfId="13624"/>
    <cellStyle name="Normal 2 2 2 3 3 2 2 7 10 2" xfId="13625"/>
    <cellStyle name="Normal 2 2 2 3 3 2 2 7 11" xfId="13626"/>
    <cellStyle name="Normal 2 2 2 3 3 2 2 7 2" xfId="13627"/>
    <cellStyle name="Normal 2 2 2 3 3 2 2 7 2 2" xfId="13628"/>
    <cellStyle name="Normal 2 2 2 3 3 2 2 7 3" xfId="13629"/>
    <cellStyle name="Normal 2 2 2 3 3 2 2 7 3 2" xfId="13630"/>
    <cellStyle name="Normal 2 2 2 3 3 2 2 7 4" xfId="13631"/>
    <cellStyle name="Normal 2 2 2 3 3 2 2 7 4 2" xfId="13632"/>
    <cellStyle name="Normal 2 2 2 3 3 2 2 7 5" xfId="13633"/>
    <cellStyle name="Normal 2 2 2 3 3 2 2 7 5 2" xfId="13634"/>
    <cellStyle name="Normal 2 2 2 3 3 2 2 7 6" xfId="13635"/>
    <cellStyle name="Normal 2 2 2 3 3 2 2 7 6 2" xfId="13636"/>
    <cellStyle name="Normal 2 2 2 3 3 2 2 7 7" xfId="13637"/>
    <cellStyle name="Normal 2 2 2 3 3 2 2 7 7 2" xfId="13638"/>
    <cellStyle name="Normal 2 2 2 3 3 2 2 7 8" xfId="13639"/>
    <cellStyle name="Normal 2 2 2 3 3 2 2 7 8 2" xfId="13640"/>
    <cellStyle name="Normal 2 2 2 3 3 2 2 7 9" xfId="13641"/>
    <cellStyle name="Normal 2 2 2 3 3 2 2 7 9 2" xfId="13642"/>
    <cellStyle name="Normal 2 2 2 3 3 2 2 8" xfId="13643"/>
    <cellStyle name="Normal 2 2 2 3 3 2 2 8 2" xfId="13644"/>
    <cellStyle name="Normal 2 2 2 3 3 2 2 9" xfId="13645"/>
    <cellStyle name="Normal 2 2 2 3 3 2 2 9 2" xfId="13646"/>
    <cellStyle name="Normal 2 2 2 3 3 2 3" xfId="13647"/>
    <cellStyle name="Normal 2 2 2 3 3 2 3 10" xfId="13648"/>
    <cellStyle name="Normal 2 2 2 3 3 2 3 10 2" xfId="13649"/>
    <cellStyle name="Normal 2 2 2 3 3 2 3 11" xfId="13650"/>
    <cellStyle name="Normal 2 2 2 3 3 2 3 11 2" xfId="13651"/>
    <cellStyle name="Normal 2 2 2 3 3 2 3 12" xfId="13652"/>
    <cellStyle name="Normal 2 2 2 3 3 2 3 12 2" xfId="13653"/>
    <cellStyle name="Normal 2 2 2 3 3 2 3 13" xfId="13654"/>
    <cellStyle name="Normal 2 2 2 3 3 2 3 2" xfId="13655"/>
    <cellStyle name="Normal 2 2 2 3 3 2 3 2 10" xfId="13656"/>
    <cellStyle name="Normal 2 2 2 3 3 2 3 2 10 2" xfId="13657"/>
    <cellStyle name="Normal 2 2 2 3 3 2 3 2 11" xfId="13658"/>
    <cellStyle name="Normal 2 2 2 3 3 2 3 2 11 2" xfId="13659"/>
    <cellStyle name="Normal 2 2 2 3 3 2 3 2 12" xfId="13660"/>
    <cellStyle name="Normal 2 2 2 3 3 2 3 2 2" xfId="13661"/>
    <cellStyle name="Normal 2 2 2 3 3 2 3 2 2 10" xfId="13662"/>
    <cellStyle name="Normal 2 2 2 3 3 2 3 2 2 10 2" xfId="13663"/>
    <cellStyle name="Normal 2 2 2 3 3 2 3 2 2 11" xfId="13664"/>
    <cellStyle name="Normal 2 2 2 3 3 2 3 2 2 2" xfId="13665"/>
    <cellStyle name="Normal 2 2 2 3 3 2 3 2 2 2 2" xfId="13666"/>
    <cellStyle name="Normal 2 2 2 3 3 2 3 2 2 3" xfId="13667"/>
    <cellStyle name="Normal 2 2 2 3 3 2 3 2 2 3 2" xfId="13668"/>
    <cellStyle name="Normal 2 2 2 3 3 2 3 2 2 4" xfId="13669"/>
    <cellStyle name="Normal 2 2 2 3 3 2 3 2 2 4 2" xfId="13670"/>
    <cellStyle name="Normal 2 2 2 3 3 2 3 2 2 5" xfId="13671"/>
    <cellStyle name="Normal 2 2 2 3 3 2 3 2 2 5 2" xfId="13672"/>
    <cellStyle name="Normal 2 2 2 3 3 2 3 2 2 6" xfId="13673"/>
    <cellStyle name="Normal 2 2 2 3 3 2 3 2 2 6 2" xfId="13674"/>
    <cellStyle name="Normal 2 2 2 3 3 2 3 2 2 7" xfId="13675"/>
    <cellStyle name="Normal 2 2 2 3 3 2 3 2 2 7 2" xfId="13676"/>
    <cellStyle name="Normal 2 2 2 3 3 2 3 2 2 8" xfId="13677"/>
    <cellStyle name="Normal 2 2 2 3 3 2 3 2 2 8 2" xfId="13678"/>
    <cellStyle name="Normal 2 2 2 3 3 2 3 2 2 9" xfId="13679"/>
    <cellStyle name="Normal 2 2 2 3 3 2 3 2 2 9 2" xfId="13680"/>
    <cellStyle name="Normal 2 2 2 3 3 2 3 2 3" xfId="13681"/>
    <cellStyle name="Normal 2 2 2 3 3 2 3 2 3 2" xfId="13682"/>
    <cellStyle name="Normal 2 2 2 3 3 2 3 2 4" xfId="13683"/>
    <cellStyle name="Normal 2 2 2 3 3 2 3 2 4 2" xfId="13684"/>
    <cellStyle name="Normal 2 2 2 3 3 2 3 2 5" xfId="13685"/>
    <cellStyle name="Normal 2 2 2 3 3 2 3 2 5 2" xfId="13686"/>
    <cellStyle name="Normal 2 2 2 3 3 2 3 2 6" xfId="13687"/>
    <cellStyle name="Normal 2 2 2 3 3 2 3 2 6 2" xfId="13688"/>
    <cellStyle name="Normal 2 2 2 3 3 2 3 2 7" xfId="13689"/>
    <cellStyle name="Normal 2 2 2 3 3 2 3 2 7 2" xfId="13690"/>
    <cellStyle name="Normal 2 2 2 3 3 2 3 2 8" xfId="13691"/>
    <cellStyle name="Normal 2 2 2 3 3 2 3 2 8 2" xfId="13692"/>
    <cellStyle name="Normal 2 2 2 3 3 2 3 2 9" xfId="13693"/>
    <cellStyle name="Normal 2 2 2 3 3 2 3 2 9 2" xfId="13694"/>
    <cellStyle name="Normal 2 2 2 3 3 2 3 3" xfId="13695"/>
    <cellStyle name="Normal 2 2 2 3 3 2 3 3 10" xfId="13696"/>
    <cellStyle name="Normal 2 2 2 3 3 2 3 3 10 2" xfId="13697"/>
    <cellStyle name="Normal 2 2 2 3 3 2 3 3 11" xfId="13698"/>
    <cellStyle name="Normal 2 2 2 3 3 2 3 3 2" xfId="13699"/>
    <cellStyle name="Normal 2 2 2 3 3 2 3 3 2 2" xfId="13700"/>
    <cellStyle name="Normal 2 2 2 3 3 2 3 3 3" xfId="13701"/>
    <cellStyle name="Normal 2 2 2 3 3 2 3 3 3 2" xfId="13702"/>
    <cellStyle name="Normal 2 2 2 3 3 2 3 3 4" xfId="13703"/>
    <cellStyle name="Normal 2 2 2 3 3 2 3 3 4 2" xfId="13704"/>
    <cellStyle name="Normal 2 2 2 3 3 2 3 3 5" xfId="13705"/>
    <cellStyle name="Normal 2 2 2 3 3 2 3 3 5 2" xfId="13706"/>
    <cellStyle name="Normal 2 2 2 3 3 2 3 3 6" xfId="13707"/>
    <cellStyle name="Normal 2 2 2 3 3 2 3 3 6 2" xfId="13708"/>
    <cellStyle name="Normal 2 2 2 3 3 2 3 3 7" xfId="13709"/>
    <cellStyle name="Normal 2 2 2 3 3 2 3 3 7 2" xfId="13710"/>
    <cellStyle name="Normal 2 2 2 3 3 2 3 3 8" xfId="13711"/>
    <cellStyle name="Normal 2 2 2 3 3 2 3 3 8 2" xfId="13712"/>
    <cellStyle name="Normal 2 2 2 3 3 2 3 3 9" xfId="13713"/>
    <cellStyle name="Normal 2 2 2 3 3 2 3 3 9 2" xfId="13714"/>
    <cellStyle name="Normal 2 2 2 3 3 2 3 4" xfId="13715"/>
    <cellStyle name="Normal 2 2 2 3 3 2 3 4 2" xfId="13716"/>
    <cellStyle name="Normal 2 2 2 3 3 2 3 5" xfId="13717"/>
    <cellStyle name="Normal 2 2 2 3 3 2 3 5 2" xfId="13718"/>
    <cellStyle name="Normal 2 2 2 3 3 2 3 6" xfId="13719"/>
    <cellStyle name="Normal 2 2 2 3 3 2 3 6 2" xfId="13720"/>
    <cellStyle name="Normal 2 2 2 3 3 2 3 7" xfId="13721"/>
    <cellStyle name="Normal 2 2 2 3 3 2 3 7 2" xfId="13722"/>
    <cellStyle name="Normal 2 2 2 3 3 2 3 8" xfId="13723"/>
    <cellStyle name="Normal 2 2 2 3 3 2 3 8 2" xfId="13724"/>
    <cellStyle name="Normal 2 2 2 3 3 2 3 9" xfId="13725"/>
    <cellStyle name="Normal 2 2 2 3 3 2 3 9 2" xfId="13726"/>
    <cellStyle name="Normal 2 2 2 3 3 2 4" xfId="13727"/>
    <cellStyle name="Normal 2 2 2 3 3 2 4 10" xfId="13728"/>
    <cellStyle name="Normal 2 2 2 3 3 2 4 10 2" xfId="13729"/>
    <cellStyle name="Normal 2 2 2 3 3 2 4 11" xfId="13730"/>
    <cellStyle name="Normal 2 2 2 3 3 2 4 11 2" xfId="13731"/>
    <cellStyle name="Normal 2 2 2 3 3 2 4 12" xfId="13732"/>
    <cellStyle name="Normal 2 2 2 3 3 2 4 12 2" xfId="13733"/>
    <cellStyle name="Normal 2 2 2 3 3 2 4 13" xfId="13734"/>
    <cellStyle name="Normal 2 2 2 3 3 2 4 2" xfId="13735"/>
    <cellStyle name="Normal 2 2 2 3 3 2 4 2 10" xfId="13736"/>
    <cellStyle name="Normal 2 2 2 3 3 2 4 2 10 2" xfId="13737"/>
    <cellStyle name="Normal 2 2 2 3 3 2 4 2 11" xfId="13738"/>
    <cellStyle name="Normal 2 2 2 3 3 2 4 2 11 2" xfId="13739"/>
    <cellStyle name="Normal 2 2 2 3 3 2 4 2 12" xfId="13740"/>
    <cellStyle name="Normal 2 2 2 3 3 2 4 2 2" xfId="13741"/>
    <cellStyle name="Normal 2 2 2 3 3 2 4 2 2 10" xfId="13742"/>
    <cellStyle name="Normal 2 2 2 3 3 2 4 2 2 10 2" xfId="13743"/>
    <cellStyle name="Normal 2 2 2 3 3 2 4 2 2 11" xfId="13744"/>
    <cellStyle name="Normal 2 2 2 3 3 2 4 2 2 2" xfId="13745"/>
    <cellStyle name="Normal 2 2 2 3 3 2 4 2 2 2 2" xfId="13746"/>
    <cellStyle name="Normal 2 2 2 3 3 2 4 2 2 3" xfId="13747"/>
    <cellStyle name="Normal 2 2 2 3 3 2 4 2 2 3 2" xfId="13748"/>
    <cellStyle name="Normal 2 2 2 3 3 2 4 2 2 4" xfId="13749"/>
    <cellStyle name="Normal 2 2 2 3 3 2 4 2 2 4 2" xfId="13750"/>
    <cellStyle name="Normal 2 2 2 3 3 2 4 2 2 5" xfId="13751"/>
    <cellStyle name="Normal 2 2 2 3 3 2 4 2 2 5 2" xfId="13752"/>
    <cellStyle name="Normal 2 2 2 3 3 2 4 2 2 6" xfId="13753"/>
    <cellStyle name="Normal 2 2 2 3 3 2 4 2 2 6 2" xfId="13754"/>
    <cellStyle name="Normal 2 2 2 3 3 2 4 2 2 7" xfId="13755"/>
    <cellStyle name="Normal 2 2 2 3 3 2 4 2 2 7 2" xfId="13756"/>
    <cellStyle name="Normal 2 2 2 3 3 2 4 2 2 8" xfId="13757"/>
    <cellStyle name="Normal 2 2 2 3 3 2 4 2 2 8 2" xfId="13758"/>
    <cellStyle name="Normal 2 2 2 3 3 2 4 2 2 9" xfId="13759"/>
    <cellStyle name="Normal 2 2 2 3 3 2 4 2 2 9 2" xfId="13760"/>
    <cellStyle name="Normal 2 2 2 3 3 2 4 2 3" xfId="13761"/>
    <cellStyle name="Normal 2 2 2 3 3 2 4 2 3 2" xfId="13762"/>
    <cellStyle name="Normal 2 2 2 3 3 2 4 2 4" xfId="13763"/>
    <cellStyle name="Normal 2 2 2 3 3 2 4 2 4 2" xfId="13764"/>
    <cellStyle name="Normal 2 2 2 3 3 2 4 2 5" xfId="13765"/>
    <cellStyle name="Normal 2 2 2 3 3 2 4 2 5 2" xfId="13766"/>
    <cellStyle name="Normal 2 2 2 3 3 2 4 2 6" xfId="13767"/>
    <cellStyle name="Normal 2 2 2 3 3 2 4 2 6 2" xfId="13768"/>
    <cellStyle name="Normal 2 2 2 3 3 2 4 2 7" xfId="13769"/>
    <cellStyle name="Normal 2 2 2 3 3 2 4 2 7 2" xfId="13770"/>
    <cellStyle name="Normal 2 2 2 3 3 2 4 2 8" xfId="13771"/>
    <cellStyle name="Normal 2 2 2 3 3 2 4 2 8 2" xfId="13772"/>
    <cellStyle name="Normal 2 2 2 3 3 2 4 2 9" xfId="13773"/>
    <cellStyle name="Normal 2 2 2 3 3 2 4 2 9 2" xfId="13774"/>
    <cellStyle name="Normal 2 2 2 3 3 2 4 3" xfId="13775"/>
    <cellStyle name="Normal 2 2 2 3 3 2 4 3 10" xfId="13776"/>
    <cellStyle name="Normal 2 2 2 3 3 2 4 3 10 2" xfId="13777"/>
    <cellStyle name="Normal 2 2 2 3 3 2 4 3 11" xfId="13778"/>
    <cellStyle name="Normal 2 2 2 3 3 2 4 3 2" xfId="13779"/>
    <cellStyle name="Normal 2 2 2 3 3 2 4 3 2 2" xfId="13780"/>
    <cellStyle name="Normal 2 2 2 3 3 2 4 3 3" xfId="13781"/>
    <cellStyle name="Normal 2 2 2 3 3 2 4 3 3 2" xfId="13782"/>
    <cellStyle name="Normal 2 2 2 3 3 2 4 3 4" xfId="13783"/>
    <cellStyle name="Normal 2 2 2 3 3 2 4 3 4 2" xfId="13784"/>
    <cellStyle name="Normal 2 2 2 3 3 2 4 3 5" xfId="13785"/>
    <cellStyle name="Normal 2 2 2 3 3 2 4 3 5 2" xfId="13786"/>
    <cellStyle name="Normal 2 2 2 3 3 2 4 3 6" xfId="13787"/>
    <cellStyle name="Normal 2 2 2 3 3 2 4 3 6 2" xfId="13788"/>
    <cellStyle name="Normal 2 2 2 3 3 2 4 3 7" xfId="13789"/>
    <cellStyle name="Normal 2 2 2 3 3 2 4 3 7 2" xfId="13790"/>
    <cellStyle name="Normal 2 2 2 3 3 2 4 3 8" xfId="13791"/>
    <cellStyle name="Normal 2 2 2 3 3 2 4 3 8 2" xfId="13792"/>
    <cellStyle name="Normal 2 2 2 3 3 2 4 3 9" xfId="13793"/>
    <cellStyle name="Normal 2 2 2 3 3 2 4 3 9 2" xfId="13794"/>
    <cellStyle name="Normal 2 2 2 3 3 2 4 4" xfId="13795"/>
    <cellStyle name="Normal 2 2 2 3 3 2 4 4 2" xfId="13796"/>
    <cellStyle name="Normal 2 2 2 3 3 2 4 5" xfId="13797"/>
    <cellStyle name="Normal 2 2 2 3 3 2 4 5 2" xfId="13798"/>
    <cellStyle name="Normal 2 2 2 3 3 2 4 6" xfId="13799"/>
    <cellStyle name="Normal 2 2 2 3 3 2 4 6 2" xfId="13800"/>
    <cellStyle name="Normal 2 2 2 3 3 2 4 7" xfId="13801"/>
    <cellStyle name="Normal 2 2 2 3 3 2 4 7 2" xfId="13802"/>
    <cellStyle name="Normal 2 2 2 3 3 2 4 8" xfId="13803"/>
    <cellStyle name="Normal 2 2 2 3 3 2 4 8 2" xfId="13804"/>
    <cellStyle name="Normal 2 2 2 3 3 2 4 9" xfId="13805"/>
    <cellStyle name="Normal 2 2 2 3 3 2 4 9 2" xfId="13806"/>
    <cellStyle name="Normal 2 2 2 3 3 2 5" xfId="13807"/>
    <cellStyle name="Normal 2 2 2 3 3 2 5 10" xfId="13808"/>
    <cellStyle name="Normal 2 2 2 3 3 2 5 10 2" xfId="13809"/>
    <cellStyle name="Normal 2 2 2 3 3 2 5 11" xfId="13810"/>
    <cellStyle name="Normal 2 2 2 3 3 2 5 11 2" xfId="13811"/>
    <cellStyle name="Normal 2 2 2 3 3 2 5 12" xfId="13812"/>
    <cellStyle name="Normal 2 2 2 3 3 2 5 12 2" xfId="13813"/>
    <cellStyle name="Normal 2 2 2 3 3 2 5 13" xfId="13814"/>
    <cellStyle name="Normal 2 2 2 3 3 2 5 2" xfId="13815"/>
    <cellStyle name="Normal 2 2 2 3 3 2 5 2 10" xfId="13816"/>
    <cellStyle name="Normal 2 2 2 3 3 2 5 2 10 2" xfId="13817"/>
    <cellStyle name="Normal 2 2 2 3 3 2 5 2 11" xfId="13818"/>
    <cellStyle name="Normal 2 2 2 3 3 2 5 2 11 2" xfId="13819"/>
    <cellStyle name="Normal 2 2 2 3 3 2 5 2 12" xfId="13820"/>
    <cellStyle name="Normal 2 2 2 3 3 2 5 2 2" xfId="13821"/>
    <cellStyle name="Normal 2 2 2 3 3 2 5 2 2 10" xfId="13822"/>
    <cellStyle name="Normal 2 2 2 3 3 2 5 2 2 10 2" xfId="13823"/>
    <cellStyle name="Normal 2 2 2 3 3 2 5 2 2 11" xfId="13824"/>
    <cellStyle name="Normal 2 2 2 3 3 2 5 2 2 2" xfId="13825"/>
    <cellStyle name="Normal 2 2 2 3 3 2 5 2 2 2 2" xfId="13826"/>
    <cellStyle name="Normal 2 2 2 3 3 2 5 2 2 3" xfId="13827"/>
    <cellStyle name="Normal 2 2 2 3 3 2 5 2 2 3 2" xfId="13828"/>
    <cellStyle name="Normal 2 2 2 3 3 2 5 2 2 4" xfId="13829"/>
    <cellStyle name="Normal 2 2 2 3 3 2 5 2 2 4 2" xfId="13830"/>
    <cellStyle name="Normal 2 2 2 3 3 2 5 2 2 5" xfId="13831"/>
    <cellStyle name="Normal 2 2 2 3 3 2 5 2 2 5 2" xfId="13832"/>
    <cellStyle name="Normal 2 2 2 3 3 2 5 2 2 6" xfId="13833"/>
    <cellStyle name="Normal 2 2 2 3 3 2 5 2 2 6 2" xfId="13834"/>
    <cellStyle name="Normal 2 2 2 3 3 2 5 2 2 7" xfId="13835"/>
    <cellStyle name="Normal 2 2 2 3 3 2 5 2 2 7 2" xfId="13836"/>
    <cellStyle name="Normal 2 2 2 3 3 2 5 2 2 8" xfId="13837"/>
    <cellStyle name="Normal 2 2 2 3 3 2 5 2 2 8 2" xfId="13838"/>
    <cellStyle name="Normal 2 2 2 3 3 2 5 2 2 9" xfId="13839"/>
    <cellStyle name="Normal 2 2 2 3 3 2 5 2 2 9 2" xfId="13840"/>
    <cellStyle name="Normal 2 2 2 3 3 2 5 2 3" xfId="13841"/>
    <cellStyle name="Normal 2 2 2 3 3 2 5 2 3 2" xfId="13842"/>
    <cellStyle name="Normal 2 2 2 3 3 2 5 2 4" xfId="13843"/>
    <cellStyle name="Normal 2 2 2 3 3 2 5 2 4 2" xfId="13844"/>
    <cellStyle name="Normal 2 2 2 3 3 2 5 2 5" xfId="13845"/>
    <cellStyle name="Normal 2 2 2 3 3 2 5 2 5 2" xfId="13846"/>
    <cellStyle name="Normal 2 2 2 3 3 2 5 2 6" xfId="13847"/>
    <cellStyle name="Normal 2 2 2 3 3 2 5 2 6 2" xfId="13848"/>
    <cellStyle name="Normal 2 2 2 3 3 2 5 2 7" xfId="13849"/>
    <cellStyle name="Normal 2 2 2 3 3 2 5 2 7 2" xfId="13850"/>
    <cellStyle name="Normal 2 2 2 3 3 2 5 2 8" xfId="13851"/>
    <cellStyle name="Normal 2 2 2 3 3 2 5 2 8 2" xfId="13852"/>
    <cellStyle name="Normal 2 2 2 3 3 2 5 2 9" xfId="13853"/>
    <cellStyle name="Normal 2 2 2 3 3 2 5 2 9 2" xfId="13854"/>
    <cellStyle name="Normal 2 2 2 3 3 2 5 3" xfId="13855"/>
    <cellStyle name="Normal 2 2 2 3 3 2 5 3 10" xfId="13856"/>
    <cellStyle name="Normal 2 2 2 3 3 2 5 3 10 2" xfId="13857"/>
    <cellStyle name="Normal 2 2 2 3 3 2 5 3 11" xfId="13858"/>
    <cellStyle name="Normal 2 2 2 3 3 2 5 3 2" xfId="13859"/>
    <cellStyle name="Normal 2 2 2 3 3 2 5 3 2 2" xfId="13860"/>
    <cellStyle name="Normal 2 2 2 3 3 2 5 3 3" xfId="13861"/>
    <cellStyle name="Normal 2 2 2 3 3 2 5 3 3 2" xfId="13862"/>
    <cellStyle name="Normal 2 2 2 3 3 2 5 3 4" xfId="13863"/>
    <cellStyle name="Normal 2 2 2 3 3 2 5 3 4 2" xfId="13864"/>
    <cellStyle name="Normal 2 2 2 3 3 2 5 3 5" xfId="13865"/>
    <cellStyle name="Normal 2 2 2 3 3 2 5 3 5 2" xfId="13866"/>
    <cellStyle name="Normal 2 2 2 3 3 2 5 3 6" xfId="13867"/>
    <cellStyle name="Normal 2 2 2 3 3 2 5 3 6 2" xfId="13868"/>
    <cellStyle name="Normal 2 2 2 3 3 2 5 3 7" xfId="13869"/>
    <cellStyle name="Normal 2 2 2 3 3 2 5 3 7 2" xfId="13870"/>
    <cellStyle name="Normal 2 2 2 3 3 2 5 3 8" xfId="13871"/>
    <cellStyle name="Normal 2 2 2 3 3 2 5 3 8 2" xfId="13872"/>
    <cellStyle name="Normal 2 2 2 3 3 2 5 3 9" xfId="13873"/>
    <cellStyle name="Normal 2 2 2 3 3 2 5 3 9 2" xfId="13874"/>
    <cellStyle name="Normal 2 2 2 3 3 2 5 4" xfId="13875"/>
    <cellStyle name="Normal 2 2 2 3 3 2 5 4 2" xfId="13876"/>
    <cellStyle name="Normal 2 2 2 3 3 2 5 5" xfId="13877"/>
    <cellStyle name="Normal 2 2 2 3 3 2 5 5 2" xfId="13878"/>
    <cellStyle name="Normal 2 2 2 3 3 2 5 6" xfId="13879"/>
    <cellStyle name="Normal 2 2 2 3 3 2 5 6 2" xfId="13880"/>
    <cellStyle name="Normal 2 2 2 3 3 2 5 7" xfId="13881"/>
    <cellStyle name="Normal 2 2 2 3 3 2 5 7 2" xfId="13882"/>
    <cellStyle name="Normal 2 2 2 3 3 2 5 8" xfId="13883"/>
    <cellStyle name="Normal 2 2 2 3 3 2 5 8 2" xfId="13884"/>
    <cellStyle name="Normal 2 2 2 3 3 2 5 9" xfId="13885"/>
    <cellStyle name="Normal 2 2 2 3 3 2 5 9 2" xfId="13886"/>
    <cellStyle name="Normal 2 2 2 3 3 2 6" xfId="13887"/>
    <cellStyle name="Normal 2 2 2 3 3 3" xfId="13888"/>
    <cellStyle name="Normal 2 2 2 3 3 3 2" xfId="13889"/>
    <cellStyle name="Normal 2 2 2 3 3 4" xfId="13890"/>
    <cellStyle name="Normal 2 2 2 3 3 4 2" xfId="13891"/>
    <cellStyle name="Normal 2 2 2 3 3 5" xfId="13892"/>
    <cellStyle name="Normal 2 2 2 3 3 5 2" xfId="13893"/>
    <cellStyle name="Normal 2 2 2 3 3 6" xfId="13894"/>
    <cellStyle name="Normal 2 2 2 3 3 6 2" xfId="13895"/>
    <cellStyle name="Normal 2 2 2 3 3 7" xfId="13896"/>
    <cellStyle name="Normal 2 2 2 3 3 7 10" xfId="13897"/>
    <cellStyle name="Normal 2 2 2 3 3 7 10 2" xfId="13898"/>
    <cellStyle name="Normal 2 2 2 3 3 7 11" xfId="13899"/>
    <cellStyle name="Normal 2 2 2 3 3 7 11 2" xfId="13900"/>
    <cellStyle name="Normal 2 2 2 3 3 7 12" xfId="13901"/>
    <cellStyle name="Normal 2 2 2 3 3 7 2" xfId="13902"/>
    <cellStyle name="Normal 2 2 2 3 3 7 2 10" xfId="13903"/>
    <cellStyle name="Normal 2 2 2 3 3 7 2 10 2" xfId="13904"/>
    <cellStyle name="Normal 2 2 2 3 3 7 2 11" xfId="13905"/>
    <cellStyle name="Normal 2 2 2 3 3 7 2 2" xfId="13906"/>
    <cellStyle name="Normal 2 2 2 3 3 7 2 2 2" xfId="13907"/>
    <cellStyle name="Normal 2 2 2 3 3 7 2 3" xfId="13908"/>
    <cellStyle name="Normal 2 2 2 3 3 7 2 3 2" xfId="13909"/>
    <cellStyle name="Normal 2 2 2 3 3 7 2 4" xfId="13910"/>
    <cellStyle name="Normal 2 2 2 3 3 7 2 4 2" xfId="13911"/>
    <cellStyle name="Normal 2 2 2 3 3 7 2 5" xfId="13912"/>
    <cellStyle name="Normal 2 2 2 3 3 7 2 5 2" xfId="13913"/>
    <cellStyle name="Normal 2 2 2 3 3 7 2 6" xfId="13914"/>
    <cellStyle name="Normal 2 2 2 3 3 7 2 6 2" xfId="13915"/>
    <cellStyle name="Normal 2 2 2 3 3 7 2 7" xfId="13916"/>
    <cellStyle name="Normal 2 2 2 3 3 7 2 7 2" xfId="13917"/>
    <cellStyle name="Normal 2 2 2 3 3 7 2 8" xfId="13918"/>
    <cellStyle name="Normal 2 2 2 3 3 7 2 8 2" xfId="13919"/>
    <cellStyle name="Normal 2 2 2 3 3 7 2 9" xfId="13920"/>
    <cellStyle name="Normal 2 2 2 3 3 7 2 9 2" xfId="13921"/>
    <cellStyle name="Normal 2 2 2 3 3 7 3" xfId="13922"/>
    <cellStyle name="Normal 2 2 2 3 3 7 3 2" xfId="13923"/>
    <cellStyle name="Normal 2 2 2 3 3 7 4" xfId="13924"/>
    <cellStyle name="Normal 2 2 2 3 3 7 4 2" xfId="13925"/>
    <cellStyle name="Normal 2 2 2 3 3 7 5" xfId="13926"/>
    <cellStyle name="Normal 2 2 2 3 3 7 5 2" xfId="13927"/>
    <cellStyle name="Normal 2 2 2 3 3 7 6" xfId="13928"/>
    <cellStyle name="Normal 2 2 2 3 3 7 6 2" xfId="13929"/>
    <cellStyle name="Normal 2 2 2 3 3 7 7" xfId="13930"/>
    <cellStyle name="Normal 2 2 2 3 3 7 7 2" xfId="13931"/>
    <cellStyle name="Normal 2 2 2 3 3 7 8" xfId="13932"/>
    <cellStyle name="Normal 2 2 2 3 3 7 8 2" xfId="13933"/>
    <cellStyle name="Normal 2 2 2 3 3 7 9" xfId="13934"/>
    <cellStyle name="Normal 2 2 2 3 3 7 9 2" xfId="13935"/>
    <cellStyle name="Normal 2 2 2 3 3 8" xfId="13936"/>
    <cellStyle name="Normal 2 2 2 3 3 8 10" xfId="13937"/>
    <cellStyle name="Normal 2 2 2 3 3 8 10 2" xfId="13938"/>
    <cellStyle name="Normal 2 2 2 3 3 8 11" xfId="13939"/>
    <cellStyle name="Normal 2 2 2 3 3 8 2" xfId="13940"/>
    <cellStyle name="Normal 2 2 2 3 3 8 2 2" xfId="13941"/>
    <cellStyle name="Normal 2 2 2 3 3 8 3" xfId="13942"/>
    <cellStyle name="Normal 2 2 2 3 3 8 3 2" xfId="13943"/>
    <cellStyle name="Normal 2 2 2 3 3 8 4" xfId="13944"/>
    <cellStyle name="Normal 2 2 2 3 3 8 4 2" xfId="13945"/>
    <cellStyle name="Normal 2 2 2 3 3 8 5" xfId="13946"/>
    <cellStyle name="Normal 2 2 2 3 3 8 5 2" xfId="13947"/>
    <cellStyle name="Normal 2 2 2 3 3 8 6" xfId="13948"/>
    <cellStyle name="Normal 2 2 2 3 3 8 6 2" xfId="13949"/>
    <cellStyle name="Normal 2 2 2 3 3 8 7" xfId="13950"/>
    <cellStyle name="Normal 2 2 2 3 3 8 7 2" xfId="13951"/>
    <cellStyle name="Normal 2 2 2 3 3 8 8" xfId="13952"/>
    <cellStyle name="Normal 2 2 2 3 3 8 8 2" xfId="13953"/>
    <cellStyle name="Normal 2 2 2 3 3 8 9" xfId="13954"/>
    <cellStyle name="Normal 2 2 2 3 3 8 9 2" xfId="13955"/>
    <cellStyle name="Normal 2 2 2 3 3 9" xfId="13956"/>
    <cellStyle name="Normal 2 2 2 3 3 9 2" xfId="13957"/>
    <cellStyle name="Normal 2 2 2 3 4" xfId="13958"/>
    <cellStyle name="Normal 2 2 2 3 4 2" xfId="13959"/>
    <cellStyle name="Normal 2 2 2 3 5" xfId="13960"/>
    <cellStyle name="Normal 2 2 2 3 5 2" xfId="13961"/>
    <cellStyle name="Normal 2 2 2 3 6" xfId="13962"/>
    <cellStyle name="Normal 2 2 2 3 6 10" xfId="13963"/>
    <cellStyle name="Normal 2 2 2 3 6 10 2" xfId="13964"/>
    <cellStyle name="Normal 2 2 2 3 6 11" xfId="13965"/>
    <cellStyle name="Normal 2 2 2 3 6 11 2" xfId="13966"/>
    <cellStyle name="Normal 2 2 2 3 6 12" xfId="13967"/>
    <cellStyle name="Normal 2 2 2 3 6 12 2" xfId="13968"/>
    <cellStyle name="Normal 2 2 2 3 6 13" xfId="13969"/>
    <cellStyle name="Normal 2 2 2 3 6 13 2" xfId="13970"/>
    <cellStyle name="Normal 2 2 2 3 6 14" xfId="13971"/>
    <cellStyle name="Normal 2 2 2 3 6 14 2" xfId="13972"/>
    <cellStyle name="Normal 2 2 2 3 6 15" xfId="13973"/>
    <cellStyle name="Normal 2 2 2 3 6 15 2" xfId="13974"/>
    <cellStyle name="Normal 2 2 2 3 6 16" xfId="13975"/>
    <cellStyle name="Normal 2 2 2 3 6 16 2" xfId="13976"/>
    <cellStyle name="Normal 2 2 2 3 6 17" xfId="13977"/>
    <cellStyle name="Normal 2 2 2 3 6 2" xfId="13978"/>
    <cellStyle name="Normal 2 2 2 3 6 2 2" xfId="13979"/>
    <cellStyle name="Normal 2 2 2 3 6 3" xfId="13980"/>
    <cellStyle name="Normal 2 2 2 3 6 3 2" xfId="13981"/>
    <cellStyle name="Normal 2 2 2 3 6 4" xfId="13982"/>
    <cellStyle name="Normal 2 2 2 3 6 4 2" xfId="13983"/>
    <cellStyle name="Normal 2 2 2 3 6 5" xfId="13984"/>
    <cellStyle name="Normal 2 2 2 3 6 5 2" xfId="13985"/>
    <cellStyle name="Normal 2 2 2 3 6 6" xfId="13986"/>
    <cellStyle name="Normal 2 2 2 3 6 6 10" xfId="13987"/>
    <cellStyle name="Normal 2 2 2 3 6 6 10 2" xfId="13988"/>
    <cellStyle name="Normal 2 2 2 3 6 6 11" xfId="13989"/>
    <cellStyle name="Normal 2 2 2 3 6 6 11 2" xfId="13990"/>
    <cellStyle name="Normal 2 2 2 3 6 6 12" xfId="13991"/>
    <cellStyle name="Normal 2 2 2 3 6 6 2" xfId="13992"/>
    <cellStyle name="Normal 2 2 2 3 6 6 2 10" xfId="13993"/>
    <cellStyle name="Normal 2 2 2 3 6 6 2 10 2" xfId="13994"/>
    <cellStyle name="Normal 2 2 2 3 6 6 2 11" xfId="13995"/>
    <cellStyle name="Normal 2 2 2 3 6 6 2 2" xfId="13996"/>
    <cellStyle name="Normal 2 2 2 3 6 6 2 2 2" xfId="13997"/>
    <cellStyle name="Normal 2 2 2 3 6 6 2 3" xfId="13998"/>
    <cellStyle name="Normal 2 2 2 3 6 6 2 3 2" xfId="13999"/>
    <cellStyle name="Normal 2 2 2 3 6 6 2 4" xfId="14000"/>
    <cellStyle name="Normal 2 2 2 3 6 6 2 4 2" xfId="14001"/>
    <cellStyle name="Normal 2 2 2 3 6 6 2 5" xfId="14002"/>
    <cellStyle name="Normal 2 2 2 3 6 6 2 5 2" xfId="14003"/>
    <cellStyle name="Normal 2 2 2 3 6 6 2 6" xfId="14004"/>
    <cellStyle name="Normal 2 2 2 3 6 6 2 6 2" xfId="14005"/>
    <cellStyle name="Normal 2 2 2 3 6 6 2 7" xfId="14006"/>
    <cellStyle name="Normal 2 2 2 3 6 6 2 7 2" xfId="14007"/>
    <cellStyle name="Normal 2 2 2 3 6 6 2 8" xfId="14008"/>
    <cellStyle name="Normal 2 2 2 3 6 6 2 8 2" xfId="14009"/>
    <cellStyle name="Normal 2 2 2 3 6 6 2 9" xfId="14010"/>
    <cellStyle name="Normal 2 2 2 3 6 6 2 9 2" xfId="14011"/>
    <cellStyle name="Normal 2 2 2 3 6 6 3" xfId="14012"/>
    <cellStyle name="Normal 2 2 2 3 6 6 3 2" xfId="14013"/>
    <cellStyle name="Normal 2 2 2 3 6 6 4" xfId="14014"/>
    <cellStyle name="Normal 2 2 2 3 6 6 4 2" xfId="14015"/>
    <cellStyle name="Normal 2 2 2 3 6 6 5" xfId="14016"/>
    <cellStyle name="Normal 2 2 2 3 6 6 5 2" xfId="14017"/>
    <cellStyle name="Normal 2 2 2 3 6 6 6" xfId="14018"/>
    <cellStyle name="Normal 2 2 2 3 6 6 6 2" xfId="14019"/>
    <cellStyle name="Normal 2 2 2 3 6 6 7" xfId="14020"/>
    <cellStyle name="Normal 2 2 2 3 6 6 7 2" xfId="14021"/>
    <cellStyle name="Normal 2 2 2 3 6 6 8" xfId="14022"/>
    <cellStyle name="Normal 2 2 2 3 6 6 8 2" xfId="14023"/>
    <cellStyle name="Normal 2 2 2 3 6 6 9" xfId="14024"/>
    <cellStyle name="Normal 2 2 2 3 6 6 9 2" xfId="14025"/>
    <cellStyle name="Normal 2 2 2 3 6 7" xfId="14026"/>
    <cellStyle name="Normal 2 2 2 3 6 7 10" xfId="14027"/>
    <cellStyle name="Normal 2 2 2 3 6 7 10 2" xfId="14028"/>
    <cellStyle name="Normal 2 2 2 3 6 7 11" xfId="14029"/>
    <cellStyle name="Normal 2 2 2 3 6 7 2" xfId="14030"/>
    <cellStyle name="Normal 2 2 2 3 6 7 2 2" xfId="14031"/>
    <cellStyle name="Normal 2 2 2 3 6 7 3" xfId="14032"/>
    <cellStyle name="Normal 2 2 2 3 6 7 3 2" xfId="14033"/>
    <cellStyle name="Normal 2 2 2 3 6 7 4" xfId="14034"/>
    <cellStyle name="Normal 2 2 2 3 6 7 4 2" xfId="14035"/>
    <cellStyle name="Normal 2 2 2 3 6 7 5" xfId="14036"/>
    <cellStyle name="Normal 2 2 2 3 6 7 5 2" xfId="14037"/>
    <cellStyle name="Normal 2 2 2 3 6 7 6" xfId="14038"/>
    <cellStyle name="Normal 2 2 2 3 6 7 6 2" xfId="14039"/>
    <cellStyle name="Normal 2 2 2 3 6 7 7" xfId="14040"/>
    <cellStyle name="Normal 2 2 2 3 6 7 7 2" xfId="14041"/>
    <cellStyle name="Normal 2 2 2 3 6 7 8" xfId="14042"/>
    <cellStyle name="Normal 2 2 2 3 6 7 8 2" xfId="14043"/>
    <cellStyle name="Normal 2 2 2 3 6 7 9" xfId="14044"/>
    <cellStyle name="Normal 2 2 2 3 6 7 9 2" xfId="14045"/>
    <cellStyle name="Normal 2 2 2 3 6 8" xfId="14046"/>
    <cellStyle name="Normal 2 2 2 3 6 8 2" xfId="14047"/>
    <cellStyle name="Normal 2 2 2 3 6 9" xfId="14048"/>
    <cellStyle name="Normal 2 2 2 3 6 9 2" xfId="14049"/>
    <cellStyle name="Normal 2 2 2 3 7" xfId="14050"/>
    <cellStyle name="Normal 2 2 2 3 7 10" xfId="14051"/>
    <cellStyle name="Normal 2 2 2 3 7 10 2" xfId="14052"/>
    <cellStyle name="Normal 2 2 2 3 7 11" xfId="14053"/>
    <cellStyle name="Normal 2 2 2 3 7 11 2" xfId="14054"/>
    <cellStyle name="Normal 2 2 2 3 7 12" xfId="14055"/>
    <cellStyle name="Normal 2 2 2 3 7 12 2" xfId="14056"/>
    <cellStyle name="Normal 2 2 2 3 7 13" xfId="14057"/>
    <cellStyle name="Normal 2 2 2 3 7 2" xfId="14058"/>
    <cellStyle name="Normal 2 2 2 3 7 2 10" xfId="14059"/>
    <cellStyle name="Normal 2 2 2 3 7 2 10 2" xfId="14060"/>
    <cellStyle name="Normal 2 2 2 3 7 2 11" xfId="14061"/>
    <cellStyle name="Normal 2 2 2 3 7 2 11 2" xfId="14062"/>
    <cellStyle name="Normal 2 2 2 3 7 2 12" xfId="14063"/>
    <cellStyle name="Normal 2 2 2 3 7 2 2" xfId="14064"/>
    <cellStyle name="Normal 2 2 2 3 7 2 2 10" xfId="14065"/>
    <cellStyle name="Normal 2 2 2 3 7 2 2 10 2" xfId="14066"/>
    <cellStyle name="Normal 2 2 2 3 7 2 2 11" xfId="14067"/>
    <cellStyle name="Normal 2 2 2 3 7 2 2 2" xfId="14068"/>
    <cellStyle name="Normal 2 2 2 3 7 2 2 2 2" xfId="14069"/>
    <cellStyle name="Normal 2 2 2 3 7 2 2 3" xfId="14070"/>
    <cellStyle name="Normal 2 2 2 3 7 2 2 3 2" xfId="14071"/>
    <cellStyle name="Normal 2 2 2 3 7 2 2 4" xfId="14072"/>
    <cellStyle name="Normal 2 2 2 3 7 2 2 4 2" xfId="14073"/>
    <cellStyle name="Normal 2 2 2 3 7 2 2 5" xfId="14074"/>
    <cellStyle name="Normal 2 2 2 3 7 2 2 5 2" xfId="14075"/>
    <cellStyle name="Normal 2 2 2 3 7 2 2 6" xfId="14076"/>
    <cellStyle name="Normal 2 2 2 3 7 2 2 6 2" xfId="14077"/>
    <cellStyle name="Normal 2 2 2 3 7 2 2 7" xfId="14078"/>
    <cellStyle name="Normal 2 2 2 3 7 2 2 7 2" xfId="14079"/>
    <cellStyle name="Normal 2 2 2 3 7 2 2 8" xfId="14080"/>
    <cellStyle name="Normal 2 2 2 3 7 2 2 8 2" xfId="14081"/>
    <cellStyle name="Normal 2 2 2 3 7 2 2 9" xfId="14082"/>
    <cellStyle name="Normal 2 2 2 3 7 2 2 9 2" xfId="14083"/>
    <cellStyle name="Normal 2 2 2 3 7 2 3" xfId="14084"/>
    <cellStyle name="Normal 2 2 2 3 7 2 3 2" xfId="14085"/>
    <cellStyle name="Normal 2 2 2 3 7 2 4" xfId="14086"/>
    <cellStyle name="Normal 2 2 2 3 7 2 4 2" xfId="14087"/>
    <cellStyle name="Normal 2 2 2 3 7 2 5" xfId="14088"/>
    <cellStyle name="Normal 2 2 2 3 7 2 5 2" xfId="14089"/>
    <cellStyle name="Normal 2 2 2 3 7 2 6" xfId="14090"/>
    <cellStyle name="Normal 2 2 2 3 7 2 6 2" xfId="14091"/>
    <cellStyle name="Normal 2 2 2 3 7 2 7" xfId="14092"/>
    <cellStyle name="Normal 2 2 2 3 7 2 7 2" xfId="14093"/>
    <cellStyle name="Normal 2 2 2 3 7 2 8" xfId="14094"/>
    <cellStyle name="Normal 2 2 2 3 7 2 8 2" xfId="14095"/>
    <cellStyle name="Normal 2 2 2 3 7 2 9" xfId="14096"/>
    <cellStyle name="Normal 2 2 2 3 7 2 9 2" xfId="14097"/>
    <cellStyle name="Normal 2 2 2 3 7 3" xfId="14098"/>
    <cellStyle name="Normal 2 2 2 3 7 3 10" xfId="14099"/>
    <cellStyle name="Normal 2 2 2 3 7 3 10 2" xfId="14100"/>
    <cellStyle name="Normal 2 2 2 3 7 3 11" xfId="14101"/>
    <cellStyle name="Normal 2 2 2 3 7 3 2" xfId="14102"/>
    <cellStyle name="Normal 2 2 2 3 7 3 2 2" xfId="14103"/>
    <cellStyle name="Normal 2 2 2 3 7 3 3" xfId="14104"/>
    <cellStyle name="Normal 2 2 2 3 7 3 3 2" xfId="14105"/>
    <cellStyle name="Normal 2 2 2 3 7 3 4" xfId="14106"/>
    <cellStyle name="Normal 2 2 2 3 7 3 4 2" xfId="14107"/>
    <cellStyle name="Normal 2 2 2 3 7 3 5" xfId="14108"/>
    <cellStyle name="Normal 2 2 2 3 7 3 5 2" xfId="14109"/>
    <cellStyle name="Normal 2 2 2 3 7 3 6" xfId="14110"/>
    <cellStyle name="Normal 2 2 2 3 7 3 6 2" xfId="14111"/>
    <cellStyle name="Normal 2 2 2 3 7 3 7" xfId="14112"/>
    <cellStyle name="Normal 2 2 2 3 7 3 7 2" xfId="14113"/>
    <cellStyle name="Normal 2 2 2 3 7 3 8" xfId="14114"/>
    <cellStyle name="Normal 2 2 2 3 7 3 8 2" xfId="14115"/>
    <cellStyle name="Normal 2 2 2 3 7 3 9" xfId="14116"/>
    <cellStyle name="Normal 2 2 2 3 7 3 9 2" xfId="14117"/>
    <cellStyle name="Normal 2 2 2 3 7 4" xfId="14118"/>
    <cellStyle name="Normal 2 2 2 3 7 4 2" xfId="14119"/>
    <cellStyle name="Normal 2 2 2 3 7 5" xfId="14120"/>
    <cellStyle name="Normal 2 2 2 3 7 5 2" xfId="14121"/>
    <cellStyle name="Normal 2 2 2 3 7 6" xfId="14122"/>
    <cellStyle name="Normal 2 2 2 3 7 6 2" xfId="14123"/>
    <cellStyle name="Normal 2 2 2 3 7 7" xfId="14124"/>
    <cellStyle name="Normal 2 2 2 3 7 7 2" xfId="14125"/>
    <cellStyle name="Normal 2 2 2 3 7 8" xfId="14126"/>
    <cellStyle name="Normal 2 2 2 3 7 8 2" xfId="14127"/>
    <cellStyle name="Normal 2 2 2 3 7 9" xfId="14128"/>
    <cellStyle name="Normal 2 2 2 3 7 9 2" xfId="14129"/>
    <cellStyle name="Normal 2 2 2 3 8" xfId="14130"/>
    <cellStyle name="Normal 2 2 2 3 8 10" xfId="14131"/>
    <cellStyle name="Normal 2 2 2 3 8 10 2" xfId="14132"/>
    <cellStyle name="Normal 2 2 2 3 8 11" xfId="14133"/>
    <cellStyle name="Normal 2 2 2 3 8 11 2" xfId="14134"/>
    <cellStyle name="Normal 2 2 2 3 8 12" xfId="14135"/>
    <cellStyle name="Normal 2 2 2 3 8 12 2" xfId="14136"/>
    <cellStyle name="Normal 2 2 2 3 8 13" xfId="14137"/>
    <cellStyle name="Normal 2 2 2 3 8 2" xfId="14138"/>
    <cellStyle name="Normal 2 2 2 3 8 2 10" xfId="14139"/>
    <cellStyle name="Normal 2 2 2 3 8 2 10 2" xfId="14140"/>
    <cellStyle name="Normal 2 2 2 3 8 2 11" xfId="14141"/>
    <cellStyle name="Normal 2 2 2 3 8 2 11 2" xfId="14142"/>
    <cellStyle name="Normal 2 2 2 3 8 2 12" xfId="14143"/>
    <cellStyle name="Normal 2 2 2 3 8 2 2" xfId="14144"/>
    <cellStyle name="Normal 2 2 2 3 8 2 2 10" xfId="14145"/>
    <cellStyle name="Normal 2 2 2 3 8 2 2 10 2" xfId="14146"/>
    <cellStyle name="Normal 2 2 2 3 8 2 2 11" xfId="14147"/>
    <cellStyle name="Normal 2 2 2 3 8 2 2 2" xfId="14148"/>
    <cellStyle name="Normal 2 2 2 3 8 2 2 2 2" xfId="14149"/>
    <cellStyle name="Normal 2 2 2 3 8 2 2 3" xfId="14150"/>
    <cellStyle name="Normal 2 2 2 3 8 2 2 3 2" xfId="14151"/>
    <cellStyle name="Normal 2 2 2 3 8 2 2 4" xfId="14152"/>
    <cellStyle name="Normal 2 2 2 3 8 2 2 4 2" xfId="14153"/>
    <cellStyle name="Normal 2 2 2 3 8 2 2 5" xfId="14154"/>
    <cellStyle name="Normal 2 2 2 3 8 2 2 5 2" xfId="14155"/>
    <cellStyle name="Normal 2 2 2 3 8 2 2 6" xfId="14156"/>
    <cellStyle name="Normal 2 2 2 3 8 2 2 6 2" xfId="14157"/>
    <cellStyle name="Normal 2 2 2 3 8 2 2 7" xfId="14158"/>
    <cellStyle name="Normal 2 2 2 3 8 2 2 7 2" xfId="14159"/>
    <cellStyle name="Normal 2 2 2 3 8 2 2 8" xfId="14160"/>
    <cellStyle name="Normal 2 2 2 3 8 2 2 8 2" xfId="14161"/>
    <cellStyle name="Normal 2 2 2 3 8 2 2 9" xfId="14162"/>
    <cellStyle name="Normal 2 2 2 3 8 2 2 9 2" xfId="14163"/>
    <cellStyle name="Normal 2 2 2 3 8 2 3" xfId="14164"/>
    <cellStyle name="Normal 2 2 2 3 8 2 3 2" xfId="14165"/>
    <cellStyle name="Normal 2 2 2 3 8 2 4" xfId="14166"/>
    <cellStyle name="Normal 2 2 2 3 8 2 4 2" xfId="14167"/>
    <cellStyle name="Normal 2 2 2 3 8 2 5" xfId="14168"/>
    <cellStyle name="Normal 2 2 2 3 8 2 5 2" xfId="14169"/>
    <cellStyle name="Normal 2 2 2 3 8 2 6" xfId="14170"/>
    <cellStyle name="Normal 2 2 2 3 8 2 6 2" xfId="14171"/>
    <cellStyle name="Normal 2 2 2 3 8 2 7" xfId="14172"/>
    <cellStyle name="Normal 2 2 2 3 8 2 7 2" xfId="14173"/>
    <cellStyle name="Normal 2 2 2 3 8 2 8" xfId="14174"/>
    <cellStyle name="Normal 2 2 2 3 8 2 8 2" xfId="14175"/>
    <cellStyle name="Normal 2 2 2 3 8 2 9" xfId="14176"/>
    <cellStyle name="Normal 2 2 2 3 8 2 9 2" xfId="14177"/>
    <cellStyle name="Normal 2 2 2 3 8 3" xfId="14178"/>
    <cellStyle name="Normal 2 2 2 3 8 3 10" xfId="14179"/>
    <cellStyle name="Normal 2 2 2 3 8 3 10 2" xfId="14180"/>
    <cellStyle name="Normal 2 2 2 3 8 3 11" xfId="14181"/>
    <cellStyle name="Normal 2 2 2 3 8 3 2" xfId="14182"/>
    <cellStyle name="Normal 2 2 2 3 8 3 2 2" xfId="14183"/>
    <cellStyle name="Normal 2 2 2 3 8 3 3" xfId="14184"/>
    <cellStyle name="Normal 2 2 2 3 8 3 3 2" xfId="14185"/>
    <cellStyle name="Normal 2 2 2 3 8 3 4" xfId="14186"/>
    <cellStyle name="Normal 2 2 2 3 8 3 4 2" xfId="14187"/>
    <cellStyle name="Normal 2 2 2 3 8 3 5" xfId="14188"/>
    <cellStyle name="Normal 2 2 2 3 8 3 5 2" xfId="14189"/>
    <cellStyle name="Normal 2 2 2 3 8 3 6" xfId="14190"/>
    <cellStyle name="Normal 2 2 2 3 8 3 6 2" xfId="14191"/>
    <cellStyle name="Normal 2 2 2 3 8 3 7" xfId="14192"/>
    <cellStyle name="Normal 2 2 2 3 8 3 7 2" xfId="14193"/>
    <cellStyle name="Normal 2 2 2 3 8 3 8" xfId="14194"/>
    <cellStyle name="Normal 2 2 2 3 8 3 8 2" xfId="14195"/>
    <cellStyle name="Normal 2 2 2 3 8 3 9" xfId="14196"/>
    <cellStyle name="Normal 2 2 2 3 8 3 9 2" xfId="14197"/>
    <cellStyle name="Normal 2 2 2 3 8 4" xfId="14198"/>
    <cellStyle name="Normal 2 2 2 3 8 4 2" xfId="14199"/>
    <cellStyle name="Normal 2 2 2 3 8 5" xfId="14200"/>
    <cellStyle name="Normal 2 2 2 3 8 5 2" xfId="14201"/>
    <cellStyle name="Normal 2 2 2 3 8 6" xfId="14202"/>
    <cellStyle name="Normal 2 2 2 3 8 6 2" xfId="14203"/>
    <cellStyle name="Normal 2 2 2 3 8 7" xfId="14204"/>
    <cellStyle name="Normal 2 2 2 3 8 7 2" xfId="14205"/>
    <cellStyle name="Normal 2 2 2 3 8 8" xfId="14206"/>
    <cellStyle name="Normal 2 2 2 3 8 8 2" xfId="14207"/>
    <cellStyle name="Normal 2 2 2 3 8 9" xfId="14208"/>
    <cellStyle name="Normal 2 2 2 3 8 9 2" xfId="14209"/>
    <cellStyle name="Normal 2 2 2 3 9" xfId="14210"/>
    <cellStyle name="Normal 2 2 2 3 9 10" xfId="14211"/>
    <cellStyle name="Normal 2 2 2 3 9 10 2" xfId="14212"/>
    <cellStyle name="Normal 2 2 2 3 9 11" xfId="14213"/>
    <cellStyle name="Normal 2 2 2 3 9 11 2" xfId="14214"/>
    <cellStyle name="Normal 2 2 2 3 9 12" xfId="14215"/>
    <cellStyle name="Normal 2 2 2 3 9 12 2" xfId="14216"/>
    <cellStyle name="Normal 2 2 2 3 9 13" xfId="14217"/>
    <cellStyle name="Normal 2 2 2 3 9 2" xfId="14218"/>
    <cellStyle name="Normal 2 2 2 3 9 2 10" xfId="14219"/>
    <cellStyle name="Normal 2 2 2 3 9 2 10 2" xfId="14220"/>
    <cellStyle name="Normal 2 2 2 3 9 2 11" xfId="14221"/>
    <cellStyle name="Normal 2 2 2 3 9 2 11 2" xfId="14222"/>
    <cellStyle name="Normal 2 2 2 3 9 2 12" xfId="14223"/>
    <cellStyle name="Normal 2 2 2 3 9 2 2" xfId="14224"/>
    <cellStyle name="Normal 2 2 2 3 9 2 2 10" xfId="14225"/>
    <cellStyle name="Normal 2 2 2 3 9 2 2 10 2" xfId="14226"/>
    <cellStyle name="Normal 2 2 2 3 9 2 2 11" xfId="14227"/>
    <cellStyle name="Normal 2 2 2 3 9 2 2 2" xfId="14228"/>
    <cellStyle name="Normal 2 2 2 3 9 2 2 2 2" xfId="14229"/>
    <cellStyle name="Normal 2 2 2 3 9 2 2 3" xfId="14230"/>
    <cellStyle name="Normal 2 2 2 3 9 2 2 3 2" xfId="14231"/>
    <cellStyle name="Normal 2 2 2 3 9 2 2 4" xfId="14232"/>
    <cellStyle name="Normal 2 2 2 3 9 2 2 4 2" xfId="14233"/>
    <cellStyle name="Normal 2 2 2 3 9 2 2 5" xfId="14234"/>
    <cellStyle name="Normal 2 2 2 3 9 2 2 5 2" xfId="14235"/>
    <cellStyle name="Normal 2 2 2 3 9 2 2 6" xfId="14236"/>
    <cellStyle name="Normal 2 2 2 3 9 2 2 6 2" xfId="14237"/>
    <cellStyle name="Normal 2 2 2 3 9 2 2 7" xfId="14238"/>
    <cellStyle name="Normal 2 2 2 3 9 2 2 7 2" xfId="14239"/>
    <cellStyle name="Normal 2 2 2 3 9 2 2 8" xfId="14240"/>
    <cellStyle name="Normal 2 2 2 3 9 2 2 8 2" xfId="14241"/>
    <cellStyle name="Normal 2 2 2 3 9 2 2 9" xfId="14242"/>
    <cellStyle name="Normal 2 2 2 3 9 2 2 9 2" xfId="14243"/>
    <cellStyle name="Normal 2 2 2 3 9 2 3" xfId="14244"/>
    <cellStyle name="Normal 2 2 2 3 9 2 3 2" xfId="14245"/>
    <cellStyle name="Normal 2 2 2 3 9 2 4" xfId="14246"/>
    <cellStyle name="Normal 2 2 2 3 9 2 4 2" xfId="14247"/>
    <cellStyle name="Normal 2 2 2 3 9 2 5" xfId="14248"/>
    <cellStyle name="Normal 2 2 2 3 9 2 5 2" xfId="14249"/>
    <cellStyle name="Normal 2 2 2 3 9 2 6" xfId="14250"/>
    <cellStyle name="Normal 2 2 2 3 9 2 6 2" xfId="14251"/>
    <cellStyle name="Normal 2 2 2 3 9 2 7" xfId="14252"/>
    <cellStyle name="Normal 2 2 2 3 9 2 7 2" xfId="14253"/>
    <cellStyle name="Normal 2 2 2 3 9 2 8" xfId="14254"/>
    <cellStyle name="Normal 2 2 2 3 9 2 8 2" xfId="14255"/>
    <cellStyle name="Normal 2 2 2 3 9 2 9" xfId="14256"/>
    <cellStyle name="Normal 2 2 2 3 9 2 9 2" xfId="14257"/>
    <cellStyle name="Normal 2 2 2 3 9 3" xfId="14258"/>
    <cellStyle name="Normal 2 2 2 3 9 3 10" xfId="14259"/>
    <cellStyle name="Normal 2 2 2 3 9 3 10 2" xfId="14260"/>
    <cellStyle name="Normal 2 2 2 3 9 3 11" xfId="14261"/>
    <cellStyle name="Normal 2 2 2 3 9 3 2" xfId="14262"/>
    <cellStyle name="Normal 2 2 2 3 9 3 2 2" xfId="14263"/>
    <cellStyle name="Normal 2 2 2 3 9 3 3" xfId="14264"/>
    <cellStyle name="Normal 2 2 2 3 9 3 3 2" xfId="14265"/>
    <cellStyle name="Normal 2 2 2 3 9 3 4" xfId="14266"/>
    <cellStyle name="Normal 2 2 2 3 9 3 4 2" xfId="14267"/>
    <cellStyle name="Normal 2 2 2 3 9 3 5" xfId="14268"/>
    <cellStyle name="Normal 2 2 2 3 9 3 5 2" xfId="14269"/>
    <cellStyle name="Normal 2 2 2 3 9 3 6" xfId="14270"/>
    <cellStyle name="Normal 2 2 2 3 9 3 6 2" xfId="14271"/>
    <cellStyle name="Normal 2 2 2 3 9 3 7" xfId="14272"/>
    <cellStyle name="Normal 2 2 2 3 9 3 7 2" xfId="14273"/>
    <cellStyle name="Normal 2 2 2 3 9 3 8" xfId="14274"/>
    <cellStyle name="Normal 2 2 2 3 9 3 8 2" xfId="14275"/>
    <cellStyle name="Normal 2 2 2 3 9 3 9" xfId="14276"/>
    <cellStyle name="Normal 2 2 2 3 9 3 9 2" xfId="14277"/>
    <cellStyle name="Normal 2 2 2 3 9 4" xfId="14278"/>
    <cellStyle name="Normal 2 2 2 3 9 4 2" xfId="14279"/>
    <cellStyle name="Normal 2 2 2 3 9 5" xfId="14280"/>
    <cellStyle name="Normal 2 2 2 3 9 5 2" xfId="14281"/>
    <cellStyle name="Normal 2 2 2 3 9 6" xfId="14282"/>
    <cellStyle name="Normal 2 2 2 3 9 6 2" xfId="14283"/>
    <cellStyle name="Normal 2 2 2 3 9 7" xfId="14284"/>
    <cellStyle name="Normal 2 2 2 3 9 7 2" xfId="14285"/>
    <cellStyle name="Normal 2 2 2 3 9 8" xfId="14286"/>
    <cellStyle name="Normal 2 2 2 3 9 8 2" xfId="14287"/>
    <cellStyle name="Normal 2 2 2 3 9 9" xfId="14288"/>
    <cellStyle name="Normal 2 2 2 3 9 9 2" xfId="14289"/>
    <cellStyle name="Normal 2 2 2 4" xfId="14290"/>
    <cellStyle name="Normal 2 2 2 4 10" xfId="14291"/>
    <cellStyle name="Normal 2 2 2 4 10 2" xfId="14292"/>
    <cellStyle name="Normal 2 2 2 4 11" xfId="14293"/>
    <cellStyle name="Normal 2 2 2 4 11 2" xfId="14294"/>
    <cellStyle name="Normal 2 2 2 4 12" xfId="14295"/>
    <cellStyle name="Normal 2 2 2 4 12 2" xfId="14296"/>
    <cellStyle name="Normal 2 2 2 4 13" xfId="14297"/>
    <cellStyle name="Normal 2 2 2 4 2" xfId="14298"/>
    <cellStyle name="Normal 2 2 2 4 2 10" xfId="14299"/>
    <cellStyle name="Normal 2 2 2 4 2 10 2" xfId="14300"/>
    <cellStyle name="Normal 2 2 2 4 2 11" xfId="14301"/>
    <cellStyle name="Normal 2 2 2 4 2 11 2" xfId="14302"/>
    <cellStyle name="Normal 2 2 2 4 2 12" xfId="14303"/>
    <cellStyle name="Normal 2 2 2 4 2 2" xfId="14304"/>
    <cellStyle name="Normal 2 2 2 4 2 2 10" xfId="14305"/>
    <cellStyle name="Normal 2 2 2 4 2 2 10 2" xfId="14306"/>
    <cellStyle name="Normal 2 2 2 4 2 2 11" xfId="14307"/>
    <cellStyle name="Normal 2 2 2 4 2 2 2" xfId="14308"/>
    <cellStyle name="Normal 2 2 2 4 2 2 2 2" xfId="14309"/>
    <cellStyle name="Normal 2 2 2 4 2 2 3" xfId="14310"/>
    <cellStyle name="Normal 2 2 2 4 2 2 3 2" xfId="14311"/>
    <cellStyle name="Normal 2 2 2 4 2 2 4" xfId="14312"/>
    <cellStyle name="Normal 2 2 2 4 2 2 4 2" xfId="14313"/>
    <cellStyle name="Normal 2 2 2 4 2 2 5" xfId="14314"/>
    <cellStyle name="Normal 2 2 2 4 2 2 5 2" xfId="14315"/>
    <cellStyle name="Normal 2 2 2 4 2 2 6" xfId="14316"/>
    <cellStyle name="Normal 2 2 2 4 2 2 6 2" xfId="14317"/>
    <cellStyle name="Normal 2 2 2 4 2 2 7" xfId="14318"/>
    <cellStyle name="Normal 2 2 2 4 2 2 7 2" xfId="14319"/>
    <cellStyle name="Normal 2 2 2 4 2 2 8" xfId="14320"/>
    <cellStyle name="Normal 2 2 2 4 2 2 8 2" xfId="14321"/>
    <cellStyle name="Normal 2 2 2 4 2 2 9" xfId="14322"/>
    <cellStyle name="Normal 2 2 2 4 2 2 9 2" xfId="14323"/>
    <cellStyle name="Normal 2 2 2 4 2 3" xfId="14324"/>
    <cellStyle name="Normal 2 2 2 4 2 3 2" xfId="14325"/>
    <cellStyle name="Normal 2 2 2 4 2 4" xfId="14326"/>
    <cellStyle name="Normal 2 2 2 4 2 4 2" xfId="14327"/>
    <cellStyle name="Normal 2 2 2 4 2 5" xfId="14328"/>
    <cellStyle name="Normal 2 2 2 4 2 5 2" xfId="14329"/>
    <cellStyle name="Normal 2 2 2 4 2 6" xfId="14330"/>
    <cellStyle name="Normal 2 2 2 4 2 6 2" xfId="14331"/>
    <cellStyle name="Normal 2 2 2 4 2 7" xfId="14332"/>
    <cellStyle name="Normal 2 2 2 4 2 7 2" xfId="14333"/>
    <cellStyle name="Normal 2 2 2 4 2 8" xfId="14334"/>
    <cellStyle name="Normal 2 2 2 4 2 8 2" xfId="14335"/>
    <cellStyle name="Normal 2 2 2 4 2 9" xfId="14336"/>
    <cellStyle name="Normal 2 2 2 4 2 9 2" xfId="14337"/>
    <cellStyle name="Normal 2 2 2 4 3" xfId="14338"/>
    <cellStyle name="Normal 2 2 2 4 3 10" xfId="14339"/>
    <cellStyle name="Normal 2 2 2 4 3 10 2" xfId="14340"/>
    <cellStyle name="Normal 2 2 2 4 3 11" xfId="14341"/>
    <cellStyle name="Normal 2 2 2 4 3 2" xfId="14342"/>
    <cellStyle name="Normal 2 2 2 4 3 2 2" xfId="14343"/>
    <cellStyle name="Normal 2 2 2 4 3 3" xfId="14344"/>
    <cellStyle name="Normal 2 2 2 4 3 3 2" xfId="14345"/>
    <cellStyle name="Normal 2 2 2 4 3 4" xfId="14346"/>
    <cellStyle name="Normal 2 2 2 4 3 4 2" xfId="14347"/>
    <cellStyle name="Normal 2 2 2 4 3 5" xfId="14348"/>
    <cellStyle name="Normal 2 2 2 4 3 5 2" xfId="14349"/>
    <cellStyle name="Normal 2 2 2 4 3 6" xfId="14350"/>
    <cellStyle name="Normal 2 2 2 4 3 6 2" xfId="14351"/>
    <cellStyle name="Normal 2 2 2 4 3 7" xfId="14352"/>
    <cellStyle name="Normal 2 2 2 4 3 7 2" xfId="14353"/>
    <cellStyle name="Normal 2 2 2 4 3 8" xfId="14354"/>
    <cellStyle name="Normal 2 2 2 4 3 8 2" xfId="14355"/>
    <cellStyle name="Normal 2 2 2 4 3 9" xfId="14356"/>
    <cellStyle name="Normal 2 2 2 4 3 9 2" xfId="14357"/>
    <cellStyle name="Normal 2 2 2 4 4" xfId="14358"/>
    <cellStyle name="Normal 2 2 2 4 4 2" xfId="14359"/>
    <cellStyle name="Normal 2 2 2 4 5" xfId="14360"/>
    <cellStyle name="Normal 2 2 2 4 5 2" xfId="14361"/>
    <cellStyle name="Normal 2 2 2 4 6" xfId="14362"/>
    <cellStyle name="Normal 2 2 2 4 6 2" xfId="14363"/>
    <cellStyle name="Normal 2 2 2 4 7" xfId="14364"/>
    <cellStyle name="Normal 2 2 2 4 7 2" xfId="14365"/>
    <cellStyle name="Normal 2 2 2 4 8" xfId="14366"/>
    <cellStyle name="Normal 2 2 2 4 8 2" xfId="14367"/>
    <cellStyle name="Normal 2 2 2 4 9" xfId="14368"/>
    <cellStyle name="Normal 2 2 2 4 9 2" xfId="14369"/>
    <cellStyle name="Normal 2 2 2 5" xfId="14370"/>
    <cellStyle name="Normal 2 2 2 5 10" xfId="14371"/>
    <cellStyle name="Normal 2 2 2 5 10 2" xfId="14372"/>
    <cellStyle name="Normal 2 2 2 5 11" xfId="14373"/>
    <cellStyle name="Normal 2 2 2 5 11 2" xfId="14374"/>
    <cellStyle name="Normal 2 2 2 5 12" xfId="14375"/>
    <cellStyle name="Normal 2 2 2 5 12 2" xfId="14376"/>
    <cellStyle name="Normal 2 2 2 5 13" xfId="14377"/>
    <cellStyle name="Normal 2 2 2 5 2" xfId="14378"/>
    <cellStyle name="Normal 2 2 2 5 2 10" xfId="14379"/>
    <cellStyle name="Normal 2 2 2 5 2 10 2" xfId="14380"/>
    <cellStyle name="Normal 2 2 2 5 2 11" xfId="14381"/>
    <cellStyle name="Normal 2 2 2 5 2 11 2" xfId="14382"/>
    <cellStyle name="Normal 2 2 2 5 2 12" xfId="14383"/>
    <cellStyle name="Normal 2 2 2 5 2 2" xfId="14384"/>
    <cellStyle name="Normal 2 2 2 5 2 2 10" xfId="14385"/>
    <cellStyle name="Normal 2 2 2 5 2 2 10 2" xfId="14386"/>
    <cellStyle name="Normal 2 2 2 5 2 2 11" xfId="14387"/>
    <cellStyle name="Normal 2 2 2 5 2 2 2" xfId="14388"/>
    <cellStyle name="Normal 2 2 2 5 2 2 2 2" xfId="14389"/>
    <cellStyle name="Normal 2 2 2 5 2 2 3" xfId="14390"/>
    <cellStyle name="Normal 2 2 2 5 2 2 3 2" xfId="14391"/>
    <cellStyle name="Normal 2 2 2 5 2 2 4" xfId="14392"/>
    <cellStyle name="Normal 2 2 2 5 2 2 4 2" xfId="14393"/>
    <cellStyle name="Normal 2 2 2 5 2 2 5" xfId="14394"/>
    <cellStyle name="Normal 2 2 2 5 2 2 5 2" xfId="14395"/>
    <cellStyle name="Normal 2 2 2 5 2 2 6" xfId="14396"/>
    <cellStyle name="Normal 2 2 2 5 2 2 6 2" xfId="14397"/>
    <cellStyle name="Normal 2 2 2 5 2 2 7" xfId="14398"/>
    <cellStyle name="Normal 2 2 2 5 2 2 7 2" xfId="14399"/>
    <cellStyle name="Normal 2 2 2 5 2 2 8" xfId="14400"/>
    <cellStyle name="Normal 2 2 2 5 2 2 8 2" xfId="14401"/>
    <cellStyle name="Normal 2 2 2 5 2 2 9" xfId="14402"/>
    <cellStyle name="Normal 2 2 2 5 2 2 9 2" xfId="14403"/>
    <cellStyle name="Normal 2 2 2 5 2 3" xfId="14404"/>
    <cellStyle name="Normal 2 2 2 5 2 3 2" xfId="14405"/>
    <cellStyle name="Normal 2 2 2 5 2 4" xfId="14406"/>
    <cellStyle name="Normal 2 2 2 5 2 4 2" xfId="14407"/>
    <cellStyle name="Normal 2 2 2 5 2 5" xfId="14408"/>
    <cellStyle name="Normal 2 2 2 5 2 5 2" xfId="14409"/>
    <cellStyle name="Normal 2 2 2 5 2 6" xfId="14410"/>
    <cellStyle name="Normal 2 2 2 5 2 6 2" xfId="14411"/>
    <cellStyle name="Normal 2 2 2 5 2 7" xfId="14412"/>
    <cellStyle name="Normal 2 2 2 5 2 7 2" xfId="14413"/>
    <cellStyle name="Normal 2 2 2 5 2 8" xfId="14414"/>
    <cellStyle name="Normal 2 2 2 5 2 8 2" xfId="14415"/>
    <cellStyle name="Normal 2 2 2 5 2 9" xfId="14416"/>
    <cellStyle name="Normal 2 2 2 5 2 9 2" xfId="14417"/>
    <cellStyle name="Normal 2 2 2 5 3" xfId="14418"/>
    <cellStyle name="Normal 2 2 2 5 3 10" xfId="14419"/>
    <cellStyle name="Normal 2 2 2 5 3 10 2" xfId="14420"/>
    <cellStyle name="Normal 2 2 2 5 3 11" xfId="14421"/>
    <cellStyle name="Normal 2 2 2 5 3 2" xfId="14422"/>
    <cellStyle name="Normal 2 2 2 5 3 2 2" xfId="14423"/>
    <cellStyle name="Normal 2 2 2 5 3 3" xfId="14424"/>
    <cellStyle name="Normal 2 2 2 5 3 3 2" xfId="14425"/>
    <cellStyle name="Normal 2 2 2 5 3 4" xfId="14426"/>
    <cellStyle name="Normal 2 2 2 5 3 4 2" xfId="14427"/>
    <cellStyle name="Normal 2 2 2 5 3 5" xfId="14428"/>
    <cellStyle name="Normal 2 2 2 5 3 5 2" xfId="14429"/>
    <cellStyle name="Normal 2 2 2 5 3 6" xfId="14430"/>
    <cellStyle name="Normal 2 2 2 5 3 6 2" xfId="14431"/>
    <cellStyle name="Normal 2 2 2 5 3 7" xfId="14432"/>
    <cellStyle name="Normal 2 2 2 5 3 7 2" xfId="14433"/>
    <cellStyle name="Normal 2 2 2 5 3 8" xfId="14434"/>
    <cellStyle name="Normal 2 2 2 5 3 8 2" xfId="14435"/>
    <cellStyle name="Normal 2 2 2 5 3 9" xfId="14436"/>
    <cellStyle name="Normal 2 2 2 5 3 9 2" xfId="14437"/>
    <cellStyle name="Normal 2 2 2 5 4" xfId="14438"/>
    <cellStyle name="Normal 2 2 2 5 4 2" xfId="14439"/>
    <cellStyle name="Normal 2 2 2 5 5" xfId="14440"/>
    <cellStyle name="Normal 2 2 2 5 5 2" xfId="14441"/>
    <cellStyle name="Normal 2 2 2 5 6" xfId="14442"/>
    <cellStyle name="Normal 2 2 2 5 6 2" xfId="14443"/>
    <cellStyle name="Normal 2 2 2 5 7" xfId="14444"/>
    <cellStyle name="Normal 2 2 2 5 7 2" xfId="14445"/>
    <cellStyle name="Normal 2 2 2 5 8" xfId="14446"/>
    <cellStyle name="Normal 2 2 2 5 8 2" xfId="14447"/>
    <cellStyle name="Normal 2 2 2 5 9" xfId="14448"/>
    <cellStyle name="Normal 2 2 2 5 9 2" xfId="14449"/>
    <cellStyle name="Normal 2 2 2 6" xfId="14450"/>
    <cellStyle name="Normal 2 2 2 6 10" xfId="14451"/>
    <cellStyle name="Normal 2 2 2 6 10 2" xfId="14452"/>
    <cellStyle name="Normal 2 2 2 6 11" xfId="14453"/>
    <cellStyle name="Normal 2 2 2 6 11 2" xfId="14454"/>
    <cellStyle name="Normal 2 2 2 6 12" xfId="14455"/>
    <cellStyle name="Normal 2 2 2 6 12 2" xfId="14456"/>
    <cellStyle name="Normal 2 2 2 6 13" xfId="14457"/>
    <cellStyle name="Normal 2 2 2 6 2" xfId="14458"/>
    <cellStyle name="Normal 2 2 2 6 2 10" xfId="14459"/>
    <cellStyle name="Normal 2 2 2 6 2 10 2" xfId="14460"/>
    <cellStyle name="Normal 2 2 2 6 2 11" xfId="14461"/>
    <cellStyle name="Normal 2 2 2 6 2 11 2" xfId="14462"/>
    <cellStyle name="Normal 2 2 2 6 2 12" xfId="14463"/>
    <cellStyle name="Normal 2 2 2 6 2 2" xfId="14464"/>
    <cellStyle name="Normal 2 2 2 6 2 2 10" xfId="14465"/>
    <cellStyle name="Normal 2 2 2 6 2 2 10 2" xfId="14466"/>
    <cellStyle name="Normal 2 2 2 6 2 2 11" xfId="14467"/>
    <cellStyle name="Normal 2 2 2 6 2 2 2" xfId="14468"/>
    <cellStyle name="Normal 2 2 2 6 2 2 2 2" xfId="14469"/>
    <cellStyle name="Normal 2 2 2 6 2 2 3" xfId="14470"/>
    <cellStyle name="Normal 2 2 2 6 2 2 3 2" xfId="14471"/>
    <cellStyle name="Normal 2 2 2 6 2 2 4" xfId="14472"/>
    <cellStyle name="Normal 2 2 2 6 2 2 4 2" xfId="14473"/>
    <cellStyle name="Normal 2 2 2 6 2 2 5" xfId="14474"/>
    <cellStyle name="Normal 2 2 2 6 2 2 5 2" xfId="14475"/>
    <cellStyle name="Normal 2 2 2 6 2 2 6" xfId="14476"/>
    <cellStyle name="Normal 2 2 2 6 2 2 6 2" xfId="14477"/>
    <cellStyle name="Normal 2 2 2 6 2 2 7" xfId="14478"/>
    <cellStyle name="Normal 2 2 2 6 2 2 7 2" xfId="14479"/>
    <cellStyle name="Normal 2 2 2 6 2 2 8" xfId="14480"/>
    <cellStyle name="Normal 2 2 2 6 2 2 8 2" xfId="14481"/>
    <cellStyle name="Normal 2 2 2 6 2 2 9" xfId="14482"/>
    <cellStyle name="Normal 2 2 2 6 2 2 9 2" xfId="14483"/>
    <cellStyle name="Normal 2 2 2 6 2 3" xfId="14484"/>
    <cellStyle name="Normal 2 2 2 6 2 3 2" xfId="14485"/>
    <cellStyle name="Normal 2 2 2 6 2 4" xfId="14486"/>
    <cellStyle name="Normal 2 2 2 6 2 4 2" xfId="14487"/>
    <cellStyle name="Normal 2 2 2 6 2 5" xfId="14488"/>
    <cellStyle name="Normal 2 2 2 6 2 5 2" xfId="14489"/>
    <cellStyle name="Normal 2 2 2 6 2 6" xfId="14490"/>
    <cellStyle name="Normal 2 2 2 6 2 6 2" xfId="14491"/>
    <cellStyle name="Normal 2 2 2 6 2 7" xfId="14492"/>
    <cellStyle name="Normal 2 2 2 6 2 7 2" xfId="14493"/>
    <cellStyle name="Normal 2 2 2 6 2 8" xfId="14494"/>
    <cellStyle name="Normal 2 2 2 6 2 8 2" xfId="14495"/>
    <cellStyle name="Normal 2 2 2 6 2 9" xfId="14496"/>
    <cellStyle name="Normal 2 2 2 6 2 9 2" xfId="14497"/>
    <cellStyle name="Normal 2 2 2 6 3" xfId="14498"/>
    <cellStyle name="Normal 2 2 2 6 3 10" xfId="14499"/>
    <cellStyle name="Normal 2 2 2 6 3 10 2" xfId="14500"/>
    <cellStyle name="Normal 2 2 2 6 3 11" xfId="14501"/>
    <cellStyle name="Normal 2 2 2 6 3 2" xfId="14502"/>
    <cellStyle name="Normal 2 2 2 6 3 2 2" xfId="14503"/>
    <cellStyle name="Normal 2 2 2 6 3 3" xfId="14504"/>
    <cellStyle name="Normal 2 2 2 6 3 3 2" xfId="14505"/>
    <cellStyle name="Normal 2 2 2 6 3 4" xfId="14506"/>
    <cellStyle name="Normal 2 2 2 6 3 4 2" xfId="14507"/>
    <cellStyle name="Normal 2 2 2 6 3 5" xfId="14508"/>
    <cellStyle name="Normal 2 2 2 6 3 5 2" xfId="14509"/>
    <cellStyle name="Normal 2 2 2 6 3 6" xfId="14510"/>
    <cellStyle name="Normal 2 2 2 6 3 6 2" xfId="14511"/>
    <cellStyle name="Normal 2 2 2 6 3 7" xfId="14512"/>
    <cellStyle name="Normal 2 2 2 6 3 7 2" xfId="14513"/>
    <cellStyle name="Normal 2 2 2 6 3 8" xfId="14514"/>
    <cellStyle name="Normal 2 2 2 6 3 8 2" xfId="14515"/>
    <cellStyle name="Normal 2 2 2 6 3 9" xfId="14516"/>
    <cellStyle name="Normal 2 2 2 6 3 9 2" xfId="14517"/>
    <cellStyle name="Normal 2 2 2 6 4" xfId="14518"/>
    <cellStyle name="Normal 2 2 2 6 4 2" xfId="14519"/>
    <cellStyle name="Normal 2 2 2 6 5" xfId="14520"/>
    <cellStyle name="Normal 2 2 2 6 5 2" xfId="14521"/>
    <cellStyle name="Normal 2 2 2 6 6" xfId="14522"/>
    <cellStyle name="Normal 2 2 2 6 6 2" xfId="14523"/>
    <cellStyle name="Normal 2 2 2 6 7" xfId="14524"/>
    <cellStyle name="Normal 2 2 2 6 7 2" xfId="14525"/>
    <cellStyle name="Normal 2 2 2 6 8" xfId="14526"/>
    <cellStyle name="Normal 2 2 2 6 8 2" xfId="14527"/>
    <cellStyle name="Normal 2 2 2 6 9" xfId="14528"/>
    <cellStyle name="Normal 2 2 2 6 9 2" xfId="14529"/>
    <cellStyle name="Normal 2 2 2 7" xfId="14530"/>
    <cellStyle name="Normal 2 2 2 7 10" xfId="14531"/>
    <cellStyle name="Normal 2 2 2 7 10 2" xfId="14532"/>
    <cellStyle name="Normal 2 2 2 7 11" xfId="14533"/>
    <cellStyle name="Normal 2 2 2 7 11 2" xfId="14534"/>
    <cellStyle name="Normal 2 2 2 7 12" xfId="14535"/>
    <cellStyle name="Normal 2 2 2 7 12 2" xfId="14536"/>
    <cellStyle name="Normal 2 2 2 7 13" xfId="14537"/>
    <cellStyle name="Normal 2 2 2 7 2" xfId="14538"/>
    <cellStyle name="Normal 2 2 2 7 2 10" xfId="14539"/>
    <cellStyle name="Normal 2 2 2 7 2 10 2" xfId="14540"/>
    <cellStyle name="Normal 2 2 2 7 2 11" xfId="14541"/>
    <cellStyle name="Normal 2 2 2 7 2 11 2" xfId="14542"/>
    <cellStyle name="Normal 2 2 2 7 2 12" xfId="14543"/>
    <cellStyle name="Normal 2 2 2 7 2 2" xfId="14544"/>
    <cellStyle name="Normal 2 2 2 7 2 2 10" xfId="14545"/>
    <cellStyle name="Normal 2 2 2 7 2 2 10 2" xfId="14546"/>
    <cellStyle name="Normal 2 2 2 7 2 2 11" xfId="14547"/>
    <cellStyle name="Normal 2 2 2 7 2 2 2" xfId="14548"/>
    <cellStyle name="Normal 2 2 2 7 2 2 2 2" xfId="14549"/>
    <cellStyle name="Normal 2 2 2 7 2 2 3" xfId="14550"/>
    <cellStyle name="Normal 2 2 2 7 2 2 3 2" xfId="14551"/>
    <cellStyle name="Normal 2 2 2 7 2 2 4" xfId="14552"/>
    <cellStyle name="Normal 2 2 2 7 2 2 4 2" xfId="14553"/>
    <cellStyle name="Normal 2 2 2 7 2 2 5" xfId="14554"/>
    <cellStyle name="Normal 2 2 2 7 2 2 5 2" xfId="14555"/>
    <cellStyle name="Normal 2 2 2 7 2 2 6" xfId="14556"/>
    <cellStyle name="Normal 2 2 2 7 2 2 6 2" xfId="14557"/>
    <cellStyle name="Normal 2 2 2 7 2 2 7" xfId="14558"/>
    <cellStyle name="Normal 2 2 2 7 2 2 7 2" xfId="14559"/>
    <cellStyle name="Normal 2 2 2 7 2 2 8" xfId="14560"/>
    <cellStyle name="Normal 2 2 2 7 2 2 8 2" xfId="14561"/>
    <cellStyle name="Normal 2 2 2 7 2 2 9" xfId="14562"/>
    <cellStyle name="Normal 2 2 2 7 2 2 9 2" xfId="14563"/>
    <cellStyle name="Normal 2 2 2 7 2 3" xfId="14564"/>
    <cellStyle name="Normal 2 2 2 7 2 3 2" xfId="14565"/>
    <cellStyle name="Normal 2 2 2 7 2 4" xfId="14566"/>
    <cellStyle name="Normal 2 2 2 7 2 4 2" xfId="14567"/>
    <cellStyle name="Normal 2 2 2 7 2 5" xfId="14568"/>
    <cellStyle name="Normal 2 2 2 7 2 5 2" xfId="14569"/>
    <cellStyle name="Normal 2 2 2 7 2 6" xfId="14570"/>
    <cellStyle name="Normal 2 2 2 7 2 6 2" xfId="14571"/>
    <cellStyle name="Normal 2 2 2 7 2 7" xfId="14572"/>
    <cellStyle name="Normal 2 2 2 7 2 7 2" xfId="14573"/>
    <cellStyle name="Normal 2 2 2 7 2 8" xfId="14574"/>
    <cellStyle name="Normal 2 2 2 7 2 8 2" xfId="14575"/>
    <cellStyle name="Normal 2 2 2 7 2 9" xfId="14576"/>
    <cellStyle name="Normal 2 2 2 7 2 9 2" xfId="14577"/>
    <cellStyle name="Normal 2 2 2 7 3" xfId="14578"/>
    <cellStyle name="Normal 2 2 2 7 3 10" xfId="14579"/>
    <cellStyle name="Normal 2 2 2 7 3 10 2" xfId="14580"/>
    <cellStyle name="Normal 2 2 2 7 3 11" xfId="14581"/>
    <cellStyle name="Normal 2 2 2 7 3 2" xfId="14582"/>
    <cellStyle name="Normal 2 2 2 7 3 2 2" xfId="14583"/>
    <cellStyle name="Normal 2 2 2 7 3 3" xfId="14584"/>
    <cellStyle name="Normal 2 2 2 7 3 3 2" xfId="14585"/>
    <cellStyle name="Normal 2 2 2 7 3 4" xfId="14586"/>
    <cellStyle name="Normal 2 2 2 7 3 4 2" xfId="14587"/>
    <cellStyle name="Normal 2 2 2 7 3 5" xfId="14588"/>
    <cellStyle name="Normal 2 2 2 7 3 5 2" xfId="14589"/>
    <cellStyle name="Normal 2 2 2 7 3 6" xfId="14590"/>
    <cellStyle name="Normal 2 2 2 7 3 6 2" xfId="14591"/>
    <cellStyle name="Normal 2 2 2 7 3 7" xfId="14592"/>
    <cellStyle name="Normal 2 2 2 7 3 7 2" xfId="14593"/>
    <cellStyle name="Normal 2 2 2 7 3 8" xfId="14594"/>
    <cellStyle name="Normal 2 2 2 7 3 8 2" xfId="14595"/>
    <cellStyle name="Normal 2 2 2 7 3 9" xfId="14596"/>
    <cellStyle name="Normal 2 2 2 7 3 9 2" xfId="14597"/>
    <cellStyle name="Normal 2 2 2 7 4" xfId="14598"/>
    <cellStyle name="Normal 2 2 2 7 4 2" xfId="14599"/>
    <cellStyle name="Normal 2 2 2 7 5" xfId="14600"/>
    <cellStyle name="Normal 2 2 2 7 5 2" xfId="14601"/>
    <cellStyle name="Normal 2 2 2 7 6" xfId="14602"/>
    <cellStyle name="Normal 2 2 2 7 6 2" xfId="14603"/>
    <cellStyle name="Normal 2 2 2 7 7" xfId="14604"/>
    <cellStyle name="Normal 2 2 2 7 7 2" xfId="14605"/>
    <cellStyle name="Normal 2 2 2 7 8" xfId="14606"/>
    <cellStyle name="Normal 2 2 2 7 8 2" xfId="14607"/>
    <cellStyle name="Normal 2 2 2 7 9" xfId="14608"/>
    <cellStyle name="Normal 2 2 2 7 9 2" xfId="14609"/>
    <cellStyle name="Normal 2 2 2 8" xfId="14610"/>
    <cellStyle name="Normal 2 2 2 8 10" xfId="14611"/>
    <cellStyle name="Normal 2 2 2 8 10 2" xfId="14612"/>
    <cellStyle name="Normal 2 2 2 8 11" xfId="14613"/>
    <cellStyle name="Normal 2 2 2 8 11 2" xfId="14614"/>
    <cellStyle name="Normal 2 2 2 8 12" xfId="14615"/>
    <cellStyle name="Normal 2 2 2 8 12 2" xfId="14616"/>
    <cellStyle name="Normal 2 2 2 8 13" xfId="14617"/>
    <cellStyle name="Normal 2 2 2 8 2" xfId="14618"/>
    <cellStyle name="Normal 2 2 2 8 2 10" xfId="14619"/>
    <cellStyle name="Normal 2 2 2 8 2 10 2" xfId="14620"/>
    <cellStyle name="Normal 2 2 2 8 2 11" xfId="14621"/>
    <cellStyle name="Normal 2 2 2 8 2 11 2" xfId="14622"/>
    <cellStyle name="Normal 2 2 2 8 2 12" xfId="14623"/>
    <cellStyle name="Normal 2 2 2 8 2 2" xfId="14624"/>
    <cellStyle name="Normal 2 2 2 8 2 2 10" xfId="14625"/>
    <cellStyle name="Normal 2 2 2 8 2 2 10 2" xfId="14626"/>
    <cellStyle name="Normal 2 2 2 8 2 2 11" xfId="14627"/>
    <cellStyle name="Normal 2 2 2 8 2 2 2" xfId="14628"/>
    <cellStyle name="Normal 2 2 2 8 2 2 2 2" xfId="14629"/>
    <cellStyle name="Normal 2 2 2 8 2 2 3" xfId="14630"/>
    <cellStyle name="Normal 2 2 2 8 2 2 3 2" xfId="14631"/>
    <cellStyle name="Normal 2 2 2 8 2 2 4" xfId="14632"/>
    <cellStyle name="Normal 2 2 2 8 2 2 4 2" xfId="14633"/>
    <cellStyle name="Normal 2 2 2 8 2 2 5" xfId="14634"/>
    <cellStyle name="Normal 2 2 2 8 2 2 5 2" xfId="14635"/>
    <cellStyle name="Normal 2 2 2 8 2 2 6" xfId="14636"/>
    <cellStyle name="Normal 2 2 2 8 2 2 6 2" xfId="14637"/>
    <cellStyle name="Normal 2 2 2 8 2 2 7" xfId="14638"/>
    <cellStyle name="Normal 2 2 2 8 2 2 7 2" xfId="14639"/>
    <cellStyle name="Normal 2 2 2 8 2 2 8" xfId="14640"/>
    <cellStyle name="Normal 2 2 2 8 2 2 8 2" xfId="14641"/>
    <cellStyle name="Normal 2 2 2 8 2 2 9" xfId="14642"/>
    <cellStyle name="Normal 2 2 2 8 2 2 9 2" xfId="14643"/>
    <cellStyle name="Normal 2 2 2 8 2 3" xfId="14644"/>
    <cellStyle name="Normal 2 2 2 8 2 3 2" xfId="14645"/>
    <cellStyle name="Normal 2 2 2 8 2 4" xfId="14646"/>
    <cellStyle name="Normal 2 2 2 8 2 4 2" xfId="14647"/>
    <cellStyle name="Normal 2 2 2 8 2 5" xfId="14648"/>
    <cellStyle name="Normal 2 2 2 8 2 5 2" xfId="14649"/>
    <cellStyle name="Normal 2 2 2 8 2 6" xfId="14650"/>
    <cellStyle name="Normal 2 2 2 8 2 6 2" xfId="14651"/>
    <cellStyle name="Normal 2 2 2 8 2 7" xfId="14652"/>
    <cellStyle name="Normal 2 2 2 8 2 7 2" xfId="14653"/>
    <cellStyle name="Normal 2 2 2 8 2 8" xfId="14654"/>
    <cellStyle name="Normal 2 2 2 8 2 8 2" xfId="14655"/>
    <cellStyle name="Normal 2 2 2 8 2 9" xfId="14656"/>
    <cellStyle name="Normal 2 2 2 8 2 9 2" xfId="14657"/>
    <cellStyle name="Normal 2 2 2 8 3" xfId="14658"/>
    <cellStyle name="Normal 2 2 2 8 3 10" xfId="14659"/>
    <cellStyle name="Normal 2 2 2 8 3 10 2" xfId="14660"/>
    <cellStyle name="Normal 2 2 2 8 3 11" xfId="14661"/>
    <cellStyle name="Normal 2 2 2 8 3 2" xfId="14662"/>
    <cellStyle name="Normal 2 2 2 8 3 2 2" xfId="14663"/>
    <cellStyle name="Normal 2 2 2 8 3 3" xfId="14664"/>
    <cellStyle name="Normal 2 2 2 8 3 3 2" xfId="14665"/>
    <cellStyle name="Normal 2 2 2 8 3 4" xfId="14666"/>
    <cellStyle name="Normal 2 2 2 8 3 4 2" xfId="14667"/>
    <cellStyle name="Normal 2 2 2 8 3 5" xfId="14668"/>
    <cellStyle name="Normal 2 2 2 8 3 5 2" xfId="14669"/>
    <cellStyle name="Normal 2 2 2 8 3 6" xfId="14670"/>
    <cellStyle name="Normal 2 2 2 8 3 6 2" xfId="14671"/>
    <cellStyle name="Normal 2 2 2 8 3 7" xfId="14672"/>
    <cellStyle name="Normal 2 2 2 8 3 7 2" xfId="14673"/>
    <cellStyle name="Normal 2 2 2 8 3 8" xfId="14674"/>
    <cellStyle name="Normal 2 2 2 8 3 8 2" xfId="14675"/>
    <cellStyle name="Normal 2 2 2 8 3 9" xfId="14676"/>
    <cellStyle name="Normal 2 2 2 8 3 9 2" xfId="14677"/>
    <cellStyle name="Normal 2 2 2 8 4" xfId="14678"/>
    <cellStyle name="Normal 2 2 2 8 4 2" xfId="14679"/>
    <cellStyle name="Normal 2 2 2 8 5" xfId="14680"/>
    <cellStyle name="Normal 2 2 2 8 5 2" xfId="14681"/>
    <cellStyle name="Normal 2 2 2 8 6" xfId="14682"/>
    <cellStyle name="Normal 2 2 2 8 6 2" xfId="14683"/>
    <cellStyle name="Normal 2 2 2 8 7" xfId="14684"/>
    <cellStyle name="Normal 2 2 2 8 7 2" xfId="14685"/>
    <cellStyle name="Normal 2 2 2 8 8" xfId="14686"/>
    <cellStyle name="Normal 2 2 2 8 8 2" xfId="14687"/>
    <cellStyle name="Normal 2 2 2 8 9" xfId="14688"/>
    <cellStyle name="Normal 2 2 2 8 9 2" xfId="14689"/>
    <cellStyle name="Normal 2 2 2 9" xfId="14690"/>
    <cellStyle name="Normal 2 2 2 9 2" xfId="14691"/>
    <cellStyle name="Normal 2 2 2 9 2 10" xfId="14692"/>
    <cellStyle name="Normal 2 2 2 9 2 10 2" xfId="14693"/>
    <cellStyle name="Normal 2 2 2 9 2 11" xfId="14694"/>
    <cellStyle name="Normal 2 2 2 9 2 11 2" xfId="14695"/>
    <cellStyle name="Normal 2 2 2 9 2 12" xfId="14696"/>
    <cellStyle name="Normal 2 2 2 9 2 12 2" xfId="14697"/>
    <cellStyle name="Normal 2 2 2 9 2 13" xfId="14698"/>
    <cellStyle name="Normal 2 2 2 9 2 13 2" xfId="14699"/>
    <cellStyle name="Normal 2 2 2 9 2 14" xfId="14700"/>
    <cellStyle name="Normal 2 2 2 9 2 14 2" xfId="14701"/>
    <cellStyle name="Normal 2 2 2 9 2 15" xfId="14702"/>
    <cellStyle name="Normal 2 2 2 9 2 15 2" xfId="14703"/>
    <cellStyle name="Normal 2 2 2 9 2 16" xfId="14704"/>
    <cellStyle name="Normal 2 2 2 9 2 16 2" xfId="14705"/>
    <cellStyle name="Normal 2 2 2 9 2 17" xfId="14706"/>
    <cellStyle name="Normal 2 2 2 9 2 2" xfId="14707"/>
    <cellStyle name="Normal 2 2 2 9 2 2 2" xfId="14708"/>
    <cellStyle name="Normal 2 2 2 9 2 2 2 10" xfId="14709"/>
    <cellStyle name="Normal 2 2 2 9 2 2 2 10 2" xfId="14710"/>
    <cellStyle name="Normal 2 2 2 9 2 2 2 11" xfId="14711"/>
    <cellStyle name="Normal 2 2 2 9 2 2 2 11 2" xfId="14712"/>
    <cellStyle name="Normal 2 2 2 9 2 2 2 12" xfId="14713"/>
    <cellStyle name="Normal 2 2 2 9 2 2 2 12 2" xfId="14714"/>
    <cellStyle name="Normal 2 2 2 9 2 2 2 13" xfId="14715"/>
    <cellStyle name="Normal 2 2 2 9 2 2 2 2" xfId="14716"/>
    <cellStyle name="Normal 2 2 2 9 2 2 2 2 10" xfId="14717"/>
    <cellStyle name="Normal 2 2 2 9 2 2 2 2 10 2" xfId="14718"/>
    <cellStyle name="Normal 2 2 2 9 2 2 2 2 11" xfId="14719"/>
    <cellStyle name="Normal 2 2 2 9 2 2 2 2 11 2" xfId="14720"/>
    <cellStyle name="Normal 2 2 2 9 2 2 2 2 12" xfId="14721"/>
    <cellStyle name="Normal 2 2 2 9 2 2 2 2 2" xfId="14722"/>
    <cellStyle name="Normal 2 2 2 9 2 2 2 2 2 10" xfId="14723"/>
    <cellStyle name="Normal 2 2 2 9 2 2 2 2 2 10 2" xfId="14724"/>
    <cellStyle name="Normal 2 2 2 9 2 2 2 2 2 11" xfId="14725"/>
    <cellStyle name="Normal 2 2 2 9 2 2 2 2 2 2" xfId="14726"/>
    <cellStyle name="Normal 2 2 2 9 2 2 2 2 2 2 2" xfId="14727"/>
    <cellStyle name="Normal 2 2 2 9 2 2 2 2 2 3" xfId="14728"/>
    <cellStyle name="Normal 2 2 2 9 2 2 2 2 2 3 2" xfId="14729"/>
    <cellStyle name="Normal 2 2 2 9 2 2 2 2 2 4" xfId="14730"/>
    <cellStyle name="Normal 2 2 2 9 2 2 2 2 2 4 2" xfId="14731"/>
    <cellStyle name="Normal 2 2 2 9 2 2 2 2 2 5" xfId="14732"/>
    <cellStyle name="Normal 2 2 2 9 2 2 2 2 2 5 2" xfId="14733"/>
    <cellStyle name="Normal 2 2 2 9 2 2 2 2 2 6" xfId="14734"/>
    <cellStyle name="Normal 2 2 2 9 2 2 2 2 2 6 2" xfId="14735"/>
    <cellStyle name="Normal 2 2 2 9 2 2 2 2 2 7" xfId="14736"/>
    <cellStyle name="Normal 2 2 2 9 2 2 2 2 2 7 2" xfId="14737"/>
    <cellStyle name="Normal 2 2 2 9 2 2 2 2 2 8" xfId="14738"/>
    <cellStyle name="Normal 2 2 2 9 2 2 2 2 2 8 2" xfId="14739"/>
    <cellStyle name="Normal 2 2 2 9 2 2 2 2 2 9" xfId="14740"/>
    <cellStyle name="Normal 2 2 2 9 2 2 2 2 2 9 2" xfId="14741"/>
    <cellStyle name="Normal 2 2 2 9 2 2 2 2 3" xfId="14742"/>
    <cellStyle name="Normal 2 2 2 9 2 2 2 2 3 2" xfId="14743"/>
    <cellStyle name="Normal 2 2 2 9 2 2 2 2 4" xfId="14744"/>
    <cellStyle name="Normal 2 2 2 9 2 2 2 2 4 2" xfId="14745"/>
    <cellStyle name="Normal 2 2 2 9 2 2 2 2 5" xfId="14746"/>
    <cellStyle name="Normal 2 2 2 9 2 2 2 2 5 2" xfId="14747"/>
    <cellStyle name="Normal 2 2 2 9 2 2 2 2 6" xfId="14748"/>
    <cellStyle name="Normal 2 2 2 9 2 2 2 2 6 2" xfId="14749"/>
    <cellStyle name="Normal 2 2 2 9 2 2 2 2 7" xfId="14750"/>
    <cellStyle name="Normal 2 2 2 9 2 2 2 2 7 2" xfId="14751"/>
    <cellStyle name="Normal 2 2 2 9 2 2 2 2 8" xfId="14752"/>
    <cellStyle name="Normal 2 2 2 9 2 2 2 2 8 2" xfId="14753"/>
    <cellStyle name="Normal 2 2 2 9 2 2 2 2 9" xfId="14754"/>
    <cellStyle name="Normal 2 2 2 9 2 2 2 2 9 2" xfId="14755"/>
    <cellStyle name="Normal 2 2 2 9 2 2 2 3" xfId="14756"/>
    <cellStyle name="Normal 2 2 2 9 2 2 2 3 10" xfId="14757"/>
    <cellStyle name="Normal 2 2 2 9 2 2 2 3 10 2" xfId="14758"/>
    <cellStyle name="Normal 2 2 2 9 2 2 2 3 11" xfId="14759"/>
    <cellStyle name="Normal 2 2 2 9 2 2 2 3 2" xfId="14760"/>
    <cellStyle name="Normal 2 2 2 9 2 2 2 3 2 2" xfId="14761"/>
    <cellStyle name="Normal 2 2 2 9 2 2 2 3 3" xfId="14762"/>
    <cellStyle name="Normal 2 2 2 9 2 2 2 3 3 2" xfId="14763"/>
    <cellStyle name="Normal 2 2 2 9 2 2 2 3 4" xfId="14764"/>
    <cellStyle name="Normal 2 2 2 9 2 2 2 3 4 2" xfId="14765"/>
    <cellStyle name="Normal 2 2 2 9 2 2 2 3 5" xfId="14766"/>
    <cellStyle name="Normal 2 2 2 9 2 2 2 3 5 2" xfId="14767"/>
    <cellStyle name="Normal 2 2 2 9 2 2 2 3 6" xfId="14768"/>
    <cellStyle name="Normal 2 2 2 9 2 2 2 3 6 2" xfId="14769"/>
    <cellStyle name="Normal 2 2 2 9 2 2 2 3 7" xfId="14770"/>
    <cellStyle name="Normal 2 2 2 9 2 2 2 3 7 2" xfId="14771"/>
    <cellStyle name="Normal 2 2 2 9 2 2 2 3 8" xfId="14772"/>
    <cellStyle name="Normal 2 2 2 9 2 2 2 3 8 2" xfId="14773"/>
    <cellStyle name="Normal 2 2 2 9 2 2 2 3 9" xfId="14774"/>
    <cellStyle name="Normal 2 2 2 9 2 2 2 3 9 2" xfId="14775"/>
    <cellStyle name="Normal 2 2 2 9 2 2 2 4" xfId="14776"/>
    <cellStyle name="Normal 2 2 2 9 2 2 2 4 2" xfId="14777"/>
    <cellStyle name="Normal 2 2 2 9 2 2 2 5" xfId="14778"/>
    <cellStyle name="Normal 2 2 2 9 2 2 2 5 2" xfId="14779"/>
    <cellStyle name="Normal 2 2 2 9 2 2 2 6" xfId="14780"/>
    <cellStyle name="Normal 2 2 2 9 2 2 2 6 2" xfId="14781"/>
    <cellStyle name="Normal 2 2 2 9 2 2 2 7" xfId="14782"/>
    <cellStyle name="Normal 2 2 2 9 2 2 2 7 2" xfId="14783"/>
    <cellStyle name="Normal 2 2 2 9 2 2 2 8" xfId="14784"/>
    <cellStyle name="Normal 2 2 2 9 2 2 2 8 2" xfId="14785"/>
    <cellStyle name="Normal 2 2 2 9 2 2 2 9" xfId="14786"/>
    <cellStyle name="Normal 2 2 2 9 2 2 2 9 2" xfId="14787"/>
    <cellStyle name="Normal 2 2 2 9 2 2 3" xfId="14788"/>
    <cellStyle name="Normal 2 2 2 9 2 2 3 10" xfId="14789"/>
    <cellStyle name="Normal 2 2 2 9 2 2 3 10 2" xfId="14790"/>
    <cellStyle name="Normal 2 2 2 9 2 2 3 11" xfId="14791"/>
    <cellStyle name="Normal 2 2 2 9 2 2 3 11 2" xfId="14792"/>
    <cellStyle name="Normal 2 2 2 9 2 2 3 12" xfId="14793"/>
    <cellStyle name="Normal 2 2 2 9 2 2 3 12 2" xfId="14794"/>
    <cellStyle name="Normal 2 2 2 9 2 2 3 13" xfId="14795"/>
    <cellStyle name="Normal 2 2 2 9 2 2 3 2" xfId="14796"/>
    <cellStyle name="Normal 2 2 2 9 2 2 3 2 10" xfId="14797"/>
    <cellStyle name="Normal 2 2 2 9 2 2 3 2 10 2" xfId="14798"/>
    <cellStyle name="Normal 2 2 2 9 2 2 3 2 11" xfId="14799"/>
    <cellStyle name="Normal 2 2 2 9 2 2 3 2 11 2" xfId="14800"/>
    <cellStyle name="Normal 2 2 2 9 2 2 3 2 12" xfId="14801"/>
    <cellStyle name="Normal 2 2 2 9 2 2 3 2 2" xfId="14802"/>
    <cellStyle name="Normal 2 2 2 9 2 2 3 2 2 10" xfId="14803"/>
    <cellStyle name="Normal 2 2 2 9 2 2 3 2 2 10 2" xfId="14804"/>
    <cellStyle name="Normal 2 2 2 9 2 2 3 2 2 11" xfId="14805"/>
    <cellStyle name="Normal 2 2 2 9 2 2 3 2 2 2" xfId="14806"/>
    <cellStyle name="Normal 2 2 2 9 2 2 3 2 2 2 2" xfId="14807"/>
    <cellStyle name="Normal 2 2 2 9 2 2 3 2 2 3" xfId="14808"/>
    <cellStyle name="Normal 2 2 2 9 2 2 3 2 2 3 2" xfId="14809"/>
    <cellStyle name="Normal 2 2 2 9 2 2 3 2 2 4" xfId="14810"/>
    <cellStyle name="Normal 2 2 2 9 2 2 3 2 2 4 2" xfId="14811"/>
    <cellStyle name="Normal 2 2 2 9 2 2 3 2 2 5" xfId="14812"/>
    <cellStyle name="Normal 2 2 2 9 2 2 3 2 2 5 2" xfId="14813"/>
    <cellStyle name="Normal 2 2 2 9 2 2 3 2 2 6" xfId="14814"/>
    <cellStyle name="Normal 2 2 2 9 2 2 3 2 2 6 2" xfId="14815"/>
    <cellStyle name="Normal 2 2 2 9 2 2 3 2 2 7" xfId="14816"/>
    <cellStyle name="Normal 2 2 2 9 2 2 3 2 2 7 2" xfId="14817"/>
    <cellStyle name="Normal 2 2 2 9 2 2 3 2 2 8" xfId="14818"/>
    <cellStyle name="Normal 2 2 2 9 2 2 3 2 2 8 2" xfId="14819"/>
    <cellStyle name="Normal 2 2 2 9 2 2 3 2 2 9" xfId="14820"/>
    <cellStyle name="Normal 2 2 2 9 2 2 3 2 2 9 2" xfId="14821"/>
    <cellStyle name="Normal 2 2 2 9 2 2 3 2 3" xfId="14822"/>
    <cellStyle name="Normal 2 2 2 9 2 2 3 2 3 2" xfId="14823"/>
    <cellStyle name="Normal 2 2 2 9 2 2 3 2 4" xfId="14824"/>
    <cellStyle name="Normal 2 2 2 9 2 2 3 2 4 2" xfId="14825"/>
    <cellStyle name="Normal 2 2 2 9 2 2 3 2 5" xfId="14826"/>
    <cellStyle name="Normal 2 2 2 9 2 2 3 2 5 2" xfId="14827"/>
    <cellStyle name="Normal 2 2 2 9 2 2 3 2 6" xfId="14828"/>
    <cellStyle name="Normal 2 2 2 9 2 2 3 2 6 2" xfId="14829"/>
    <cellStyle name="Normal 2 2 2 9 2 2 3 2 7" xfId="14830"/>
    <cellStyle name="Normal 2 2 2 9 2 2 3 2 7 2" xfId="14831"/>
    <cellStyle name="Normal 2 2 2 9 2 2 3 2 8" xfId="14832"/>
    <cellStyle name="Normal 2 2 2 9 2 2 3 2 8 2" xfId="14833"/>
    <cellStyle name="Normal 2 2 2 9 2 2 3 2 9" xfId="14834"/>
    <cellStyle name="Normal 2 2 2 9 2 2 3 2 9 2" xfId="14835"/>
    <cellStyle name="Normal 2 2 2 9 2 2 3 3" xfId="14836"/>
    <cellStyle name="Normal 2 2 2 9 2 2 3 3 10" xfId="14837"/>
    <cellStyle name="Normal 2 2 2 9 2 2 3 3 10 2" xfId="14838"/>
    <cellStyle name="Normal 2 2 2 9 2 2 3 3 11" xfId="14839"/>
    <cellStyle name="Normal 2 2 2 9 2 2 3 3 2" xfId="14840"/>
    <cellStyle name="Normal 2 2 2 9 2 2 3 3 2 2" xfId="14841"/>
    <cellStyle name="Normal 2 2 2 9 2 2 3 3 3" xfId="14842"/>
    <cellStyle name="Normal 2 2 2 9 2 2 3 3 3 2" xfId="14843"/>
    <cellStyle name="Normal 2 2 2 9 2 2 3 3 4" xfId="14844"/>
    <cellStyle name="Normal 2 2 2 9 2 2 3 3 4 2" xfId="14845"/>
    <cellStyle name="Normal 2 2 2 9 2 2 3 3 5" xfId="14846"/>
    <cellStyle name="Normal 2 2 2 9 2 2 3 3 5 2" xfId="14847"/>
    <cellStyle name="Normal 2 2 2 9 2 2 3 3 6" xfId="14848"/>
    <cellStyle name="Normal 2 2 2 9 2 2 3 3 6 2" xfId="14849"/>
    <cellStyle name="Normal 2 2 2 9 2 2 3 3 7" xfId="14850"/>
    <cellStyle name="Normal 2 2 2 9 2 2 3 3 7 2" xfId="14851"/>
    <cellStyle name="Normal 2 2 2 9 2 2 3 3 8" xfId="14852"/>
    <cellStyle name="Normal 2 2 2 9 2 2 3 3 8 2" xfId="14853"/>
    <cellStyle name="Normal 2 2 2 9 2 2 3 3 9" xfId="14854"/>
    <cellStyle name="Normal 2 2 2 9 2 2 3 3 9 2" xfId="14855"/>
    <cellStyle name="Normal 2 2 2 9 2 2 3 4" xfId="14856"/>
    <cellStyle name="Normal 2 2 2 9 2 2 3 4 2" xfId="14857"/>
    <cellStyle name="Normal 2 2 2 9 2 2 3 5" xfId="14858"/>
    <cellStyle name="Normal 2 2 2 9 2 2 3 5 2" xfId="14859"/>
    <cellStyle name="Normal 2 2 2 9 2 2 3 6" xfId="14860"/>
    <cellStyle name="Normal 2 2 2 9 2 2 3 6 2" xfId="14861"/>
    <cellStyle name="Normal 2 2 2 9 2 2 3 7" xfId="14862"/>
    <cellStyle name="Normal 2 2 2 9 2 2 3 7 2" xfId="14863"/>
    <cellStyle name="Normal 2 2 2 9 2 2 3 8" xfId="14864"/>
    <cellStyle name="Normal 2 2 2 9 2 2 3 8 2" xfId="14865"/>
    <cellStyle name="Normal 2 2 2 9 2 2 3 9" xfId="14866"/>
    <cellStyle name="Normal 2 2 2 9 2 2 3 9 2" xfId="14867"/>
    <cellStyle name="Normal 2 2 2 9 2 2 4" xfId="14868"/>
    <cellStyle name="Normal 2 2 2 9 2 2 4 10" xfId="14869"/>
    <cellStyle name="Normal 2 2 2 9 2 2 4 10 2" xfId="14870"/>
    <cellStyle name="Normal 2 2 2 9 2 2 4 11" xfId="14871"/>
    <cellStyle name="Normal 2 2 2 9 2 2 4 11 2" xfId="14872"/>
    <cellStyle name="Normal 2 2 2 9 2 2 4 12" xfId="14873"/>
    <cellStyle name="Normal 2 2 2 9 2 2 4 12 2" xfId="14874"/>
    <cellStyle name="Normal 2 2 2 9 2 2 4 13" xfId="14875"/>
    <cellStyle name="Normal 2 2 2 9 2 2 4 2" xfId="14876"/>
    <cellStyle name="Normal 2 2 2 9 2 2 4 2 10" xfId="14877"/>
    <cellStyle name="Normal 2 2 2 9 2 2 4 2 10 2" xfId="14878"/>
    <cellStyle name="Normal 2 2 2 9 2 2 4 2 11" xfId="14879"/>
    <cellStyle name="Normal 2 2 2 9 2 2 4 2 11 2" xfId="14880"/>
    <cellStyle name="Normal 2 2 2 9 2 2 4 2 12" xfId="14881"/>
    <cellStyle name="Normal 2 2 2 9 2 2 4 2 2" xfId="14882"/>
    <cellStyle name="Normal 2 2 2 9 2 2 4 2 2 10" xfId="14883"/>
    <cellStyle name="Normal 2 2 2 9 2 2 4 2 2 10 2" xfId="14884"/>
    <cellStyle name="Normal 2 2 2 9 2 2 4 2 2 11" xfId="14885"/>
    <cellStyle name="Normal 2 2 2 9 2 2 4 2 2 2" xfId="14886"/>
    <cellStyle name="Normal 2 2 2 9 2 2 4 2 2 2 2" xfId="14887"/>
    <cellStyle name="Normal 2 2 2 9 2 2 4 2 2 3" xfId="14888"/>
    <cellStyle name="Normal 2 2 2 9 2 2 4 2 2 3 2" xfId="14889"/>
    <cellStyle name="Normal 2 2 2 9 2 2 4 2 2 4" xfId="14890"/>
    <cellStyle name="Normal 2 2 2 9 2 2 4 2 2 4 2" xfId="14891"/>
    <cellStyle name="Normal 2 2 2 9 2 2 4 2 2 5" xfId="14892"/>
    <cellStyle name="Normal 2 2 2 9 2 2 4 2 2 5 2" xfId="14893"/>
    <cellStyle name="Normal 2 2 2 9 2 2 4 2 2 6" xfId="14894"/>
    <cellStyle name="Normal 2 2 2 9 2 2 4 2 2 6 2" xfId="14895"/>
    <cellStyle name="Normal 2 2 2 9 2 2 4 2 2 7" xfId="14896"/>
    <cellStyle name="Normal 2 2 2 9 2 2 4 2 2 7 2" xfId="14897"/>
    <cellStyle name="Normal 2 2 2 9 2 2 4 2 2 8" xfId="14898"/>
    <cellStyle name="Normal 2 2 2 9 2 2 4 2 2 8 2" xfId="14899"/>
    <cellStyle name="Normal 2 2 2 9 2 2 4 2 2 9" xfId="14900"/>
    <cellStyle name="Normal 2 2 2 9 2 2 4 2 2 9 2" xfId="14901"/>
    <cellStyle name="Normal 2 2 2 9 2 2 4 2 3" xfId="14902"/>
    <cellStyle name="Normal 2 2 2 9 2 2 4 2 3 2" xfId="14903"/>
    <cellStyle name="Normal 2 2 2 9 2 2 4 2 4" xfId="14904"/>
    <cellStyle name="Normal 2 2 2 9 2 2 4 2 4 2" xfId="14905"/>
    <cellStyle name="Normal 2 2 2 9 2 2 4 2 5" xfId="14906"/>
    <cellStyle name="Normal 2 2 2 9 2 2 4 2 5 2" xfId="14907"/>
    <cellStyle name="Normal 2 2 2 9 2 2 4 2 6" xfId="14908"/>
    <cellStyle name="Normal 2 2 2 9 2 2 4 2 6 2" xfId="14909"/>
    <cellStyle name="Normal 2 2 2 9 2 2 4 2 7" xfId="14910"/>
    <cellStyle name="Normal 2 2 2 9 2 2 4 2 7 2" xfId="14911"/>
    <cellStyle name="Normal 2 2 2 9 2 2 4 2 8" xfId="14912"/>
    <cellStyle name="Normal 2 2 2 9 2 2 4 2 8 2" xfId="14913"/>
    <cellStyle name="Normal 2 2 2 9 2 2 4 2 9" xfId="14914"/>
    <cellStyle name="Normal 2 2 2 9 2 2 4 2 9 2" xfId="14915"/>
    <cellStyle name="Normal 2 2 2 9 2 2 4 3" xfId="14916"/>
    <cellStyle name="Normal 2 2 2 9 2 2 4 3 10" xfId="14917"/>
    <cellStyle name="Normal 2 2 2 9 2 2 4 3 10 2" xfId="14918"/>
    <cellStyle name="Normal 2 2 2 9 2 2 4 3 11" xfId="14919"/>
    <cellStyle name="Normal 2 2 2 9 2 2 4 3 2" xfId="14920"/>
    <cellStyle name="Normal 2 2 2 9 2 2 4 3 2 2" xfId="14921"/>
    <cellStyle name="Normal 2 2 2 9 2 2 4 3 3" xfId="14922"/>
    <cellStyle name="Normal 2 2 2 9 2 2 4 3 3 2" xfId="14923"/>
    <cellStyle name="Normal 2 2 2 9 2 2 4 3 4" xfId="14924"/>
    <cellStyle name="Normal 2 2 2 9 2 2 4 3 4 2" xfId="14925"/>
    <cellStyle name="Normal 2 2 2 9 2 2 4 3 5" xfId="14926"/>
    <cellStyle name="Normal 2 2 2 9 2 2 4 3 5 2" xfId="14927"/>
    <cellStyle name="Normal 2 2 2 9 2 2 4 3 6" xfId="14928"/>
    <cellStyle name="Normal 2 2 2 9 2 2 4 3 6 2" xfId="14929"/>
    <cellStyle name="Normal 2 2 2 9 2 2 4 3 7" xfId="14930"/>
    <cellStyle name="Normal 2 2 2 9 2 2 4 3 7 2" xfId="14931"/>
    <cellStyle name="Normal 2 2 2 9 2 2 4 3 8" xfId="14932"/>
    <cellStyle name="Normal 2 2 2 9 2 2 4 3 8 2" xfId="14933"/>
    <cellStyle name="Normal 2 2 2 9 2 2 4 3 9" xfId="14934"/>
    <cellStyle name="Normal 2 2 2 9 2 2 4 3 9 2" xfId="14935"/>
    <cellStyle name="Normal 2 2 2 9 2 2 4 4" xfId="14936"/>
    <cellStyle name="Normal 2 2 2 9 2 2 4 4 2" xfId="14937"/>
    <cellStyle name="Normal 2 2 2 9 2 2 4 5" xfId="14938"/>
    <cellStyle name="Normal 2 2 2 9 2 2 4 5 2" xfId="14939"/>
    <cellStyle name="Normal 2 2 2 9 2 2 4 6" xfId="14940"/>
    <cellStyle name="Normal 2 2 2 9 2 2 4 6 2" xfId="14941"/>
    <cellStyle name="Normal 2 2 2 9 2 2 4 7" xfId="14942"/>
    <cellStyle name="Normal 2 2 2 9 2 2 4 7 2" xfId="14943"/>
    <cellStyle name="Normal 2 2 2 9 2 2 4 8" xfId="14944"/>
    <cellStyle name="Normal 2 2 2 9 2 2 4 8 2" xfId="14945"/>
    <cellStyle name="Normal 2 2 2 9 2 2 4 9" xfId="14946"/>
    <cellStyle name="Normal 2 2 2 9 2 2 4 9 2" xfId="14947"/>
    <cellStyle name="Normal 2 2 2 9 2 2 5" xfId="14948"/>
    <cellStyle name="Normal 2 2 2 9 2 2 5 10" xfId="14949"/>
    <cellStyle name="Normal 2 2 2 9 2 2 5 10 2" xfId="14950"/>
    <cellStyle name="Normal 2 2 2 9 2 2 5 11" xfId="14951"/>
    <cellStyle name="Normal 2 2 2 9 2 2 5 11 2" xfId="14952"/>
    <cellStyle name="Normal 2 2 2 9 2 2 5 12" xfId="14953"/>
    <cellStyle name="Normal 2 2 2 9 2 2 5 12 2" xfId="14954"/>
    <cellStyle name="Normal 2 2 2 9 2 2 5 13" xfId="14955"/>
    <cellStyle name="Normal 2 2 2 9 2 2 5 2" xfId="14956"/>
    <cellStyle name="Normal 2 2 2 9 2 2 5 2 10" xfId="14957"/>
    <cellStyle name="Normal 2 2 2 9 2 2 5 2 10 2" xfId="14958"/>
    <cellStyle name="Normal 2 2 2 9 2 2 5 2 11" xfId="14959"/>
    <cellStyle name="Normal 2 2 2 9 2 2 5 2 11 2" xfId="14960"/>
    <cellStyle name="Normal 2 2 2 9 2 2 5 2 12" xfId="14961"/>
    <cellStyle name="Normal 2 2 2 9 2 2 5 2 2" xfId="14962"/>
    <cellStyle name="Normal 2 2 2 9 2 2 5 2 2 10" xfId="14963"/>
    <cellStyle name="Normal 2 2 2 9 2 2 5 2 2 10 2" xfId="14964"/>
    <cellStyle name="Normal 2 2 2 9 2 2 5 2 2 11" xfId="14965"/>
    <cellStyle name="Normal 2 2 2 9 2 2 5 2 2 2" xfId="14966"/>
    <cellStyle name="Normal 2 2 2 9 2 2 5 2 2 2 2" xfId="14967"/>
    <cellStyle name="Normal 2 2 2 9 2 2 5 2 2 3" xfId="14968"/>
    <cellStyle name="Normal 2 2 2 9 2 2 5 2 2 3 2" xfId="14969"/>
    <cellStyle name="Normal 2 2 2 9 2 2 5 2 2 4" xfId="14970"/>
    <cellStyle name="Normal 2 2 2 9 2 2 5 2 2 4 2" xfId="14971"/>
    <cellStyle name="Normal 2 2 2 9 2 2 5 2 2 5" xfId="14972"/>
    <cellStyle name="Normal 2 2 2 9 2 2 5 2 2 5 2" xfId="14973"/>
    <cellStyle name="Normal 2 2 2 9 2 2 5 2 2 6" xfId="14974"/>
    <cellStyle name="Normal 2 2 2 9 2 2 5 2 2 6 2" xfId="14975"/>
    <cellStyle name="Normal 2 2 2 9 2 2 5 2 2 7" xfId="14976"/>
    <cellStyle name="Normal 2 2 2 9 2 2 5 2 2 7 2" xfId="14977"/>
    <cellStyle name="Normal 2 2 2 9 2 2 5 2 2 8" xfId="14978"/>
    <cellStyle name="Normal 2 2 2 9 2 2 5 2 2 8 2" xfId="14979"/>
    <cellStyle name="Normal 2 2 2 9 2 2 5 2 2 9" xfId="14980"/>
    <cellStyle name="Normal 2 2 2 9 2 2 5 2 2 9 2" xfId="14981"/>
    <cellStyle name="Normal 2 2 2 9 2 2 5 2 3" xfId="14982"/>
    <cellStyle name="Normal 2 2 2 9 2 2 5 2 3 2" xfId="14983"/>
    <cellStyle name="Normal 2 2 2 9 2 2 5 2 4" xfId="14984"/>
    <cellStyle name="Normal 2 2 2 9 2 2 5 2 4 2" xfId="14985"/>
    <cellStyle name="Normal 2 2 2 9 2 2 5 2 5" xfId="14986"/>
    <cellStyle name="Normal 2 2 2 9 2 2 5 2 5 2" xfId="14987"/>
    <cellStyle name="Normal 2 2 2 9 2 2 5 2 6" xfId="14988"/>
    <cellStyle name="Normal 2 2 2 9 2 2 5 2 6 2" xfId="14989"/>
    <cellStyle name="Normal 2 2 2 9 2 2 5 2 7" xfId="14990"/>
    <cellStyle name="Normal 2 2 2 9 2 2 5 2 7 2" xfId="14991"/>
    <cellStyle name="Normal 2 2 2 9 2 2 5 2 8" xfId="14992"/>
    <cellStyle name="Normal 2 2 2 9 2 2 5 2 8 2" xfId="14993"/>
    <cellStyle name="Normal 2 2 2 9 2 2 5 2 9" xfId="14994"/>
    <cellStyle name="Normal 2 2 2 9 2 2 5 2 9 2" xfId="14995"/>
    <cellStyle name="Normal 2 2 2 9 2 2 5 3" xfId="14996"/>
    <cellStyle name="Normal 2 2 2 9 2 2 5 3 10" xfId="14997"/>
    <cellStyle name="Normal 2 2 2 9 2 2 5 3 10 2" xfId="14998"/>
    <cellStyle name="Normal 2 2 2 9 2 2 5 3 11" xfId="14999"/>
    <cellStyle name="Normal 2 2 2 9 2 2 5 3 2" xfId="15000"/>
    <cellStyle name="Normal 2 2 2 9 2 2 5 3 2 2" xfId="15001"/>
    <cellStyle name="Normal 2 2 2 9 2 2 5 3 3" xfId="15002"/>
    <cellStyle name="Normal 2 2 2 9 2 2 5 3 3 2" xfId="15003"/>
    <cellStyle name="Normal 2 2 2 9 2 2 5 3 4" xfId="15004"/>
    <cellStyle name="Normal 2 2 2 9 2 2 5 3 4 2" xfId="15005"/>
    <cellStyle name="Normal 2 2 2 9 2 2 5 3 5" xfId="15006"/>
    <cellStyle name="Normal 2 2 2 9 2 2 5 3 5 2" xfId="15007"/>
    <cellStyle name="Normal 2 2 2 9 2 2 5 3 6" xfId="15008"/>
    <cellStyle name="Normal 2 2 2 9 2 2 5 3 6 2" xfId="15009"/>
    <cellStyle name="Normal 2 2 2 9 2 2 5 3 7" xfId="15010"/>
    <cellStyle name="Normal 2 2 2 9 2 2 5 3 7 2" xfId="15011"/>
    <cellStyle name="Normal 2 2 2 9 2 2 5 3 8" xfId="15012"/>
    <cellStyle name="Normal 2 2 2 9 2 2 5 3 8 2" xfId="15013"/>
    <cellStyle name="Normal 2 2 2 9 2 2 5 3 9" xfId="15014"/>
    <cellStyle name="Normal 2 2 2 9 2 2 5 3 9 2" xfId="15015"/>
    <cellStyle name="Normal 2 2 2 9 2 2 5 4" xfId="15016"/>
    <cellStyle name="Normal 2 2 2 9 2 2 5 4 2" xfId="15017"/>
    <cellStyle name="Normal 2 2 2 9 2 2 5 5" xfId="15018"/>
    <cellStyle name="Normal 2 2 2 9 2 2 5 5 2" xfId="15019"/>
    <cellStyle name="Normal 2 2 2 9 2 2 5 6" xfId="15020"/>
    <cellStyle name="Normal 2 2 2 9 2 2 5 6 2" xfId="15021"/>
    <cellStyle name="Normal 2 2 2 9 2 2 5 7" xfId="15022"/>
    <cellStyle name="Normal 2 2 2 9 2 2 5 7 2" xfId="15023"/>
    <cellStyle name="Normal 2 2 2 9 2 2 5 8" xfId="15024"/>
    <cellStyle name="Normal 2 2 2 9 2 2 5 8 2" xfId="15025"/>
    <cellStyle name="Normal 2 2 2 9 2 2 5 9" xfId="15026"/>
    <cellStyle name="Normal 2 2 2 9 2 2 5 9 2" xfId="15027"/>
    <cellStyle name="Normal 2 2 2 9 2 2 6" xfId="15028"/>
    <cellStyle name="Normal 2 2 2 9 2 3" xfId="15029"/>
    <cellStyle name="Normal 2 2 2 9 2 3 2" xfId="15030"/>
    <cellStyle name="Normal 2 2 2 9 2 4" xfId="15031"/>
    <cellStyle name="Normal 2 2 2 9 2 4 2" xfId="15032"/>
    <cellStyle name="Normal 2 2 2 9 2 5" xfId="15033"/>
    <cellStyle name="Normal 2 2 2 9 2 5 2" xfId="15034"/>
    <cellStyle name="Normal 2 2 2 9 2 6" xfId="15035"/>
    <cellStyle name="Normal 2 2 2 9 2 6 10" xfId="15036"/>
    <cellStyle name="Normal 2 2 2 9 2 6 10 2" xfId="15037"/>
    <cellStyle name="Normal 2 2 2 9 2 6 11" xfId="15038"/>
    <cellStyle name="Normal 2 2 2 9 2 6 11 2" xfId="15039"/>
    <cellStyle name="Normal 2 2 2 9 2 6 12" xfId="15040"/>
    <cellStyle name="Normal 2 2 2 9 2 6 2" xfId="15041"/>
    <cellStyle name="Normal 2 2 2 9 2 6 2 10" xfId="15042"/>
    <cellStyle name="Normal 2 2 2 9 2 6 2 10 2" xfId="15043"/>
    <cellStyle name="Normal 2 2 2 9 2 6 2 11" xfId="15044"/>
    <cellStyle name="Normal 2 2 2 9 2 6 2 2" xfId="15045"/>
    <cellStyle name="Normal 2 2 2 9 2 6 2 2 2" xfId="15046"/>
    <cellStyle name="Normal 2 2 2 9 2 6 2 3" xfId="15047"/>
    <cellStyle name="Normal 2 2 2 9 2 6 2 3 2" xfId="15048"/>
    <cellStyle name="Normal 2 2 2 9 2 6 2 4" xfId="15049"/>
    <cellStyle name="Normal 2 2 2 9 2 6 2 4 2" xfId="15050"/>
    <cellStyle name="Normal 2 2 2 9 2 6 2 5" xfId="15051"/>
    <cellStyle name="Normal 2 2 2 9 2 6 2 5 2" xfId="15052"/>
    <cellStyle name="Normal 2 2 2 9 2 6 2 6" xfId="15053"/>
    <cellStyle name="Normal 2 2 2 9 2 6 2 6 2" xfId="15054"/>
    <cellStyle name="Normal 2 2 2 9 2 6 2 7" xfId="15055"/>
    <cellStyle name="Normal 2 2 2 9 2 6 2 7 2" xfId="15056"/>
    <cellStyle name="Normal 2 2 2 9 2 6 2 8" xfId="15057"/>
    <cellStyle name="Normal 2 2 2 9 2 6 2 8 2" xfId="15058"/>
    <cellStyle name="Normal 2 2 2 9 2 6 2 9" xfId="15059"/>
    <cellStyle name="Normal 2 2 2 9 2 6 2 9 2" xfId="15060"/>
    <cellStyle name="Normal 2 2 2 9 2 6 3" xfId="15061"/>
    <cellStyle name="Normal 2 2 2 9 2 6 3 2" xfId="15062"/>
    <cellStyle name="Normal 2 2 2 9 2 6 4" xfId="15063"/>
    <cellStyle name="Normal 2 2 2 9 2 6 4 2" xfId="15064"/>
    <cellStyle name="Normal 2 2 2 9 2 6 5" xfId="15065"/>
    <cellStyle name="Normal 2 2 2 9 2 6 5 2" xfId="15066"/>
    <cellStyle name="Normal 2 2 2 9 2 6 6" xfId="15067"/>
    <cellStyle name="Normal 2 2 2 9 2 6 6 2" xfId="15068"/>
    <cellStyle name="Normal 2 2 2 9 2 6 7" xfId="15069"/>
    <cellStyle name="Normal 2 2 2 9 2 6 7 2" xfId="15070"/>
    <cellStyle name="Normal 2 2 2 9 2 6 8" xfId="15071"/>
    <cellStyle name="Normal 2 2 2 9 2 6 8 2" xfId="15072"/>
    <cellStyle name="Normal 2 2 2 9 2 6 9" xfId="15073"/>
    <cellStyle name="Normal 2 2 2 9 2 6 9 2" xfId="15074"/>
    <cellStyle name="Normal 2 2 2 9 2 7" xfId="15075"/>
    <cellStyle name="Normal 2 2 2 9 2 7 10" xfId="15076"/>
    <cellStyle name="Normal 2 2 2 9 2 7 10 2" xfId="15077"/>
    <cellStyle name="Normal 2 2 2 9 2 7 11" xfId="15078"/>
    <cellStyle name="Normal 2 2 2 9 2 7 2" xfId="15079"/>
    <cellStyle name="Normal 2 2 2 9 2 7 2 2" xfId="15080"/>
    <cellStyle name="Normal 2 2 2 9 2 7 3" xfId="15081"/>
    <cellStyle name="Normal 2 2 2 9 2 7 3 2" xfId="15082"/>
    <cellStyle name="Normal 2 2 2 9 2 7 4" xfId="15083"/>
    <cellStyle name="Normal 2 2 2 9 2 7 4 2" xfId="15084"/>
    <cellStyle name="Normal 2 2 2 9 2 7 5" xfId="15085"/>
    <cellStyle name="Normal 2 2 2 9 2 7 5 2" xfId="15086"/>
    <cellStyle name="Normal 2 2 2 9 2 7 6" xfId="15087"/>
    <cellStyle name="Normal 2 2 2 9 2 7 6 2" xfId="15088"/>
    <cellStyle name="Normal 2 2 2 9 2 7 7" xfId="15089"/>
    <cellStyle name="Normal 2 2 2 9 2 7 7 2" xfId="15090"/>
    <cellStyle name="Normal 2 2 2 9 2 7 8" xfId="15091"/>
    <cellStyle name="Normal 2 2 2 9 2 7 8 2" xfId="15092"/>
    <cellStyle name="Normal 2 2 2 9 2 7 9" xfId="15093"/>
    <cellStyle name="Normal 2 2 2 9 2 7 9 2" xfId="15094"/>
    <cellStyle name="Normal 2 2 2 9 2 8" xfId="15095"/>
    <cellStyle name="Normal 2 2 2 9 2 8 2" xfId="15096"/>
    <cellStyle name="Normal 2 2 2 9 2 9" xfId="15097"/>
    <cellStyle name="Normal 2 2 2 9 2 9 2" xfId="15098"/>
    <cellStyle name="Normal 2 2 2 9 3" xfId="15099"/>
    <cellStyle name="Normal 2 2 2 9 3 10" xfId="15100"/>
    <cellStyle name="Normal 2 2 2 9 3 10 2" xfId="15101"/>
    <cellStyle name="Normal 2 2 2 9 3 11" xfId="15102"/>
    <cellStyle name="Normal 2 2 2 9 3 11 2" xfId="15103"/>
    <cellStyle name="Normal 2 2 2 9 3 12" xfId="15104"/>
    <cellStyle name="Normal 2 2 2 9 3 12 2" xfId="15105"/>
    <cellStyle name="Normal 2 2 2 9 3 13" xfId="15106"/>
    <cellStyle name="Normal 2 2 2 9 3 2" xfId="15107"/>
    <cellStyle name="Normal 2 2 2 9 3 2 10" xfId="15108"/>
    <cellStyle name="Normal 2 2 2 9 3 2 10 2" xfId="15109"/>
    <cellStyle name="Normal 2 2 2 9 3 2 11" xfId="15110"/>
    <cellStyle name="Normal 2 2 2 9 3 2 11 2" xfId="15111"/>
    <cellStyle name="Normal 2 2 2 9 3 2 12" xfId="15112"/>
    <cellStyle name="Normal 2 2 2 9 3 2 2" xfId="15113"/>
    <cellStyle name="Normal 2 2 2 9 3 2 2 10" xfId="15114"/>
    <cellStyle name="Normal 2 2 2 9 3 2 2 10 2" xfId="15115"/>
    <cellStyle name="Normal 2 2 2 9 3 2 2 11" xfId="15116"/>
    <cellStyle name="Normal 2 2 2 9 3 2 2 2" xfId="15117"/>
    <cellStyle name="Normal 2 2 2 9 3 2 2 2 2" xfId="15118"/>
    <cellStyle name="Normal 2 2 2 9 3 2 2 3" xfId="15119"/>
    <cellStyle name="Normal 2 2 2 9 3 2 2 3 2" xfId="15120"/>
    <cellStyle name="Normal 2 2 2 9 3 2 2 4" xfId="15121"/>
    <cellStyle name="Normal 2 2 2 9 3 2 2 4 2" xfId="15122"/>
    <cellStyle name="Normal 2 2 2 9 3 2 2 5" xfId="15123"/>
    <cellStyle name="Normal 2 2 2 9 3 2 2 5 2" xfId="15124"/>
    <cellStyle name="Normal 2 2 2 9 3 2 2 6" xfId="15125"/>
    <cellStyle name="Normal 2 2 2 9 3 2 2 6 2" xfId="15126"/>
    <cellStyle name="Normal 2 2 2 9 3 2 2 7" xfId="15127"/>
    <cellStyle name="Normal 2 2 2 9 3 2 2 7 2" xfId="15128"/>
    <cellStyle name="Normal 2 2 2 9 3 2 2 8" xfId="15129"/>
    <cellStyle name="Normal 2 2 2 9 3 2 2 8 2" xfId="15130"/>
    <cellStyle name="Normal 2 2 2 9 3 2 2 9" xfId="15131"/>
    <cellStyle name="Normal 2 2 2 9 3 2 2 9 2" xfId="15132"/>
    <cellStyle name="Normal 2 2 2 9 3 2 3" xfId="15133"/>
    <cellStyle name="Normal 2 2 2 9 3 2 3 2" xfId="15134"/>
    <cellStyle name="Normal 2 2 2 9 3 2 4" xfId="15135"/>
    <cellStyle name="Normal 2 2 2 9 3 2 4 2" xfId="15136"/>
    <cellStyle name="Normal 2 2 2 9 3 2 5" xfId="15137"/>
    <cellStyle name="Normal 2 2 2 9 3 2 5 2" xfId="15138"/>
    <cellStyle name="Normal 2 2 2 9 3 2 6" xfId="15139"/>
    <cellStyle name="Normal 2 2 2 9 3 2 6 2" xfId="15140"/>
    <cellStyle name="Normal 2 2 2 9 3 2 7" xfId="15141"/>
    <cellStyle name="Normal 2 2 2 9 3 2 7 2" xfId="15142"/>
    <cellStyle name="Normal 2 2 2 9 3 2 8" xfId="15143"/>
    <cellStyle name="Normal 2 2 2 9 3 2 8 2" xfId="15144"/>
    <cellStyle name="Normal 2 2 2 9 3 2 9" xfId="15145"/>
    <cellStyle name="Normal 2 2 2 9 3 2 9 2" xfId="15146"/>
    <cellStyle name="Normal 2 2 2 9 3 3" xfId="15147"/>
    <cellStyle name="Normal 2 2 2 9 3 3 10" xfId="15148"/>
    <cellStyle name="Normal 2 2 2 9 3 3 10 2" xfId="15149"/>
    <cellStyle name="Normal 2 2 2 9 3 3 11" xfId="15150"/>
    <cellStyle name="Normal 2 2 2 9 3 3 2" xfId="15151"/>
    <cellStyle name="Normal 2 2 2 9 3 3 2 2" xfId="15152"/>
    <cellStyle name="Normal 2 2 2 9 3 3 3" xfId="15153"/>
    <cellStyle name="Normal 2 2 2 9 3 3 3 2" xfId="15154"/>
    <cellStyle name="Normal 2 2 2 9 3 3 4" xfId="15155"/>
    <cellStyle name="Normal 2 2 2 9 3 3 4 2" xfId="15156"/>
    <cellStyle name="Normal 2 2 2 9 3 3 5" xfId="15157"/>
    <cellStyle name="Normal 2 2 2 9 3 3 5 2" xfId="15158"/>
    <cellStyle name="Normal 2 2 2 9 3 3 6" xfId="15159"/>
    <cellStyle name="Normal 2 2 2 9 3 3 6 2" xfId="15160"/>
    <cellStyle name="Normal 2 2 2 9 3 3 7" xfId="15161"/>
    <cellStyle name="Normal 2 2 2 9 3 3 7 2" xfId="15162"/>
    <cellStyle name="Normal 2 2 2 9 3 3 8" xfId="15163"/>
    <cellStyle name="Normal 2 2 2 9 3 3 8 2" xfId="15164"/>
    <cellStyle name="Normal 2 2 2 9 3 3 9" xfId="15165"/>
    <cellStyle name="Normal 2 2 2 9 3 3 9 2" xfId="15166"/>
    <cellStyle name="Normal 2 2 2 9 3 4" xfId="15167"/>
    <cellStyle name="Normal 2 2 2 9 3 4 2" xfId="15168"/>
    <cellStyle name="Normal 2 2 2 9 3 5" xfId="15169"/>
    <cellStyle name="Normal 2 2 2 9 3 5 2" xfId="15170"/>
    <cellStyle name="Normal 2 2 2 9 3 6" xfId="15171"/>
    <cellStyle name="Normal 2 2 2 9 3 6 2" xfId="15172"/>
    <cellStyle name="Normal 2 2 2 9 3 7" xfId="15173"/>
    <cellStyle name="Normal 2 2 2 9 3 7 2" xfId="15174"/>
    <cellStyle name="Normal 2 2 2 9 3 8" xfId="15175"/>
    <cellStyle name="Normal 2 2 2 9 3 8 2" xfId="15176"/>
    <cellStyle name="Normal 2 2 2 9 3 9" xfId="15177"/>
    <cellStyle name="Normal 2 2 2 9 3 9 2" xfId="15178"/>
    <cellStyle name="Normal 2 2 2 9 4" xfId="15179"/>
    <cellStyle name="Normal 2 2 2 9 4 10" xfId="15180"/>
    <cellStyle name="Normal 2 2 2 9 4 10 2" xfId="15181"/>
    <cellStyle name="Normal 2 2 2 9 4 11" xfId="15182"/>
    <cellStyle name="Normal 2 2 2 9 4 11 2" xfId="15183"/>
    <cellStyle name="Normal 2 2 2 9 4 12" xfId="15184"/>
    <cellStyle name="Normal 2 2 2 9 4 12 2" xfId="15185"/>
    <cellStyle name="Normal 2 2 2 9 4 13" xfId="15186"/>
    <cellStyle name="Normal 2 2 2 9 4 2" xfId="15187"/>
    <cellStyle name="Normal 2 2 2 9 4 2 10" xfId="15188"/>
    <cellStyle name="Normal 2 2 2 9 4 2 10 2" xfId="15189"/>
    <cellStyle name="Normal 2 2 2 9 4 2 11" xfId="15190"/>
    <cellStyle name="Normal 2 2 2 9 4 2 11 2" xfId="15191"/>
    <cellStyle name="Normal 2 2 2 9 4 2 12" xfId="15192"/>
    <cellStyle name="Normal 2 2 2 9 4 2 2" xfId="15193"/>
    <cellStyle name="Normal 2 2 2 9 4 2 2 10" xfId="15194"/>
    <cellStyle name="Normal 2 2 2 9 4 2 2 10 2" xfId="15195"/>
    <cellStyle name="Normal 2 2 2 9 4 2 2 11" xfId="15196"/>
    <cellStyle name="Normal 2 2 2 9 4 2 2 2" xfId="15197"/>
    <cellStyle name="Normal 2 2 2 9 4 2 2 2 2" xfId="15198"/>
    <cellStyle name="Normal 2 2 2 9 4 2 2 3" xfId="15199"/>
    <cellStyle name="Normal 2 2 2 9 4 2 2 3 2" xfId="15200"/>
    <cellStyle name="Normal 2 2 2 9 4 2 2 4" xfId="15201"/>
    <cellStyle name="Normal 2 2 2 9 4 2 2 4 2" xfId="15202"/>
    <cellStyle name="Normal 2 2 2 9 4 2 2 5" xfId="15203"/>
    <cellStyle name="Normal 2 2 2 9 4 2 2 5 2" xfId="15204"/>
    <cellStyle name="Normal 2 2 2 9 4 2 2 6" xfId="15205"/>
    <cellStyle name="Normal 2 2 2 9 4 2 2 6 2" xfId="15206"/>
    <cellStyle name="Normal 2 2 2 9 4 2 2 7" xfId="15207"/>
    <cellStyle name="Normal 2 2 2 9 4 2 2 7 2" xfId="15208"/>
    <cellStyle name="Normal 2 2 2 9 4 2 2 8" xfId="15209"/>
    <cellStyle name="Normal 2 2 2 9 4 2 2 8 2" xfId="15210"/>
    <cellStyle name="Normal 2 2 2 9 4 2 2 9" xfId="15211"/>
    <cellStyle name="Normal 2 2 2 9 4 2 2 9 2" xfId="15212"/>
    <cellStyle name="Normal 2 2 2 9 4 2 3" xfId="15213"/>
    <cellStyle name="Normal 2 2 2 9 4 2 3 2" xfId="15214"/>
    <cellStyle name="Normal 2 2 2 9 4 2 4" xfId="15215"/>
    <cellStyle name="Normal 2 2 2 9 4 2 4 2" xfId="15216"/>
    <cellStyle name="Normal 2 2 2 9 4 2 5" xfId="15217"/>
    <cellStyle name="Normal 2 2 2 9 4 2 5 2" xfId="15218"/>
    <cellStyle name="Normal 2 2 2 9 4 2 6" xfId="15219"/>
    <cellStyle name="Normal 2 2 2 9 4 2 6 2" xfId="15220"/>
    <cellStyle name="Normal 2 2 2 9 4 2 7" xfId="15221"/>
    <cellStyle name="Normal 2 2 2 9 4 2 7 2" xfId="15222"/>
    <cellStyle name="Normal 2 2 2 9 4 2 8" xfId="15223"/>
    <cellStyle name="Normal 2 2 2 9 4 2 8 2" xfId="15224"/>
    <cellStyle name="Normal 2 2 2 9 4 2 9" xfId="15225"/>
    <cellStyle name="Normal 2 2 2 9 4 2 9 2" xfId="15226"/>
    <cellStyle name="Normal 2 2 2 9 4 3" xfId="15227"/>
    <cellStyle name="Normal 2 2 2 9 4 3 10" xfId="15228"/>
    <cellStyle name="Normal 2 2 2 9 4 3 10 2" xfId="15229"/>
    <cellStyle name="Normal 2 2 2 9 4 3 11" xfId="15230"/>
    <cellStyle name="Normal 2 2 2 9 4 3 2" xfId="15231"/>
    <cellStyle name="Normal 2 2 2 9 4 3 2 2" xfId="15232"/>
    <cellStyle name="Normal 2 2 2 9 4 3 3" xfId="15233"/>
    <cellStyle name="Normal 2 2 2 9 4 3 3 2" xfId="15234"/>
    <cellStyle name="Normal 2 2 2 9 4 3 4" xfId="15235"/>
    <cellStyle name="Normal 2 2 2 9 4 3 4 2" xfId="15236"/>
    <cellStyle name="Normal 2 2 2 9 4 3 5" xfId="15237"/>
    <cellStyle name="Normal 2 2 2 9 4 3 5 2" xfId="15238"/>
    <cellStyle name="Normal 2 2 2 9 4 3 6" xfId="15239"/>
    <cellStyle name="Normal 2 2 2 9 4 3 6 2" xfId="15240"/>
    <cellStyle name="Normal 2 2 2 9 4 3 7" xfId="15241"/>
    <cellStyle name="Normal 2 2 2 9 4 3 7 2" xfId="15242"/>
    <cellStyle name="Normal 2 2 2 9 4 3 8" xfId="15243"/>
    <cellStyle name="Normal 2 2 2 9 4 3 8 2" xfId="15244"/>
    <cellStyle name="Normal 2 2 2 9 4 3 9" xfId="15245"/>
    <cellStyle name="Normal 2 2 2 9 4 3 9 2" xfId="15246"/>
    <cellStyle name="Normal 2 2 2 9 4 4" xfId="15247"/>
    <cellStyle name="Normal 2 2 2 9 4 4 2" xfId="15248"/>
    <cellStyle name="Normal 2 2 2 9 4 5" xfId="15249"/>
    <cellStyle name="Normal 2 2 2 9 4 5 2" xfId="15250"/>
    <cellStyle name="Normal 2 2 2 9 4 6" xfId="15251"/>
    <cellStyle name="Normal 2 2 2 9 4 6 2" xfId="15252"/>
    <cellStyle name="Normal 2 2 2 9 4 7" xfId="15253"/>
    <cellStyle name="Normal 2 2 2 9 4 7 2" xfId="15254"/>
    <cellStyle name="Normal 2 2 2 9 4 8" xfId="15255"/>
    <cellStyle name="Normal 2 2 2 9 4 8 2" xfId="15256"/>
    <cellStyle name="Normal 2 2 2 9 4 9" xfId="15257"/>
    <cellStyle name="Normal 2 2 2 9 4 9 2" xfId="15258"/>
    <cellStyle name="Normal 2 2 2 9 5" xfId="15259"/>
    <cellStyle name="Normal 2 2 2 9 5 10" xfId="15260"/>
    <cellStyle name="Normal 2 2 2 9 5 10 2" xfId="15261"/>
    <cellStyle name="Normal 2 2 2 9 5 11" xfId="15262"/>
    <cellStyle name="Normal 2 2 2 9 5 11 2" xfId="15263"/>
    <cellStyle name="Normal 2 2 2 9 5 12" xfId="15264"/>
    <cellStyle name="Normal 2 2 2 9 5 12 2" xfId="15265"/>
    <cellStyle name="Normal 2 2 2 9 5 13" xfId="15266"/>
    <cellStyle name="Normal 2 2 2 9 5 2" xfId="15267"/>
    <cellStyle name="Normal 2 2 2 9 5 2 10" xfId="15268"/>
    <cellStyle name="Normal 2 2 2 9 5 2 10 2" xfId="15269"/>
    <cellStyle name="Normal 2 2 2 9 5 2 11" xfId="15270"/>
    <cellStyle name="Normal 2 2 2 9 5 2 11 2" xfId="15271"/>
    <cellStyle name="Normal 2 2 2 9 5 2 12" xfId="15272"/>
    <cellStyle name="Normal 2 2 2 9 5 2 2" xfId="15273"/>
    <cellStyle name="Normal 2 2 2 9 5 2 2 10" xfId="15274"/>
    <cellStyle name="Normal 2 2 2 9 5 2 2 10 2" xfId="15275"/>
    <cellStyle name="Normal 2 2 2 9 5 2 2 11" xfId="15276"/>
    <cellStyle name="Normal 2 2 2 9 5 2 2 2" xfId="15277"/>
    <cellStyle name="Normal 2 2 2 9 5 2 2 2 2" xfId="15278"/>
    <cellStyle name="Normal 2 2 2 9 5 2 2 3" xfId="15279"/>
    <cellStyle name="Normal 2 2 2 9 5 2 2 3 2" xfId="15280"/>
    <cellStyle name="Normal 2 2 2 9 5 2 2 4" xfId="15281"/>
    <cellStyle name="Normal 2 2 2 9 5 2 2 4 2" xfId="15282"/>
    <cellStyle name="Normal 2 2 2 9 5 2 2 5" xfId="15283"/>
    <cellStyle name="Normal 2 2 2 9 5 2 2 5 2" xfId="15284"/>
    <cellStyle name="Normal 2 2 2 9 5 2 2 6" xfId="15285"/>
    <cellStyle name="Normal 2 2 2 9 5 2 2 6 2" xfId="15286"/>
    <cellStyle name="Normal 2 2 2 9 5 2 2 7" xfId="15287"/>
    <cellStyle name="Normal 2 2 2 9 5 2 2 7 2" xfId="15288"/>
    <cellStyle name="Normal 2 2 2 9 5 2 2 8" xfId="15289"/>
    <cellStyle name="Normal 2 2 2 9 5 2 2 8 2" xfId="15290"/>
    <cellStyle name="Normal 2 2 2 9 5 2 2 9" xfId="15291"/>
    <cellStyle name="Normal 2 2 2 9 5 2 2 9 2" xfId="15292"/>
    <cellStyle name="Normal 2 2 2 9 5 2 3" xfId="15293"/>
    <cellStyle name="Normal 2 2 2 9 5 2 3 2" xfId="15294"/>
    <cellStyle name="Normal 2 2 2 9 5 2 4" xfId="15295"/>
    <cellStyle name="Normal 2 2 2 9 5 2 4 2" xfId="15296"/>
    <cellStyle name="Normal 2 2 2 9 5 2 5" xfId="15297"/>
    <cellStyle name="Normal 2 2 2 9 5 2 5 2" xfId="15298"/>
    <cellStyle name="Normal 2 2 2 9 5 2 6" xfId="15299"/>
    <cellStyle name="Normal 2 2 2 9 5 2 6 2" xfId="15300"/>
    <cellStyle name="Normal 2 2 2 9 5 2 7" xfId="15301"/>
    <cellStyle name="Normal 2 2 2 9 5 2 7 2" xfId="15302"/>
    <cellStyle name="Normal 2 2 2 9 5 2 8" xfId="15303"/>
    <cellStyle name="Normal 2 2 2 9 5 2 8 2" xfId="15304"/>
    <cellStyle name="Normal 2 2 2 9 5 2 9" xfId="15305"/>
    <cellStyle name="Normal 2 2 2 9 5 2 9 2" xfId="15306"/>
    <cellStyle name="Normal 2 2 2 9 5 3" xfId="15307"/>
    <cellStyle name="Normal 2 2 2 9 5 3 10" xfId="15308"/>
    <cellStyle name="Normal 2 2 2 9 5 3 10 2" xfId="15309"/>
    <cellStyle name="Normal 2 2 2 9 5 3 11" xfId="15310"/>
    <cellStyle name="Normal 2 2 2 9 5 3 2" xfId="15311"/>
    <cellStyle name="Normal 2 2 2 9 5 3 2 2" xfId="15312"/>
    <cellStyle name="Normal 2 2 2 9 5 3 3" xfId="15313"/>
    <cellStyle name="Normal 2 2 2 9 5 3 3 2" xfId="15314"/>
    <cellStyle name="Normal 2 2 2 9 5 3 4" xfId="15315"/>
    <cellStyle name="Normal 2 2 2 9 5 3 4 2" xfId="15316"/>
    <cellStyle name="Normal 2 2 2 9 5 3 5" xfId="15317"/>
    <cellStyle name="Normal 2 2 2 9 5 3 5 2" xfId="15318"/>
    <cellStyle name="Normal 2 2 2 9 5 3 6" xfId="15319"/>
    <cellStyle name="Normal 2 2 2 9 5 3 6 2" xfId="15320"/>
    <cellStyle name="Normal 2 2 2 9 5 3 7" xfId="15321"/>
    <cellStyle name="Normal 2 2 2 9 5 3 7 2" xfId="15322"/>
    <cellStyle name="Normal 2 2 2 9 5 3 8" xfId="15323"/>
    <cellStyle name="Normal 2 2 2 9 5 3 8 2" xfId="15324"/>
    <cellStyle name="Normal 2 2 2 9 5 3 9" xfId="15325"/>
    <cellStyle name="Normal 2 2 2 9 5 3 9 2" xfId="15326"/>
    <cellStyle name="Normal 2 2 2 9 5 4" xfId="15327"/>
    <cellStyle name="Normal 2 2 2 9 5 4 2" xfId="15328"/>
    <cellStyle name="Normal 2 2 2 9 5 5" xfId="15329"/>
    <cellStyle name="Normal 2 2 2 9 5 5 2" xfId="15330"/>
    <cellStyle name="Normal 2 2 2 9 5 6" xfId="15331"/>
    <cellStyle name="Normal 2 2 2 9 5 6 2" xfId="15332"/>
    <cellStyle name="Normal 2 2 2 9 5 7" xfId="15333"/>
    <cellStyle name="Normal 2 2 2 9 5 7 2" xfId="15334"/>
    <cellStyle name="Normal 2 2 2 9 5 8" xfId="15335"/>
    <cellStyle name="Normal 2 2 2 9 5 8 2" xfId="15336"/>
    <cellStyle name="Normal 2 2 2 9 5 9" xfId="15337"/>
    <cellStyle name="Normal 2 2 2 9 5 9 2" xfId="15338"/>
    <cellStyle name="Normal 2 2 2 9 6" xfId="15339"/>
    <cellStyle name="Normal 2 2 2 9 6 10" xfId="15340"/>
    <cellStyle name="Normal 2 2 2 9 6 10 2" xfId="15341"/>
    <cellStyle name="Normal 2 2 2 9 6 11" xfId="15342"/>
    <cellStyle name="Normal 2 2 2 9 6 11 2" xfId="15343"/>
    <cellStyle name="Normal 2 2 2 9 6 12" xfId="15344"/>
    <cellStyle name="Normal 2 2 2 9 6 12 2" xfId="15345"/>
    <cellStyle name="Normal 2 2 2 9 6 13" xfId="15346"/>
    <cellStyle name="Normal 2 2 2 9 6 2" xfId="15347"/>
    <cellStyle name="Normal 2 2 2 9 6 2 10" xfId="15348"/>
    <cellStyle name="Normal 2 2 2 9 6 2 10 2" xfId="15349"/>
    <cellStyle name="Normal 2 2 2 9 6 2 11" xfId="15350"/>
    <cellStyle name="Normal 2 2 2 9 6 2 11 2" xfId="15351"/>
    <cellStyle name="Normal 2 2 2 9 6 2 12" xfId="15352"/>
    <cellStyle name="Normal 2 2 2 9 6 2 2" xfId="15353"/>
    <cellStyle name="Normal 2 2 2 9 6 2 2 10" xfId="15354"/>
    <cellStyle name="Normal 2 2 2 9 6 2 2 10 2" xfId="15355"/>
    <cellStyle name="Normal 2 2 2 9 6 2 2 11" xfId="15356"/>
    <cellStyle name="Normal 2 2 2 9 6 2 2 2" xfId="15357"/>
    <cellStyle name="Normal 2 2 2 9 6 2 2 2 2" xfId="15358"/>
    <cellStyle name="Normal 2 2 2 9 6 2 2 3" xfId="15359"/>
    <cellStyle name="Normal 2 2 2 9 6 2 2 3 2" xfId="15360"/>
    <cellStyle name="Normal 2 2 2 9 6 2 2 4" xfId="15361"/>
    <cellStyle name="Normal 2 2 2 9 6 2 2 4 2" xfId="15362"/>
    <cellStyle name="Normal 2 2 2 9 6 2 2 5" xfId="15363"/>
    <cellStyle name="Normal 2 2 2 9 6 2 2 5 2" xfId="15364"/>
    <cellStyle name="Normal 2 2 2 9 6 2 2 6" xfId="15365"/>
    <cellStyle name="Normal 2 2 2 9 6 2 2 6 2" xfId="15366"/>
    <cellStyle name="Normal 2 2 2 9 6 2 2 7" xfId="15367"/>
    <cellStyle name="Normal 2 2 2 9 6 2 2 7 2" xfId="15368"/>
    <cellStyle name="Normal 2 2 2 9 6 2 2 8" xfId="15369"/>
    <cellStyle name="Normal 2 2 2 9 6 2 2 8 2" xfId="15370"/>
    <cellStyle name="Normal 2 2 2 9 6 2 2 9" xfId="15371"/>
    <cellStyle name="Normal 2 2 2 9 6 2 2 9 2" xfId="15372"/>
    <cellStyle name="Normal 2 2 2 9 6 2 3" xfId="15373"/>
    <cellStyle name="Normal 2 2 2 9 6 2 3 2" xfId="15374"/>
    <cellStyle name="Normal 2 2 2 9 6 2 4" xfId="15375"/>
    <cellStyle name="Normal 2 2 2 9 6 2 4 2" xfId="15376"/>
    <cellStyle name="Normal 2 2 2 9 6 2 5" xfId="15377"/>
    <cellStyle name="Normal 2 2 2 9 6 2 5 2" xfId="15378"/>
    <cellStyle name="Normal 2 2 2 9 6 2 6" xfId="15379"/>
    <cellStyle name="Normal 2 2 2 9 6 2 6 2" xfId="15380"/>
    <cellStyle name="Normal 2 2 2 9 6 2 7" xfId="15381"/>
    <cellStyle name="Normal 2 2 2 9 6 2 7 2" xfId="15382"/>
    <cellStyle name="Normal 2 2 2 9 6 2 8" xfId="15383"/>
    <cellStyle name="Normal 2 2 2 9 6 2 8 2" xfId="15384"/>
    <cellStyle name="Normal 2 2 2 9 6 2 9" xfId="15385"/>
    <cellStyle name="Normal 2 2 2 9 6 2 9 2" xfId="15386"/>
    <cellStyle name="Normal 2 2 2 9 6 3" xfId="15387"/>
    <cellStyle name="Normal 2 2 2 9 6 3 10" xfId="15388"/>
    <cellStyle name="Normal 2 2 2 9 6 3 10 2" xfId="15389"/>
    <cellStyle name="Normal 2 2 2 9 6 3 11" xfId="15390"/>
    <cellStyle name="Normal 2 2 2 9 6 3 2" xfId="15391"/>
    <cellStyle name="Normal 2 2 2 9 6 3 2 2" xfId="15392"/>
    <cellStyle name="Normal 2 2 2 9 6 3 3" xfId="15393"/>
    <cellStyle name="Normal 2 2 2 9 6 3 3 2" xfId="15394"/>
    <cellStyle name="Normal 2 2 2 9 6 3 4" xfId="15395"/>
    <cellStyle name="Normal 2 2 2 9 6 3 4 2" xfId="15396"/>
    <cellStyle name="Normal 2 2 2 9 6 3 5" xfId="15397"/>
    <cellStyle name="Normal 2 2 2 9 6 3 5 2" xfId="15398"/>
    <cellStyle name="Normal 2 2 2 9 6 3 6" xfId="15399"/>
    <cellStyle name="Normal 2 2 2 9 6 3 6 2" xfId="15400"/>
    <cellStyle name="Normal 2 2 2 9 6 3 7" xfId="15401"/>
    <cellStyle name="Normal 2 2 2 9 6 3 7 2" xfId="15402"/>
    <cellStyle name="Normal 2 2 2 9 6 3 8" xfId="15403"/>
    <cellStyle name="Normal 2 2 2 9 6 3 8 2" xfId="15404"/>
    <cellStyle name="Normal 2 2 2 9 6 3 9" xfId="15405"/>
    <cellStyle name="Normal 2 2 2 9 6 3 9 2" xfId="15406"/>
    <cellStyle name="Normal 2 2 2 9 6 4" xfId="15407"/>
    <cellStyle name="Normal 2 2 2 9 6 4 2" xfId="15408"/>
    <cellStyle name="Normal 2 2 2 9 6 5" xfId="15409"/>
    <cellStyle name="Normal 2 2 2 9 6 5 2" xfId="15410"/>
    <cellStyle name="Normal 2 2 2 9 6 6" xfId="15411"/>
    <cellStyle name="Normal 2 2 2 9 6 6 2" xfId="15412"/>
    <cellStyle name="Normal 2 2 2 9 6 7" xfId="15413"/>
    <cellStyle name="Normal 2 2 2 9 6 7 2" xfId="15414"/>
    <cellStyle name="Normal 2 2 2 9 6 8" xfId="15415"/>
    <cellStyle name="Normal 2 2 2 9 6 8 2" xfId="15416"/>
    <cellStyle name="Normal 2 2 2 9 6 9" xfId="15417"/>
    <cellStyle name="Normal 2 2 2 9 6 9 2" xfId="15418"/>
    <cellStyle name="Normal 2 2 2 9 7" xfId="15419"/>
    <cellStyle name="Normal 2 2 20" xfId="15420"/>
    <cellStyle name="Normal 2 2 21" xfId="15421"/>
    <cellStyle name="Normal 2 2 22" xfId="15422"/>
    <cellStyle name="Normal 2 2 23" xfId="15423"/>
    <cellStyle name="Normal 2 2 24" xfId="15424"/>
    <cellStyle name="Normal 2 2 25" xfId="15425"/>
    <cellStyle name="Normal 2 2 26" xfId="15426"/>
    <cellStyle name="Normal 2 2 27" xfId="15427"/>
    <cellStyle name="Normal 2 2 28" xfId="15428"/>
    <cellStyle name="Normal 2 2 29" xfId="15429"/>
    <cellStyle name="Normal 2 2 3" xfId="15430"/>
    <cellStyle name="Normal 2 2 3 2" xfId="15431"/>
    <cellStyle name="Normal 2 2 30" xfId="15432"/>
    <cellStyle name="Normal 2 2 31" xfId="15433"/>
    <cellStyle name="Normal 2 2 4" xfId="15434"/>
    <cellStyle name="Normal 2 2 4 10" xfId="15435"/>
    <cellStyle name="Normal 2 2 4 10 10" xfId="15436"/>
    <cellStyle name="Normal 2 2 4 10 10 2" xfId="15437"/>
    <cellStyle name="Normal 2 2 4 10 11" xfId="15438"/>
    <cellStyle name="Normal 2 2 4 10 11 2" xfId="15439"/>
    <cellStyle name="Normal 2 2 4 10 12" xfId="15440"/>
    <cellStyle name="Normal 2 2 4 10 2" xfId="15441"/>
    <cellStyle name="Normal 2 2 4 10 2 10" xfId="15442"/>
    <cellStyle name="Normal 2 2 4 10 2 10 2" xfId="15443"/>
    <cellStyle name="Normal 2 2 4 10 2 11" xfId="15444"/>
    <cellStyle name="Normal 2 2 4 10 2 2" xfId="15445"/>
    <cellStyle name="Normal 2 2 4 10 2 2 2" xfId="15446"/>
    <cellStyle name="Normal 2 2 4 10 2 3" xfId="15447"/>
    <cellStyle name="Normal 2 2 4 10 2 3 2" xfId="15448"/>
    <cellStyle name="Normal 2 2 4 10 2 4" xfId="15449"/>
    <cellStyle name="Normal 2 2 4 10 2 4 2" xfId="15450"/>
    <cellStyle name="Normal 2 2 4 10 2 5" xfId="15451"/>
    <cellStyle name="Normal 2 2 4 10 2 5 2" xfId="15452"/>
    <cellStyle name="Normal 2 2 4 10 2 6" xfId="15453"/>
    <cellStyle name="Normal 2 2 4 10 2 6 2" xfId="15454"/>
    <cellStyle name="Normal 2 2 4 10 2 7" xfId="15455"/>
    <cellStyle name="Normal 2 2 4 10 2 7 2" xfId="15456"/>
    <cellStyle name="Normal 2 2 4 10 2 8" xfId="15457"/>
    <cellStyle name="Normal 2 2 4 10 2 8 2" xfId="15458"/>
    <cellStyle name="Normal 2 2 4 10 2 9" xfId="15459"/>
    <cellStyle name="Normal 2 2 4 10 2 9 2" xfId="15460"/>
    <cellStyle name="Normal 2 2 4 10 3" xfId="15461"/>
    <cellStyle name="Normal 2 2 4 10 3 2" xfId="15462"/>
    <cellStyle name="Normal 2 2 4 10 4" xfId="15463"/>
    <cellStyle name="Normal 2 2 4 10 4 2" xfId="15464"/>
    <cellStyle name="Normal 2 2 4 10 5" xfId="15465"/>
    <cellStyle name="Normal 2 2 4 10 5 2" xfId="15466"/>
    <cellStyle name="Normal 2 2 4 10 6" xfId="15467"/>
    <cellStyle name="Normal 2 2 4 10 6 2" xfId="15468"/>
    <cellStyle name="Normal 2 2 4 10 7" xfId="15469"/>
    <cellStyle name="Normal 2 2 4 10 7 2" xfId="15470"/>
    <cellStyle name="Normal 2 2 4 10 8" xfId="15471"/>
    <cellStyle name="Normal 2 2 4 10 8 2" xfId="15472"/>
    <cellStyle name="Normal 2 2 4 10 9" xfId="15473"/>
    <cellStyle name="Normal 2 2 4 10 9 2" xfId="15474"/>
    <cellStyle name="Normal 2 2 4 11" xfId="15475"/>
    <cellStyle name="Normal 2 2 4 11 10" xfId="15476"/>
    <cellStyle name="Normal 2 2 4 11 10 2" xfId="15477"/>
    <cellStyle name="Normal 2 2 4 11 11" xfId="15478"/>
    <cellStyle name="Normal 2 2 4 11 2" xfId="15479"/>
    <cellStyle name="Normal 2 2 4 11 2 2" xfId="15480"/>
    <cellStyle name="Normal 2 2 4 11 3" xfId="15481"/>
    <cellStyle name="Normal 2 2 4 11 3 2" xfId="15482"/>
    <cellStyle name="Normal 2 2 4 11 4" xfId="15483"/>
    <cellStyle name="Normal 2 2 4 11 4 2" xfId="15484"/>
    <cellStyle name="Normal 2 2 4 11 5" xfId="15485"/>
    <cellStyle name="Normal 2 2 4 11 5 2" xfId="15486"/>
    <cellStyle name="Normal 2 2 4 11 6" xfId="15487"/>
    <cellStyle name="Normal 2 2 4 11 6 2" xfId="15488"/>
    <cellStyle name="Normal 2 2 4 11 7" xfId="15489"/>
    <cellStyle name="Normal 2 2 4 11 7 2" xfId="15490"/>
    <cellStyle name="Normal 2 2 4 11 8" xfId="15491"/>
    <cellStyle name="Normal 2 2 4 11 8 2" xfId="15492"/>
    <cellStyle name="Normal 2 2 4 11 9" xfId="15493"/>
    <cellStyle name="Normal 2 2 4 11 9 2" xfId="15494"/>
    <cellStyle name="Normal 2 2 4 12" xfId="15495"/>
    <cellStyle name="Normal 2 2 4 12 2" xfId="15496"/>
    <cellStyle name="Normal 2 2 4 13" xfId="15497"/>
    <cellStyle name="Normal 2 2 4 13 2" xfId="15498"/>
    <cellStyle name="Normal 2 2 4 14" xfId="15499"/>
    <cellStyle name="Normal 2 2 4 14 2" xfId="15500"/>
    <cellStyle name="Normal 2 2 4 15" xfId="15501"/>
    <cellStyle name="Normal 2 2 4 15 2" xfId="15502"/>
    <cellStyle name="Normal 2 2 4 16" xfId="15503"/>
    <cellStyle name="Normal 2 2 4 16 2" xfId="15504"/>
    <cellStyle name="Normal 2 2 4 17" xfId="15505"/>
    <cellStyle name="Normal 2 2 4 17 2" xfId="15506"/>
    <cellStyle name="Normal 2 2 4 18" xfId="15507"/>
    <cellStyle name="Normal 2 2 4 18 2" xfId="15508"/>
    <cellStyle name="Normal 2 2 4 19" xfId="15509"/>
    <cellStyle name="Normal 2 2 4 19 2" xfId="15510"/>
    <cellStyle name="Normal 2 2 4 2" xfId="15511"/>
    <cellStyle name="Normal 2 2 4 2 10" xfId="15512"/>
    <cellStyle name="Normal 2 2 4 2 2" xfId="15513"/>
    <cellStyle name="Normal 2 2 4 2 2 10" xfId="15514"/>
    <cellStyle name="Normal 2 2 4 2 2 10 2" xfId="15515"/>
    <cellStyle name="Normal 2 2 4 2 2 11" xfId="15516"/>
    <cellStyle name="Normal 2 2 4 2 2 11 2" xfId="15517"/>
    <cellStyle name="Normal 2 2 4 2 2 12" xfId="15518"/>
    <cellStyle name="Normal 2 2 4 2 2 12 2" xfId="15519"/>
    <cellStyle name="Normal 2 2 4 2 2 13" xfId="15520"/>
    <cellStyle name="Normal 2 2 4 2 2 13 2" xfId="15521"/>
    <cellStyle name="Normal 2 2 4 2 2 14" xfId="15522"/>
    <cellStyle name="Normal 2 2 4 2 2 14 2" xfId="15523"/>
    <cellStyle name="Normal 2 2 4 2 2 15" xfId="15524"/>
    <cellStyle name="Normal 2 2 4 2 2 15 2" xfId="15525"/>
    <cellStyle name="Normal 2 2 4 2 2 16" xfId="15526"/>
    <cellStyle name="Normal 2 2 4 2 2 16 2" xfId="15527"/>
    <cellStyle name="Normal 2 2 4 2 2 17" xfId="15528"/>
    <cellStyle name="Normal 2 2 4 2 2 17 2" xfId="15529"/>
    <cellStyle name="Normal 2 2 4 2 2 18" xfId="15530"/>
    <cellStyle name="Normal 2 2 4 2 2 2" xfId="15531"/>
    <cellStyle name="Normal 2 2 4 2 2 2 2" xfId="15532"/>
    <cellStyle name="Normal 2 2 4 2 2 2 2 10" xfId="15533"/>
    <cellStyle name="Normal 2 2 4 2 2 2 2 10 2" xfId="15534"/>
    <cellStyle name="Normal 2 2 4 2 2 2 2 11" xfId="15535"/>
    <cellStyle name="Normal 2 2 4 2 2 2 2 11 2" xfId="15536"/>
    <cellStyle name="Normal 2 2 4 2 2 2 2 12" xfId="15537"/>
    <cellStyle name="Normal 2 2 4 2 2 2 2 12 2" xfId="15538"/>
    <cellStyle name="Normal 2 2 4 2 2 2 2 13" xfId="15539"/>
    <cellStyle name="Normal 2 2 4 2 2 2 2 13 2" xfId="15540"/>
    <cellStyle name="Normal 2 2 4 2 2 2 2 14" xfId="15541"/>
    <cellStyle name="Normal 2 2 4 2 2 2 2 14 2" xfId="15542"/>
    <cellStyle name="Normal 2 2 4 2 2 2 2 15" xfId="15543"/>
    <cellStyle name="Normal 2 2 4 2 2 2 2 15 2" xfId="15544"/>
    <cellStyle name="Normal 2 2 4 2 2 2 2 16" xfId="15545"/>
    <cellStyle name="Normal 2 2 4 2 2 2 2 16 2" xfId="15546"/>
    <cellStyle name="Normal 2 2 4 2 2 2 2 17" xfId="15547"/>
    <cellStyle name="Normal 2 2 4 2 2 2 2 2" xfId="15548"/>
    <cellStyle name="Normal 2 2 4 2 2 2 2 2 2" xfId="15549"/>
    <cellStyle name="Normal 2 2 4 2 2 2 2 3" xfId="15550"/>
    <cellStyle name="Normal 2 2 4 2 2 2 2 3 2" xfId="15551"/>
    <cellStyle name="Normal 2 2 4 2 2 2 2 4" xfId="15552"/>
    <cellStyle name="Normal 2 2 4 2 2 2 2 4 2" xfId="15553"/>
    <cellStyle name="Normal 2 2 4 2 2 2 2 5" xfId="15554"/>
    <cellStyle name="Normal 2 2 4 2 2 2 2 5 2" xfId="15555"/>
    <cellStyle name="Normal 2 2 4 2 2 2 2 6" xfId="15556"/>
    <cellStyle name="Normal 2 2 4 2 2 2 2 6 10" xfId="15557"/>
    <cellStyle name="Normal 2 2 4 2 2 2 2 6 10 2" xfId="15558"/>
    <cellStyle name="Normal 2 2 4 2 2 2 2 6 11" xfId="15559"/>
    <cellStyle name="Normal 2 2 4 2 2 2 2 6 11 2" xfId="15560"/>
    <cellStyle name="Normal 2 2 4 2 2 2 2 6 12" xfId="15561"/>
    <cellStyle name="Normal 2 2 4 2 2 2 2 6 2" xfId="15562"/>
    <cellStyle name="Normal 2 2 4 2 2 2 2 6 2 10" xfId="15563"/>
    <cellStyle name="Normal 2 2 4 2 2 2 2 6 2 10 2" xfId="15564"/>
    <cellStyle name="Normal 2 2 4 2 2 2 2 6 2 11" xfId="15565"/>
    <cellStyle name="Normal 2 2 4 2 2 2 2 6 2 2" xfId="15566"/>
    <cellStyle name="Normal 2 2 4 2 2 2 2 6 2 2 2" xfId="15567"/>
    <cellStyle name="Normal 2 2 4 2 2 2 2 6 2 3" xfId="15568"/>
    <cellStyle name="Normal 2 2 4 2 2 2 2 6 2 3 2" xfId="15569"/>
    <cellStyle name="Normal 2 2 4 2 2 2 2 6 2 4" xfId="15570"/>
    <cellStyle name="Normal 2 2 4 2 2 2 2 6 2 4 2" xfId="15571"/>
    <cellStyle name="Normal 2 2 4 2 2 2 2 6 2 5" xfId="15572"/>
    <cellStyle name="Normal 2 2 4 2 2 2 2 6 2 5 2" xfId="15573"/>
    <cellStyle name="Normal 2 2 4 2 2 2 2 6 2 6" xfId="15574"/>
    <cellStyle name="Normal 2 2 4 2 2 2 2 6 2 6 2" xfId="15575"/>
    <cellStyle name="Normal 2 2 4 2 2 2 2 6 2 7" xfId="15576"/>
    <cellStyle name="Normal 2 2 4 2 2 2 2 6 2 7 2" xfId="15577"/>
    <cellStyle name="Normal 2 2 4 2 2 2 2 6 2 8" xfId="15578"/>
    <cellStyle name="Normal 2 2 4 2 2 2 2 6 2 8 2" xfId="15579"/>
    <cellStyle name="Normal 2 2 4 2 2 2 2 6 2 9" xfId="15580"/>
    <cellStyle name="Normal 2 2 4 2 2 2 2 6 2 9 2" xfId="15581"/>
    <cellStyle name="Normal 2 2 4 2 2 2 2 6 3" xfId="15582"/>
    <cellStyle name="Normal 2 2 4 2 2 2 2 6 3 2" xfId="15583"/>
    <cellStyle name="Normal 2 2 4 2 2 2 2 6 4" xfId="15584"/>
    <cellStyle name="Normal 2 2 4 2 2 2 2 6 4 2" xfId="15585"/>
    <cellStyle name="Normal 2 2 4 2 2 2 2 6 5" xfId="15586"/>
    <cellStyle name="Normal 2 2 4 2 2 2 2 6 5 2" xfId="15587"/>
    <cellStyle name="Normal 2 2 4 2 2 2 2 6 6" xfId="15588"/>
    <cellStyle name="Normal 2 2 4 2 2 2 2 6 6 2" xfId="15589"/>
    <cellStyle name="Normal 2 2 4 2 2 2 2 6 7" xfId="15590"/>
    <cellStyle name="Normal 2 2 4 2 2 2 2 6 7 2" xfId="15591"/>
    <cellStyle name="Normal 2 2 4 2 2 2 2 6 8" xfId="15592"/>
    <cellStyle name="Normal 2 2 4 2 2 2 2 6 8 2" xfId="15593"/>
    <cellStyle name="Normal 2 2 4 2 2 2 2 6 9" xfId="15594"/>
    <cellStyle name="Normal 2 2 4 2 2 2 2 6 9 2" xfId="15595"/>
    <cellStyle name="Normal 2 2 4 2 2 2 2 7" xfId="15596"/>
    <cellStyle name="Normal 2 2 4 2 2 2 2 7 10" xfId="15597"/>
    <cellStyle name="Normal 2 2 4 2 2 2 2 7 10 2" xfId="15598"/>
    <cellStyle name="Normal 2 2 4 2 2 2 2 7 11" xfId="15599"/>
    <cellStyle name="Normal 2 2 4 2 2 2 2 7 2" xfId="15600"/>
    <cellStyle name="Normal 2 2 4 2 2 2 2 7 2 2" xfId="15601"/>
    <cellStyle name="Normal 2 2 4 2 2 2 2 7 3" xfId="15602"/>
    <cellStyle name="Normal 2 2 4 2 2 2 2 7 3 2" xfId="15603"/>
    <cellStyle name="Normal 2 2 4 2 2 2 2 7 4" xfId="15604"/>
    <cellStyle name="Normal 2 2 4 2 2 2 2 7 4 2" xfId="15605"/>
    <cellStyle name="Normal 2 2 4 2 2 2 2 7 5" xfId="15606"/>
    <cellStyle name="Normal 2 2 4 2 2 2 2 7 5 2" xfId="15607"/>
    <cellStyle name="Normal 2 2 4 2 2 2 2 7 6" xfId="15608"/>
    <cellStyle name="Normal 2 2 4 2 2 2 2 7 6 2" xfId="15609"/>
    <cellStyle name="Normal 2 2 4 2 2 2 2 7 7" xfId="15610"/>
    <cellStyle name="Normal 2 2 4 2 2 2 2 7 7 2" xfId="15611"/>
    <cellStyle name="Normal 2 2 4 2 2 2 2 7 8" xfId="15612"/>
    <cellStyle name="Normal 2 2 4 2 2 2 2 7 8 2" xfId="15613"/>
    <cellStyle name="Normal 2 2 4 2 2 2 2 7 9" xfId="15614"/>
    <cellStyle name="Normal 2 2 4 2 2 2 2 7 9 2" xfId="15615"/>
    <cellStyle name="Normal 2 2 4 2 2 2 2 8" xfId="15616"/>
    <cellStyle name="Normal 2 2 4 2 2 2 2 8 2" xfId="15617"/>
    <cellStyle name="Normal 2 2 4 2 2 2 2 9" xfId="15618"/>
    <cellStyle name="Normal 2 2 4 2 2 2 2 9 2" xfId="15619"/>
    <cellStyle name="Normal 2 2 4 2 2 2 3" xfId="15620"/>
    <cellStyle name="Normal 2 2 4 2 2 2 3 10" xfId="15621"/>
    <cellStyle name="Normal 2 2 4 2 2 2 3 10 2" xfId="15622"/>
    <cellStyle name="Normal 2 2 4 2 2 2 3 11" xfId="15623"/>
    <cellStyle name="Normal 2 2 4 2 2 2 3 11 2" xfId="15624"/>
    <cellStyle name="Normal 2 2 4 2 2 2 3 12" xfId="15625"/>
    <cellStyle name="Normal 2 2 4 2 2 2 3 12 2" xfId="15626"/>
    <cellStyle name="Normal 2 2 4 2 2 2 3 13" xfId="15627"/>
    <cellStyle name="Normal 2 2 4 2 2 2 3 2" xfId="15628"/>
    <cellStyle name="Normal 2 2 4 2 2 2 3 2 10" xfId="15629"/>
    <cellStyle name="Normal 2 2 4 2 2 2 3 2 10 2" xfId="15630"/>
    <cellStyle name="Normal 2 2 4 2 2 2 3 2 11" xfId="15631"/>
    <cellStyle name="Normal 2 2 4 2 2 2 3 2 11 2" xfId="15632"/>
    <cellStyle name="Normal 2 2 4 2 2 2 3 2 12" xfId="15633"/>
    <cellStyle name="Normal 2 2 4 2 2 2 3 2 2" xfId="15634"/>
    <cellStyle name="Normal 2 2 4 2 2 2 3 2 2 10" xfId="15635"/>
    <cellStyle name="Normal 2 2 4 2 2 2 3 2 2 10 2" xfId="15636"/>
    <cellStyle name="Normal 2 2 4 2 2 2 3 2 2 11" xfId="15637"/>
    <cellStyle name="Normal 2 2 4 2 2 2 3 2 2 2" xfId="15638"/>
    <cellStyle name="Normal 2 2 4 2 2 2 3 2 2 2 2" xfId="15639"/>
    <cellStyle name="Normal 2 2 4 2 2 2 3 2 2 3" xfId="15640"/>
    <cellStyle name="Normal 2 2 4 2 2 2 3 2 2 3 2" xfId="15641"/>
    <cellStyle name="Normal 2 2 4 2 2 2 3 2 2 4" xfId="15642"/>
    <cellStyle name="Normal 2 2 4 2 2 2 3 2 2 4 2" xfId="15643"/>
    <cellStyle name="Normal 2 2 4 2 2 2 3 2 2 5" xfId="15644"/>
    <cellStyle name="Normal 2 2 4 2 2 2 3 2 2 5 2" xfId="15645"/>
    <cellStyle name="Normal 2 2 4 2 2 2 3 2 2 6" xfId="15646"/>
    <cellStyle name="Normal 2 2 4 2 2 2 3 2 2 6 2" xfId="15647"/>
    <cellStyle name="Normal 2 2 4 2 2 2 3 2 2 7" xfId="15648"/>
    <cellStyle name="Normal 2 2 4 2 2 2 3 2 2 7 2" xfId="15649"/>
    <cellStyle name="Normal 2 2 4 2 2 2 3 2 2 8" xfId="15650"/>
    <cellStyle name="Normal 2 2 4 2 2 2 3 2 2 8 2" xfId="15651"/>
    <cellStyle name="Normal 2 2 4 2 2 2 3 2 2 9" xfId="15652"/>
    <cellStyle name="Normal 2 2 4 2 2 2 3 2 2 9 2" xfId="15653"/>
    <cellStyle name="Normal 2 2 4 2 2 2 3 2 3" xfId="15654"/>
    <cellStyle name="Normal 2 2 4 2 2 2 3 2 3 2" xfId="15655"/>
    <cellStyle name="Normal 2 2 4 2 2 2 3 2 4" xfId="15656"/>
    <cellStyle name="Normal 2 2 4 2 2 2 3 2 4 2" xfId="15657"/>
    <cellStyle name="Normal 2 2 4 2 2 2 3 2 5" xfId="15658"/>
    <cellStyle name="Normal 2 2 4 2 2 2 3 2 5 2" xfId="15659"/>
    <cellStyle name="Normal 2 2 4 2 2 2 3 2 6" xfId="15660"/>
    <cellStyle name="Normal 2 2 4 2 2 2 3 2 6 2" xfId="15661"/>
    <cellStyle name="Normal 2 2 4 2 2 2 3 2 7" xfId="15662"/>
    <cellStyle name="Normal 2 2 4 2 2 2 3 2 7 2" xfId="15663"/>
    <cellStyle name="Normal 2 2 4 2 2 2 3 2 8" xfId="15664"/>
    <cellStyle name="Normal 2 2 4 2 2 2 3 2 8 2" xfId="15665"/>
    <cellStyle name="Normal 2 2 4 2 2 2 3 2 9" xfId="15666"/>
    <cellStyle name="Normal 2 2 4 2 2 2 3 2 9 2" xfId="15667"/>
    <cellStyle name="Normal 2 2 4 2 2 2 3 3" xfId="15668"/>
    <cellStyle name="Normal 2 2 4 2 2 2 3 3 10" xfId="15669"/>
    <cellStyle name="Normal 2 2 4 2 2 2 3 3 10 2" xfId="15670"/>
    <cellStyle name="Normal 2 2 4 2 2 2 3 3 11" xfId="15671"/>
    <cellStyle name="Normal 2 2 4 2 2 2 3 3 2" xfId="15672"/>
    <cellStyle name="Normal 2 2 4 2 2 2 3 3 2 2" xfId="15673"/>
    <cellStyle name="Normal 2 2 4 2 2 2 3 3 3" xfId="15674"/>
    <cellStyle name="Normal 2 2 4 2 2 2 3 3 3 2" xfId="15675"/>
    <cellStyle name="Normal 2 2 4 2 2 2 3 3 4" xfId="15676"/>
    <cellStyle name="Normal 2 2 4 2 2 2 3 3 4 2" xfId="15677"/>
    <cellStyle name="Normal 2 2 4 2 2 2 3 3 5" xfId="15678"/>
    <cellStyle name="Normal 2 2 4 2 2 2 3 3 5 2" xfId="15679"/>
    <cellStyle name="Normal 2 2 4 2 2 2 3 3 6" xfId="15680"/>
    <cellStyle name="Normal 2 2 4 2 2 2 3 3 6 2" xfId="15681"/>
    <cellStyle name="Normal 2 2 4 2 2 2 3 3 7" xfId="15682"/>
    <cellStyle name="Normal 2 2 4 2 2 2 3 3 7 2" xfId="15683"/>
    <cellStyle name="Normal 2 2 4 2 2 2 3 3 8" xfId="15684"/>
    <cellStyle name="Normal 2 2 4 2 2 2 3 3 8 2" xfId="15685"/>
    <cellStyle name="Normal 2 2 4 2 2 2 3 3 9" xfId="15686"/>
    <cellStyle name="Normal 2 2 4 2 2 2 3 3 9 2" xfId="15687"/>
    <cellStyle name="Normal 2 2 4 2 2 2 3 4" xfId="15688"/>
    <cellStyle name="Normal 2 2 4 2 2 2 3 4 2" xfId="15689"/>
    <cellStyle name="Normal 2 2 4 2 2 2 3 5" xfId="15690"/>
    <cellStyle name="Normal 2 2 4 2 2 2 3 5 2" xfId="15691"/>
    <cellStyle name="Normal 2 2 4 2 2 2 3 6" xfId="15692"/>
    <cellStyle name="Normal 2 2 4 2 2 2 3 6 2" xfId="15693"/>
    <cellStyle name="Normal 2 2 4 2 2 2 3 7" xfId="15694"/>
    <cellStyle name="Normal 2 2 4 2 2 2 3 7 2" xfId="15695"/>
    <cellStyle name="Normal 2 2 4 2 2 2 3 8" xfId="15696"/>
    <cellStyle name="Normal 2 2 4 2 2 2 3 8 2" xfId="15697"/>
    <cellStyle name="Normal 2 2 4 2 2 2 3 9" xfId="15698"/>
    <cellStyle name="Normal 2 2 4 2 2 2 3 9 2" xfId="15699"/>
    <cellStyle name="Normal 2 2 4 2 2 2 4" xfId="15700"/>
    <cellStyle name="Normal 2 2 4 2 2 2 4 10" xfId="15701"/>
    <cellStyle name="Normal 2 2 4 2 2 2 4 10 2" xfId="15702"/>
    <cellStyle name="Normal 2 2 4 2 2 2 4 11" xfId="15703"/>
    <cellStyle name="Normal 2 2 4 2 2 2 4 11 2" xfId="15704"/>
    <cellStyle name="Normal 2 2 4 2 2 2 4 12" xfId="15705"/>
    <cellStyle name="Normal 2 2 4 2 2 2 4 12 2" xfId="15706"/>
    <cellStyle name="Normal 2 2 4 2 2 2 4 13" xfId="15707"/>
    <cellStyle name="Normal 2 2 4 2 2 2 4 2" xfId="15708"/>
    <cellStyle name="Normal 2 2 4 2 2 2 4 2 10" xfId="15709"/>
    <cellStyle name="Normal 2 2 4 2 2 2 4 2 10 2" xfId="15710"/>
    <cellStyle name="Normal 2 2 4 2 2 2 4 2 11" xfId="15711"/>
    <cellStyle name="Normal 2 2 4 2 2 2 4 2 11 2" xfId="15712"/>
    <cellStyle name="Normal 2 2 4 2 2 2 4 2 12" xfId="15713"/>
    <cellStyle name="Normal 2 2 4 2 2 2 4 2 2" xfId="15714"/>
    <cellStyle name="Normal 2 2 4 2 2 2 4 2 2 10" xfId="15715"/>
    <cellStyle name="Normal 2 2 4 2 2 2 4 2 2 10 2" xfId="15716"/>
    <cellStyle name="Normal 2 2 4 2 2 2 4 2 2 11" xfId="15717"/>
    <cellStyle name="Normal 2 2 4 2 2 2 4 2 2 2" xfId="15718"/>
    <cellStyle name="Normal 2 2 4 2 2 2 4 2 2 2 2" xfId="15719"/>
    <cellStyle name="Normal 2 2 4 2 2 2 4 2 2 3" xfId="15720"/>
    <cellStyle name="Normal 2 2 4 2 2 2 4 2 2 3 2" xfId="15721"/>
    <cellStyle name="Normal 2 2 4 2 2 2 4 2 2 4" xfId="15722"/>
    <cellStyle name="Normal 2 2 4 2 2 2 4 2 2 4 2" xfId="15723"/>
    <cellStyle name="Normal 2 2 4 2 2 2 4 2 2 5" xfId="15724"/>
    <cellStyle name="Normal 2 2 4 2 2 2 4 2 2 5 2" xfId="15725"/>
    <cellStyle name="Normal 2 2 4 2 2 2 4 2 2 6" xfId="15726"/>
    <cellStyle name="Normal 2 2 4 2 2 2 4 2 2 6 2" xfId="15727"/>
    <cellStyle name="Normal 2 2 4 2 2 2 4 2 2 7" xfId="15728"/>
    <cellStyle name="Normal 2 2 4 2 2 2 4 2 2 7 2" xfId="15729"/>
    <cellStyle name="Normal 2 2 4 2 2 2 4 2 2 8" xfId="15730"/>
    <cellStyle name="Normal 2 2 4 2 2 2 4 2 2 8 2" xfId="15731"/>
    <cellStyle name="Normal 2 2 4 2 2 2 4 2 2 9" xfId="15732"/>
    <cellStyle name="Normal 2 2 4 2 2 2 4 2 2 9 2" xfId="15733"/>
    <cellStyle name="Normal 2 2 4 2 2 2 4 2 3" xfId="15734"/>
    <cellStyle name="Normal 2 2 4 2 2 2 4 2 3 2" xfId="15735"/>
    <cellStyle name="Normal 2 2 4 2 2 2 4 2 4" xfId="15736"/>
    <cellStyle name="Normal 2 2 4 2 2 2 4 2 4 2" xfId="15737"/>
    <cellStyle name="Normal 2 2 4 2 2 2 4 2 5" xfId="15738"/>
    <cellStyle name="Normal 2 2 4 2 2 2 4 2 5 2" xfId="15739"/>
    <cellStyle name="Normal 2 2 4 2 2 2 4 2 6" xfId="15740"/>
    <cellStyle name="Normal 2 2 4 2 2 2 4 2 6 2" xfId="15741"/>
    <cellStyle name="Normal 2 2 4 2 2 2 4 2 7" xfId="15742"/>
    <cellStyle name="Normal 2 2 4 2 2 2 4 2 7 2" xfId="15743"/>
    <cellStyle name="Normal 2 2 4 2 2 2 4 2 8" xfId="15744"/>
    <cellStyle name="Normal 2 2 4 2 2 2 4 2 8 2" xfId="15745"/>
    <cellStyle name="Normal 2 2 4 2 2 2 4 2 9" xfId="15746"/>
    <cellStyle name="Normal 2 2 4 2 2 2 4 2 9 2" xfId="15747"/>
    <cellStyle name="Normal 2 2 4 2 2 2 4 3" xfId="15748"/>
    <cellStyle name="Normal 2 2 4 2 2 2 4 3 10" xfId="15749"/>
    <cellStyle name="Normal 2 2 4 2 2 2 4 3 10 2" xfId="15750"/>
    <cellStyle name="Normal 2 2 4 2 2 2 4 3 11" xfId="15751"/>
    <cellStyle name="Normal 2 2 4 2 2 2 4 3 2" xfId="15752"/>
    <cellStyle name="Normal 2 2 4 2 2 2 4 3 2 2" xfId="15753"/>
    <cellStyle name="Normal 2 2 4 2 2 2 4 3 3" xfId="15754"/>
    <cellStyle name="Normal 2 2 4 2 2 2 4 3 3 2" xfId="15755"/>
    <cellStyle name="Normal 2 2 4 2 2 2 4 3 4" xfId="15756"/>
    <cellStyle name="Normal 2 2 4 2 2 2 4 3 4 2" xfId="15757"/>
    <cellStyle name="Normal 2 2 4 2 2 2 4 3 5" xfId="15758"/>
    <cellStyle name="Normal 2 2 4 2 2 2 4 3 5 2" xfId="15759"/>
    <cellStyle name="Normal 2 2 4 2 2 2 4 3 6" xfId="15760"/>
    <cellStyle name="Normal 2 2 4 2 2 2 4 3 6 2" xfId="15761"/>
    <cellStyle name="Normal 2 2 4 2 2 2 4 3 7" xfId="15762"/>
    <cellStyle name="Normal 2 2 4 2 2 2 4 3 7 2" xfId="15763"/>
    <cellStyle name="Normal 2 2 4 2 2 2 4 3 8" xfId="15764"/>
    <cellStyle name="Normal 2 2 4 2 2 2 4 3 8 2" xfId="15765"/>
    <cellStyle name="Normal 2 2 4 2 2 2 4 3 9" xfId="15766"/>
    <cellStyle name="Normal 2 2 4 2 2 2 4 3 9 2" xfId="15767"/>
    <cellStyle name="Normal 2 2 4 2 2 2 4 4" xfId="15768"/>
    <cellStyle name="Normal 2 2 4 2 2 2 4 4 2" xfId="15769"/>
    <cellStyle name="Normal 2 2 4 2 2 2 4 5" xfId="15770"/>
    <cellStyle name="Normal 2 2 4 2 2 2 4 5 2" xfId="15771"/>
    <cellStyle name="Normal 2 2 4 2 2 2 4 6" xfId="15772"/>
    <cellStyle name="Normal 2 2 4 2 2 2 4 6 2" xfId="15773"/>
    <cellStyle name="Normal 2 2 4 2 2 2 4 7" xfId="15774"/>
    <cellStyle name="Normal 2 2 4 2 2 2 4 7 2" xfId="15775"/>
    <cellStyle name="Normal 2 2 4 2 2 2 4 8" xfId="15776"/>
    <cellStyle name="Normal 2 2 4 2 2 2 4 8 2" xfId="15777"/>
    <cellStyle name="Normal 2 2 4 2 2 2 4 9" xfId="15778"/>
    <cellStyle name="Normal 2 2 4 2 2 2 4 9 2" xfId="15779"/>
    <cellStyle name="Normal 2 2 4 2 2 2 5" xfId="15780"/>
    <cellStyle name="Normal 2 2 4 2 2 2 5 10" xfId="15781"/>
    <cellStyle name="Normal 2 2 4 2 2 2 5 10 2" xfId="15782"/>
    <cellStyle name="Normal 2 2 4 2 2 2 5 11" xfId="15783"/>
    <cellStyle name="Normal 2 2 4 2 2 2 5 11 2" xfId="15784"/>
    <cellStyle name="Normal 2 2 4 2 2 2 5 12" xfId="15785"/>
    <cellStyle name="Normal 2 2 4 2 2 2 5 12 2" xfId="15786"/>
    <cellStyle name="Normal 2 2 4 2 2 2 5 13" xfId="15787"/>
    <cellStyle name="Normal 2 2 4 2 2 2 5 2" xfId="15788"/>
    <cellStyle name="Normal 2 2 4 2 2 2 5 2 10" xfId="15789"/>
    <cellStyle name="Normal 2 2 4 2 2 2 5 2 10 2" xfId="15790"/>
    <cellStyle name="Normal 2 2 4 2 2 2 5 2 11" xfId="15791"/>
    <cellStyle name="Normal 2 2 4 2 2 2 5 2 11 2" xfId="15792"/>
    <cellStyle name="Normal 2 2 4 2 2 2 5 2 12" xfId="15793"/>
    <cellStyle name="Normal 2 2 4 2 2 2 5 2 2" xfId="15794"/>
    <cellStyle name="Normal 2 2 4 2 2 2 5 2 2 10" xfId="15795"/>
    <cellStyle name="Normal 2 2 4 2 2 2 5 2 2 10 2" xfId="15796"/>
    <cellStyle name="Normal 2 2 4 2 2 2 5 2 2 11" xfId="15797"/>
    <cellStyle name="Normal 2 2 4 2 2 2 5 2 2 2" xfId="15798"/>
    <cellStyle name="Normal 2 2 4 2 2 2 5 2 2 2 2" xfId="15799"/>
    <cellStyle name="Normal 2 2 4 2 2 2 5 2 2 3" xfId="15800"/>
    <cellStyle name="Normal 2 2 4 2 2 2 5 2 2 3 2" xfId="15801"/>
    <cellStyle name="Normal 2 2 4 2 2 2 5 2 2 4" xfId="15802"/>
    <cellStyle name="Normal 2 2 4 2 2 2 5 2 2 4 2" xfId="15803"/>
    <cellStyle name="Normal 2 2 4 2 2 2 5 2 2 5" xfId="15804"/>
    <cellStyle name="Normal 2 2 4 2 2 2 5 2 2 5 2" xfId="15805"/>
    <cellStyle name="Normal 2 2 4 2 2 2 5 2 2 6" xfId="15806"/>
    <cellStyle name="Normal 2 2 4 2 2 2 5 2 2 6 2" xfId="15807"/>
    <cellStyle name="Normal 2 2 4 2 2 2 5 2 2 7" xfId="15808"/>
    <cellStyle name="Normal 2 2 4 2 2 2 5 2 2 7 2" xfId="15809"/>
    <cellStyle name="Normal 2 2 4 2 2 2 5 2 2 8" xfId="15810"/>
    <cellStyle name="Normal 2 2 4 2 2 2 5 2 2 8 2" xfId="15811"/>
    <cellStyle name="Normal 2 2 4 2 2 2 5 2 2 9" xfId="15812"/>
    <cellStyle name="Normal 2 2 4 2 2 2 5 2 2 9 2" xfId="15813"/>
    <cellStyle name="Normal 2 2 4 2 2 2 5 2 3" xfId="15814"/>
    <cellStyle name="Normal 2 2 4 2 2 2 5 2 3 2" xfId="15815"/>
    <cellStyle name="Normal 2 2 4 2 2 2 5 2 4" xfId="15816"/>
    <cellStyle name="Normal 2 2 4 2 2 2 5 2 4 2" xfId="15817"/>
    <cellStyle name="Normal 2 2 4 2 2 2 5 2 5" xfId="15818"/>
    <cellStyle name="Normal 2 2 4 2 2 2 5 2 5 2" xfId="15819"/>
    <cellStyle name="Normal 2 2 4 2 2 2 5 2 6" xfId="15820"/>
    <cellStyle name="Normal 2 2 4 2 2 2 5 2 6 2" xfId="15821"/>
    <cellStyle name="Normal 2 2 4 2 2 2 5 2 7" xfId="15822"/>
    <cellStyle name="Normal 2 2 4 2 2 2 5 2 7 2" xfId="15823"/>
    <cellStyle name="Normal 2 2 4 2 2 2 5 2 8" xfId="15824"/>
    <cellStyle name="Normal 2 2 4 2 2 2 5 2 8 2" xfId="15825"/>
    <cellStyle name="Normal 2 2 4 2 2 2 5 2 9" xfId="15826"/>
    <cellStyle name="Normal 2 2 4 2 2 2 5 2 9 2" xfId="15827"/>
    <cellStyle name="Normal 2 2 4 2 2 2 5 3" xfId="15828"/>
    <cellStyle name="Normal 2 2 4 2 2 2 5 3 10" xfId="15829"/>
    <cellStyle name="Normal 2 2 4 2 2 2 5 3 10 2" xfId="15830"/>
    <cellStyle name="Normal 2 2 4 2 2 2 5 3 11" xfId="15831"/>
    <cellStyle name="Normal 2 2 4 2 2 2 5 3 2" xfId="15832"/>
    <cellStyle name="Normal 2 2 4 2 2 2 5 3 2 2" xfId="15833"/>
    <cellStyle name="Normal 2 2 4 2 2 2 5 3 3" xfId="15834"/>
    <cellStyle name="Normal 2 2 4 2 2 2 5 3 3 2" xfId="15835"/>
    <cellStyle name="Normal 2 2 4 2 2 2 5 3 4" xfId="15836"/>
    <cellStyle name="Normal 2 2 4 2 2 2 5 3 4 2" xfId="15837"/>
    <cellStyle name="Normal 2 2 4 2 2 2 5 3 5" xfId="15838"/>
    <cellStyle name="Normal 2 2 4 2 2 2 5 3 5 2" xfId="15839"/>
    <cellStyle name="Normal 2 2 4 2 2 2 5 3 6" xfId="15840"/>
    <cellStyle name="Normal 2 2 4 2 2 2 5 3 6 2" xfId="15841"/>
    <cellStyle name="Normal 2 2 4 2 2 2 5 3 7" xfId="15842"/>
    <cellStyle name="Normal 2 2 4 2 2 2 5 3 7 2" xfId="15843"/>
    <cellStyle name="Normal 2 2 4 2 2 2 5 3 8" xfId="15844"/>
    <cellStyle name="Normal 2 2 4 2 2 2 5 3 8 2" xfId="15845"/>
    <cellStyle name="Normal 2 2 4 2 2 2 5 3 9" xfId="15846"/>
    <cellStyle name="Normal 2 2 4 2 2 2 5 3 9 2" xfId="15847"/>
    <cellStyle name="Normal 2 2 4 2 2 2 5 4" xfId="15848"/>
    <cellStyle name="Normal 2 2 4 2 2 2 5 4 2" xfId="15849"/>
    <cellStyle name="Normal 2 2 4 2 2 2 5 5" xfId="15850"/>
    <cellStyle name="Normal 2 2 4 2 2 2 5 5 2" xfId="15851"/>
    <cellStyle name="Normal 2 2 4 2 2 2 5 6" xfId="15852"/>
    <cellStyle name="Normal 2 2 4 2 2 2 5 6 2" xfId="15853"/>
    <cellStyle name="Normal 2 2 4 2 2 2 5 7" xfId="15854"/>
    <cellStyle name="Normal 2 2 4 2 2 2 5 7 2" xfId="15855"/>
    <cellStyle name="Normal 2 2 4 2 2 2 5 8" xfId="15856"/>
    <cellStyle name="Normal 2 2 4 2 2 2 5 8 2" xfId="15857"/>
    <cellStyle name="Normal 2 2 4 2 2 2 5 9" xfId="15858"/>
    <cellStyle name="Normal 2 2 4 2 2 2 5 9 2" xfId="15859"/>
    <cellStyle name="Normal 2 2 4 2 2 2 6" xfId="15860"/>
    <cellStyle name="Normal 2 2 4 2 2 3" xfId="15861"/>
    <cellStyle name="Normal 2 2 4 2 2 3 2" xfId="15862"/>
    <cellStyle name="Normal 2 2 4 2 2 4" xfId="15863"/>
    <cellStyle name="Normal 2 2 4 2 2 4 2" xfId="15864"/>
    <cellStyle name="Normal 2 2 4 2 2 5" xfId="15865"/>
    <cellStyle name="Normal 2 2 4 2 2 5 2" xfId="15866"/>
    <cellStyle name="Normal 2 2 4 2 2 6" xfId="15867"/>
    <cellStyle name="Normal 2 2 4 2 2 6 2" xfId="15868"/>
    <cellStyle name="Normal 2 2 4 2 2 7" xfId="15869"/>
    <cellStyle name="Normal 2 2 4 2 2 7 10" xfId="15870"/>
    <cellStyle name="Normal 2 2 4 2 2 7 10 2" xfId="15871"/>
    <cellStyle name="Normal 2 2 4 2 2 7 11" xfId="15872"/>
    <cellStyle name="Normal 2 2 4 2 2 7 11 2" xfId="15873"/>
    <cellStyle name="Normal 2 2 4 2 2 7 12" xfId="15874"/>
    <cellStyle name="Normal 2 2 4 2 2 7 2" xfId="15875"/>
    <cellStyle name="Normal 2 2 4 2 2 7 2 10" xfId="15876"/>
    <cellStyle name="Normal 2 2 4 2 2 7 2 10 2" xfId="15877"/>
    <cellStyle name="Normal 2 2 4 2 2 7 2 11" xfId="15878"/>
    <cellStyle name="Normal 2 2 4 2 2 7 2 2" xfId="15879"/>
    <cellStyle name="Normal 2 2 4 2 2 7 2 2 2" xfId="15880"/>
    <cellStyle name="Normal 2 2 4 2 2 7 2 3" xfId="15881"/>
    <cellStyle name="Normal 2 2 4 2 2 7 2 3 2" xfId="15882"/>
    <cellStyle name="Normal 2 2 4 2 2 7 2 4" xfId="15883"/>
    <cellStyle name="Normal 2 2 4 2 2 7 2 4 2" xfId="15884"/>
    <cellStyle name="Normal 2 2 4 2 2 7 2 5" xfId="15885"/>
    <cellStyle name="Normal 2 2 4 2 2 7 2 5 2" xfId="15886"/>
    <cellStyle name="Normal 2 2 4 2 2 7 2 6" xfId="15887"/>
    <cellStyle name="Normal 2 2 4 2 2 7 2 6 2" xfId="15888"/>
    <cellStyle name="Normal 2 2 4 2 2 7 2 7" xfId="15889"/>
    <cellStyle name="Normal 2 2 4 2 2 7 2 7 2" xfId="15890"/>
    <cellStyle name="Normal 2 2 4 2 2 7 2 8" xfId="15891"/>
    <cellStyle name="Normal 2 2 4 2 2 7 2 8 2" xfId="15892"/>
    <cellStyle name="Normal 2 2 4 2 2 7 2 9" xfId="15893"/>
    <cellStyle name="Normal 2 2 4 2 2 7 2 9 2" xfId="15894"/>
    <cellStyle name="Normal 2 2 4 2 2 7 3" xfId="15895"/>
    <cellStyle name="Normal 2 2 4 2 2 7 3 2" xfId="15896"/>
    <cellStyle name="Normal 2 2 4 2 2 7 4" xfId="15897"/>
    <cellStyle name="Normal 2 2 4 2 2 7 4 2" xfId="15898"/>
    <cellStyle name="Normal 2 2 4 2 2 7 5" xfId="15899"/>
    <cellStyle name="Normal 2 2 4 2 2 7 5 2" xfId="15900"/>
    <cellStyle name="Normal 2 2 4 2 2 7 6" xfId="15901"/>
    <cellStyle name="Normal 2 2 4 2 2 7 6 2" xfId="15902"/>
    <cellStyle name="Normal 2 2 4 2 2 7 7" xfId="15903"/>
    <cellStyle name="Normal 2 2 4 2 2 7 7 2" xfId="15904"/>
    <cellStyle name="Normal 2 2 4 2 2 7 8" xfId="15905"/>
    <cellStyle name="Normal 2 2 4 2 2 7 8 2" xfId="15906"/>
    <cellStyle name="Normal 2 2 4 2 2 7 9" xfId="15907"/>
    <cellStyle name="Normal 2 2 4 2 2 7 9 2" xfId="15908"/>
    <cellStyle name="Normal 2 2 4 2 2 8" xfId="15909"/>
    <cellStyle name="Normal 2 2 4 2 2 8 10" xfId="15910"/>
    <cellStyle name="Normal 2 2 4 2 2 8 10 2" xfId="15911"/>
    <cellStyle name="Normal 2 2 4 2 2 8 11" xfId="15912"/>
    <cellStyle name="Normal 2 2 4 2 2 8 2" xfId="15913"/>
    <cellStyle name="Normal 2 2 4 2 2 8 2 2" xfId="15914"/>
    <cellStyle name="Normal 2 2 4 2 2 8 3" xfId="15915"/>
    <cellStyle name="Normal 2 2 4 2 2 8 3 2" xfId="15916"/>
    <cellStyle name="Normal 2 2 4 2 2 8 4" xfId="15917"/>
    <cellStyle name="Normal 2 2 4 2 2 8 4 2" xfId="15918"/>
    <cellStyle name="Normal 2 2 4 2 2 8 5" xfId="15919"/>
    <cellStyle name="Normal 2 2 4 2 2 8 5 2" xfId="15920"/>
    <cellStyle name="Normal 2 2 4 2 2 8 6" xfId="15921"/>
    <cellStyle name="Normal 2 2 4 2 2 8 6 2" xfId="15922"/>
    <cellStyle name="Normal 2 2 4 2 2 8 7" xfId="15923"/>
    <cellStyle name="Normal 2 2 4 2 2 8 7 2" xfId="15924"/>
    <cellStyle name="Normal 2 2 4 2 2 8 8" xfId="15925"/>
    <cellStyle name="Normal 2 2 4 2 2 8 8 2" xfId="15926"/>
    <cellStyle name="Normal 2 2 4 2 2 8 9" xfId="15927"/>
    <cellStyle name="Normal 2 2 4 2 2 8 9 2" xfId="15928"/>
    <cellStyle name="Normal 2 2 4 2 2 9" xfId="15929"/>
    <cellStyle name="Normal 2 2 4 2 2 9 2" xfId="15930"/>
    <cellStyle name="Normal 2 2 4 2 3" xfId="15931"/>
    <cellStyle name="Normal 2 2 4 2 3 2" xfId="15932"/>
    <cellStyle name="Normal 2 2 4 2 4" xfId="15933"/>
    <cellStyle name="Normal 2 2 4 2 4 2" xfId="15934"/>
    <cellStyle name="Normal 2 2 4 2 5" xfId="15935"/>
    <cellStyle name="Normal 2 2 4 2 5 2" xfId="15936"/>
    <cellStyle name="Normal 2 2 4 2 6" xfId="15937"/>
    <cellStyle name="Normal 2 2 4 2 6 10" xfId="15938"/>
    <cellStyle name="Normal 2 2 4 2 6 10 2" xfId="15939"/>
    <cellStyle name="Normal 2 2 4 2 6 11" xfId="15940"/>
    <cellStyle name="Normal 2 2 4 2 6 11 2" xfId="15941"/>
    <cellStyle name="Normal 2 2 4 2 6 12" xfId="15942"/>
    <cellStyle name="Normal 2 2 4 2 6 12 2" xfId="15943"/>
    <cellStyle name="Normal 2 2 4 2 6 13" xfId="15944"/>
    <cellStyle name="Normal 2 2 4 2 6 13 2" xfId="15945"/>
    <cellStyle name="Normal 2 2 4 2 6 14" xfId="15946"/>
    <cellStyle name="Normal 2 2 4 2 6 14 2" xfId="15947"/>
    <cellStyle name="Normal 2 2 4 2 6 15" xfId="15948"/>
    <cellStyle name="Normal 2 2 4 2 6 15 2" xfId="15949"/>
    <cellStyle name="Normal 2 2 4 2 6 16" xfId="15950"/>
    <cellStyle name="Normal 2 2 4 2 6 16 2" xfId="15951"/>
    <cellStyle name="Normal 2 2 4 2 6 17" xfId="15952"/>
    <cellStyle name="Normal 2 2 4 2 6 2" xfId="15953"/>
    <cellStyle name="Normal 2 2 4 2 6 2 2" xfId="15954"/>
    <cellStyle name="Normal 2 2 4 2 6 3" xfId="15955"/>
    <cellStyle name="Normal 2 2 4 2 6 3 2" xfId="15956"/>
    <cellStyle name="Normal 2 2 4 2 6 4" xfId="15957"/>
    <cellStyle name="Normal 2 2 4 2 6 4 2" xfId="15958"/>
    <cellStyle name="Normal 2 2 4 2 6 5" xfId="15959"/>
    <cellStyle name="Normal 2 2 4 2 6 5 2" xfId="15960"/>
    <cellStyle name="Normal 2 2 4 2 6 6" xfId="15961"/>
    <cellStyle name="Normal 2 2 4 2 6 6 10" xfId="15962"/>
    <cellStyle name="Normal 2 2 4 2 6 6 10 2" xfId="15963"/>
    <cellStyle name="Normal 2 2 4 2 6 6 11" xfId="15964"/>
    <cellStyle name="Normal 2 2 4 2 6 6 11 2" xfId="15965"/>
    <cellStyle name="Normal 2 2 4 2 6 6 12" xfId="15966"/>
    <cellStyle name="Normal 2 2 4 2 6 6 2" xfId="15967"/>
    <cellStyle name="Normal 2 2 4 2 6 6 2 10" xfId="15968"/>
    <cellStyle name="Normal 2 2 4 2 6 6 2 10 2" xfId="15969"/>
    <cellStyle name="Normal 2 2 4 2 6 6 2 11" xfId="15970"/>
    <cellStyle name="Normal 2 2 4 2 6 6 2 2" xfId="15971"/>
    <cellStyle name="Normal 2 2 4 2 6 6 2 2 2" xfId="15972"/>
    <cellStyle name="Normal 2 2 4 2 6 6 2 3" xfId="15973"/>
    <cellStyle name="Normal 2 2 4 2 6 6 2 3 2" xfId="15974"/>
    <cellStyle name="Normal 2 2 4 2 6 6 2 4" xfId="15975"/>
    <cellStyle name="Normal 2 2 4 2 6 6 2 4 2" xfId="15976"/>
    <cellStyle name="Normal 2 2 4 2 6 6 2 5" xfId="15977"/>
    <cellStyle name="Normal 2 2 4 2 6 6 2 5 2" xfId="15978"/>
    <cellStyle name="Normal 2 2 4 2 6 6 2 6" xfId="15979"/>
    <cellStyle name="Normal 2 2 4 2 6 6 2 6 2" xfId="15980"/>
    <cellStyle name="Normal 2 2 4 2 6 6 2 7" xfId="15981"/>
    <cellStyle name="Normal 2 2 4 2 6 6 2 7 2" xfId="15982"/>
    <cellStyle name="Normal 2 2 4 2 6 6 2 8" xfId="15983"/>
    <cellStyle name="Normal 2 2 4 2 6 6 2 8 2" xfId="15984"/>
    <cellStyle name="Normal 2 2 4 2 6 6 2 9" xfId="15985"/>
    <cellStyle name="Normal 2 2 4 2 6 6 2 9 2" xfId="15986"/>
    <cellStyle name="Normal 2 2 4 2 6 6 3" xfId="15987"/>
    <cellStyle name="Normal 2 2 4 2 6 6 3 2" xfId="15988"/>
    <cellStyle name="Normal 2 2 4 2 6 6 4" xfId="15989"/>
    <cellStyle name="Normal 2 2 4 2 6 6 4 2" xfId="15990"/>
    <cellStyle name="Normal 2 2 4 2 6 6 5" xfId="15991"/>
    <cellStyle name="Normal 2 2 4 2 6 6 5 2" xfId="15992"/>
    <cellStyle name="Normal 2 2 4 2 6 6 6" xfId="15993"/>
    <cellStyle name="Normal 2 2 4 2 6 6 6 2" xfId="15994"/>
    <cellStyle name="Normal 2 2 4 2 6 6 7" xfId="15995"/>
    <cellStyle name="Normal 2 2 4 2 6 6 7 2" xfId="15996"/>
    <cellStyle name="Normal 2 2 4 2 6 6 8" xfId="15997"/>
    <cellStyle name="Normal 2 2 4 2 6 6 8 2" xfId="15998"/>
    <cellStyle name="Normal 2 2 4 2 6 6 9" xfId="15999"/>
    <cellStyle name="Normal 2 2 4 2 6 6 9 2" xfId="16000"/>
    <cellStyle name="Normal 2 2 4 2 6 7" xfId="16001"/>
    <cellStyle name="Normal 2 2 4 2 6 7 10" xfId="16002"/>
    <cellStyle name="Normal 2 2 4 2 6 7 10 2" xfId="16003"/>
    <cellStyle name="Normal 2 2 4 2 6 7 11" xfId="16004"/>
    <cellStyle name="Normal 2 2 4 2 6 7 2" xfId="16005"/>
    <cellStyle name="Normal 2 2 4 2 6 7 2 2" xfId="16006"/>
    <cellStyle name="Normal 2 2 4 2 6 7 3" xfId="16007"/>
    <cellStyle name="Normal 2 2 4 2 6 7 3 2" xfId="16008"/>
    <cellStyle name="Normal 2 2 4 2 6 7 4" xfId="16009"/>
    <cellStyle name="Normal 2 2 4 2 6 7 4 2" xfId="16010"/>
    <cellStyle name="Normal 2 2 4 2 6 7 5" xfId="16011"/>
    <cellStyle name="Normal 2 2 4 2 6 7 5 2" xfId="16012"/>
    <cellStyle name="Normal 2 2 4 2 6 7 6" xfId="16013"/>
    <cellStyle name="Normal 2 2 4 2 6 7 6 2" xfId="16014"/>
    <cellStyle name="Normal 2 2 4 2 6 7 7" xfId="16015"/>
    <cellStyle name="Normal 2 2 4 2 6 7 7 2" xfId="16016"/>
    <cellStyle name="Normal 2 2 4 2 6 7 8" xfId="16017"/>
    <cellStyle name="Normal 2 2 4 2 6 7 8 2" xfId="16018"/>
    <cellStyle name="Normal 2 2 4 2 6 7 9" xfId="16019"/>
    <cellStyle name="Normal 2 2 4 2 6 7 9 2" xfId="16020"/>
    <cellStyle name="Normal 2 2 4 2 6 8" xfId="16021"/>
    <cellStyle name="Normal 2 2 4 2 6 8 2" xfId="16022"/>
    <cellStyle name="Normal 2 2 4 2 6 9" xfId="16023"/>
    <cellStyle name="Normal 2 2 4 2 6 9 2" xfId="16024"/>
    <cellStyle name="Normal 2 2 4 2 7" xfId="16025"/>
    <cellStyle name="Normal 2 2 4 2 7 10" xfId="16026"/>
    <cellStyle name="Normal 2 2 4 2 7 10 2" xfId="16027"/>
    <cellStyle name="Normal 2 2 4 2 7 11" xfId="16028"/>
    <cellStyle name="Normal 2 2 4 2 7 11 2" xfId="16029"/>
    <cellStyle name="Normal 2 2 4 2 7 12" xfId="16030"/>
    <cellStyle name="Normal 2 2 4 2 7 12 2" xfId="16031"/>
    <cellStyle name="Normal 2 2 4 2 7 13" xfId="16032"/>
    <cellStyle name="Normal 2 2 4 2 7 2" xfId="16033"/>
    <cellStyle name="Normal 2 2 4 2 7 2 10" xfId="16034"/>
    <cellStyle name="Normal 2 2 4 2 7 2 10 2" xfId="16035"/>
    <cellStyle name="Normal 2 2 4 2 7 2 11" xfId="16036"/>
    <cellStyle name="Normal 2 2 4 2 7 2 11 2" xfId="16037"/>
    <cellStyle name="Normal 2 2 4 2 7 2 12" xfId="16038"/>
    <cellStyle name="Normal 2 2 4 2 7 2 2" xfId="16039"/>
    <cellStyle name="Normal 2 2 4 2 7 2 2 10" xfId="16040"/>
    <cellStyle name="Normal 2 2 4 2 7 2 2 10 2" xfId="16041"/>
    <cellStyle name="Normal 2 2 4 2 7 2 2 11" xfId="16042"/>
    <cellStyle name="Normal 2 2 4 2 7 2 2 2" xfId="16043"/>
    <cellStyle name="Normal 2 2 4 2 7 2 2 2 2" xfId="16044"/>
    <cellStyle name="Normal 2 2 4 2 7 2 2 3" xfId="16045"/>
    <cellStyle name="Normal 2 2 4 2 7 2 2 3 2" xfId="16046"/>
    <cellStyle name="Normal 2 2 4 2 7 2 2 4" xfId="16047"/>
    <cellStyle name="Normal 2 2 4 2 7 2 2 4 2" xfId="16048"/>
    <cellStyle name="Normal 2 2 4 2 7 2 2 5" xfId="16049"/>
    <cellStyle name="Normal 2 2 4 2 7 2 2 5 2" xfId="16050"/>
    <cellStyle name="Normal 2 2 4 2 7 2 2 6" xfId="16051"/>
    <cellStyle name="Normal 2 2 4 2 7 2 2 6 2" xfId="16052"/>
    <cellStyle name="Normal 2 2 4 2 7 2 2 7" xfId="16053"/>
    <cellStyle name="Normal 2 2 4 2 7 2 2 7 2" xfId="16054"/>
    <cellStyle name="Normal 2 2 4 2 7 2 2 8" xfId="16055"/>
    <cellStyle name="Normal 2 2 4 2 7 2 2 8 2" xfId="16056"/>
    <cellStyle name="Normal 2 2 4 2 7 2 2 9" xfId="16057"/>
    <cellStyle name="Normal 2 2 4 2 7 2 2 9 2" xfId="16058"/>
    <cellStyle name="Normal 2 2 4 2 7 2 3" xfId="16059"/>
    <cellStyle name="Normal 2 2 4 2 7 2 3 2" xfId="16060"/>
    <cellStyle name="Normal 2 2 4 2 7 2 4" xfId="16061"/>
    <cellStyle name="Normal 2 2 4 2 7 2 4 2" xfId="16062"/>
    <cellStyle name="Normal 2 2 4 2 7 2 5" xfId="16063"/>
    <cellStyle name="Normal 2 2 4 2 7 2 5 2" xfId="16064"/>
    <cellStyle name="Normal 2 2 4 2 7 2 6" xfId="16065"/>
    <cellStyle name="Normal 2 2 4 2 7 2 6 2" xfId="16066"/>
    <cellStyle name="Normal 2 2 4 2 7 2 7" xfId="16067"/>
    <cellStyle name="Normal 2 2 4 2 7 2 7 2" xfId="16068"/>
    <cellStyle name="Normal 2 2 4 2 7 2 8" xfId="16069"/>
    <cellStyle name="Normal 2 2 4 2 7 2 8 2" xfId="16070"/>
    <cellStyle name="Normal 2 2 4 2 7 2 9" xfId="16071"/>
    <cellStyle name="Normal 2 2 4 2 7 2 9 2" xfId="16072"/>
    <cellStyle name="Normal 2 2 4 2 7 3" xfId="16073"/>
    <cellStyle name="Normal 2 2 4 2 7 3 10" xfId="16074"/>
    <cellStyle name="Normal 2 2 4 2 7 3 10 2" xfId="16075"/>
    <cellStyle name="Normal 2 2 4 2 7 3 11" xfId="16076"/>
    <cellStyle name="Normal 2 2 4 2 7 3 2" xfId="16077"/>
    <cellStyle name="Normal 2 2 4 2 7 3 2 2" xfId="16078"/>
    <cellStyle name="Normal 2 2 4 2 7 3 3" xfId="16079"/>
    <cellStyle name="Normal 2 2 4 2 7 3 3 2" xfId="16080"/>
    <cellStyle name="Normal 2 2 4 2 7 3 4" xfId="16081"/>
    <cellStyle name="Normal 2 2 4 2 7 3 4 2" xfId="16082"/>
    <cellStyle name="Normal 2 2 4 2 7 3 5" xfId="16083"/>
    <cellStyle name="Normal 2 2 4 2 7 3 5 2" xfId="16084"/>
    <cellStyle name="Normal 2 2 4 2 7 3 6" xfId="16085"/>
    <cellStyle name="Normal 2 2 4 2 7 3 6 2" xfId="16086"/>
    <cellStyle name="Normal 2 2 4 2 7 3 7" xfId="16087"/>
    <cellStyle name="Normal 2 2 4 2 7 3 7 2" xfId="16088"/>
    <cellStyle name="Normal 2 2 4 2 7 3 8" xfId="16089"/>
    <cellStyle name="Normal 2 2 4 2 7 3 8 2" xfId="16090"/>
    <cellStyle name="Normal 2 2 4 2 7 3 9" xfId="16091"/>
    <cellStyle name="Normal 2 2 4 2 7 3 9 2" xfId="16092"/>
    <cellStyle name="Normal 2 2 4 2 7 4" xfId="16093"/>
    <cellStyle name="Normal 2 2 4 2 7 4 2" xfId="16094"/>
    <cellStyle name="Normal 2 2 4 2 7 5" xfId="16095"/>
    <cellStyle name="Normal 2 2 4 2 7 5 2" xfId="16096"/>
    <cellStyle name="Normal 2 2 4 2 7 6" xfId="16097"/>
    <cellStyle name="Normal 2 2 4 2 7 6 2" xfId="16098"/>
    <cellStyle name="Normal 2 2 4 2 7 7" xfId="16099"/>
    <cellStyle name="Normal 2 2 4 2 7 7 2" xfId="16100"/>
    <cellStyle name="Normal 2 2 4 2 7 8" xfId="16101"/>
    <cellStyle name="Normal 2 2 4 2 7 8 2" xfId="16102"/>
    <cellStyle name="Normal 2 2 4 2 7 9" xfId="16103"/>
    <cellStyle name="Normal 2 2 4 2 7 9 2" xfId="16104"/>
    <cellStyle name="Normal 2 2 4 2 8" xfId="16105"/>
    <cellStyle name="Normal 2 2 4 2 8 10" xfId="16106"/>
    <cellStyle name="Normal 2 2 4 2 8 10 2" xfId="16107"/>
    <cellStyle name="Normal 2 2 4 2 8 11" xfId="16108"/>
    <cellStyle name="Normal 2 2 4 2 8 11 2" xfId="16109"/>
    <cellStyle name="Normal 2 2 4 2 8 12" xfId="16110"/>
    <cellStyle name="Normal 2 2 4 2 8 12 2" xfId="16111"/>
    <cellStyle name="Normal 2 2 4 2 8 13" xfId="16112"/>
    <cellStyle name="Normal 2 2 4 2 8 2" xfId="16113"/>
    <cellStyle name="Normal 2 2 4 2 8 2 10" xfId="16114"/>
    <cellStyle name="Normal 2 2 4 2 8 2 10 2" xfId="16115"/>
    <cellStyle name="Normal 2 2 4 2 8 2 11" xfId="16116"/>
    <cellStyle name="Normal 2 2 4 2 8 2 11 2" xfId="16117"/>
    <cellStyle name="Normal 2 2 4 2 8 2 12" xfId="16118"/>
    <cellStyle name="Normal 2 2 4 2 8 2 2" xfId="16119"/>
    <cellStyle name="Normal 2 2 4 2 8 2 2 10" xfId="16120"/>
    <cellStyle name="Normal 2 2 4 2 8 2 2 10 2" xfId="16121"/>
    <cellStyle name="Normal 2 2 4 2 8 2 2 11" xfId="16122"/>
    <cellStyle name="Normal 2 2 4 2 8 2 2 2" xfId="16123"/>
    <cellStyle name="Normal 2 2 4 2 8 2 2 2 2" xfId="16124"/>
    <cellStyle name="Normal 2 2 4 2 8 2 2 3" xfId="16125"/>
    <cellStyle name="Normal 2 2 4 2 8 2 2 3 2" xfId="16126"/>
    <cellStyle name="Normal 2 2 4 2 8 2 2 4" xfId="16127"/>
    <cellStyle name="Normal 2 2 4 2 8 2 2 4 2" xfId="16128"/>
    <cellStyle name="Normal 2 2 4 2 8 2 2 5" xfId="16129"/>
    <cellStyle name="Normal 2 2 4 2 8 2 2 5 2" xfId="16130"/>
    <cellStyle name="Normal 2 2 4 2 8 2 2 6" xfId="16131"/>
    <cellStyle name="Normal 2 2 4 2 8 2 2 6 2" xfId="16132"/>
    <cellStyle name="Normal 2 2 4 2 8 2 2 7" xfId="16133"/>
    <cellStyle name="Normal 2 2 4 2 8 2 2 7 2" xfId="16134"/>
    <cellStyle name="Normal 2 2 4 2 8 2 2 8" xfId="16135"/>
    <cellStyle name="Normal 2 2 4 2 8 2 2 8 2" xfId="16136"/>
    <cellStyle name="Normal 2 2 4 2 8 2 2 9" xfId="16137"/>
    <cellStyle name="Normal 2 2 4 2 8 2 2 9 2" xfId="16138"/>
    <cellStyle name="Normal 2 2 4 2 8 2 3" xfId="16139"/>
    <cellStyle name="Normal 2 2 4 2 8 2 3 2" xfId="16140"/>
    <cellStyle name="Normal 2 2 4 2 8 2 4" xfId="16141"/>
    <cellStyle name="Normal 2 2 4 2 8 2 4 2" xfId="16142"/>
    <cellStyle name="Normal 2 2 4 2 8 2 5" xfId="16143"/>
    <cellStyle name="Normal 2 2 4 2 8 2 5 2" xfId="16144"/>
    <cellStyle name="Normal 2 2 4 2 8 2 6" xfId="16145"/>
    <cellStyle name="Normal 2 2 4 2 8 2 6 2" xfId="16146"/>
    <cellStyle name="Normal 2 2 4 2 8 2 7" xfId="16147"/>
    <cellStyle name="Normal 2 2 4 2 8 2 7 2" xfId="16148"/>
    <cellStyle name="Normal 2 2 4 2 8 2 8" xfId="16149"/>
    <cellStyle name="Normal 2 2 4 2 8 2 8 2" xfId="16150"/>
    <cellStyle name="Normal 2 2 4 2 8 2 9" xfId="16151"/>
    <cellStyle name="Normal 2 2 4 2 8 2 9 2" xfId="16152"/>
    <cellStyle name="Normal 2 2 4 2 8 3" xfId="16153"/>
    <cellStyle name="Normal 2 2 4 2 8 3 10" xfId="16154"/>
    <cellStyle name="Normal 2 2 4 2 8 3 10 2" xfId="16155"/>
    <cellStyle name="Normal 2 2 4 2 8 3 11" xfId="16156"/>
    <cellStyle name="Normal 2 2 4 2 8 3 2" xfId="16157"/>
    <cellStyle name="Normal 2 2 4 2 8 3 2 2" xfId="16158"/>
    <cellStyle name="Normal 2 2 4 2 8 3 3" xfId="16159"/>
    <cellStyle name="Normal 2 2 4 2 8 3 3 2" xfId="16160"/>
    <cellStyle name="Normal 2 2 4 2 8 3 4" xfId="16161"/>
    <cellStyle name="Normal 2 2 4 2 8 3 4 2" xfId="16162"/>
    <cellStyle name="Normal 2 2 4 2 8 3 5" xfId="16163"/>
    <cellStyle name="Normal 2 2 4 2 8 3 5 2" xfId="16164"/>
    <cellStyle name="Normal 2 2 4 2 8 3 6" xfId="16165"/>
    <cellStyle name="Normal 2 2 4 2 8 3 6 2" xfId="16166"/>
    <cellStyle name="Normal 2 2 4 2 8 3 7" xfId="16167"/>
    <cellStyle name="Normal 2 2 4 2 8 3 7 2" xfId="16168"/>
    <cellStyle name="Normal 2 2 4 2 8 3 8" xfId="16169"/>
    <cellStyle name="Normal 2 2 4 2 8 3 8 2" xfId="16170"/>
    <cellStyle name="Normal 2 2 4 2 8 3 9" xfId="16171"/>
    <cellStyle name="Normal 2 2 4 2 8 3 9 2" xfId="16172"/>
    <cellStyle name="Normal 2 2 4 2 8 4" xfId="16173"/>
    <cellStyle name="Normal 2 2 4 2 8 4 2" xfId="16174"/>
    <cellStyle name="Normal 2 2 4 2 8 5" xfId="16175"/>
    <cellStyle name="Normal 2 2 4 2 8 5 2" xfId="16176"/>
    <cellStyle name="Normal 2 2 4 2 8 6" xfId="16177"/>
    <cellStyle name="Normal 2 2 4 2 8 6 2" xfId="16178"/>
    <cellStyle name="Normal 2 2 4 2 8 7" xfId="16179"/>
    <cellStyle name="Normal 2 2 4 2 8 7 2" xfId="16180"/>
    <cellStyle name="Normal 2 2 4 2 8 8" xfId="16181"/>
    <cellStyle name="Normal 2 2 4 2 8 8 2" xfId="16182"/>
    <cellStyle name="Normal 2 2 4 2 8 9" xfId="16183"/>
    <cellStyle name="Normal 2 2 4 2 8 9 2" xfId="16184"/>
    <cellStyle name="Normal 2 2 4 2 9" xfId="16185"/>
    <cellStyle name="Normal 2 2 4 2 9 10" xfId="16186"/>
    <cellStyle name="Normal 2 2 4 2 9 10 2" xfId="16187"/>
    <cellStyle name="Normal 2 2 4 2 9 11" xfId="16188"/>
    <cellStyle name="Normal 2 2 4 2 9 11 2" xfId="16189"/>
    <cellStyle name="Normal 2 2 4 2 9 12" xfId="16190"/>
    <cellStyle name="Normal 2 2 4 2 9 12 2" xfId="16191"/>
    <cellStyle name="Normal 2 2 4 2 9 13" xfId="16192"/>
    <cellStyle name="Normal 2 2 4 2 9 2" xfId="16193"/>
    <cellStyle name="Normal 2 2 4 2 9 2 10" xfId="16194"/>
    <cellStyle name="Normal 2 2 4 2 9 2 10 2" xfId="16195"/>
    <cellStyle name="Normal 2 2 4 2 9 2 11" xfId="16196"/>
    <cellStyle name="Normal 2 2 4 2 9 2 11 2" xfId="16197"/>
    <cellStyle name="Normal 2 2 4 2 9 2 12" xfId="16198"/>
    <cellStyle name="Normal 2 2 4 2 9 2 2" xfId="16199"/>
    <cellStyle name="Normal 2 2 4 2 9 2 2 10" xfId="16200"/>
    <cellStyle name="Normal 2 2 4 2 9 2 2 10 2" xfId="16201"/>
    <cellStyle name="Normal 2 2 4 2 9 2 2 11" xfId="16202"/>
    <cellStyle name="Normal 2 2 4 2 9 2 2 2" xfId="16203"/>
    <cellStyle name="Normal 2 2 4 2 9 2 2 2 2" xfId="16204"/>
    <cellStyle name="Normal 2 2 4 2 9 2 2 3" xfId="16205"/>
    <cellStyle name="Normal 2 2 4 2 9 2 2 3 2" xfId="16206"/>
    <cellStyle name="Normal 2 2 4 2 9 2 2 4" xfId="16207"/>
    <cellStyle name="Normal 2 2 4 2 9 2 2 4 2" xfId="16208"/>
    <cellStyle name="Normal 2 2 4 2 9 2 2 5" xfId="16209"/>
    <cellStyle name="Normal 2 2 4 2 9 2 2 5 2" xfId="16210"/>
    <cellStyle name="Normal 2 2 4 2 9 2 2 6" xfId="16211"/>
    <cellStyle name="Normal 2 2 4 2 9 2 2 6 2" xfId="16212"/>
    <cellStyle name="Normal 2 2 4 2 9 2 2 7" xfId="16213"/>
    <cellStyle name="Normal 2 2 4 2 9 2 2 7 2" xfId="16214"/>
    <cellStyle name="Normal 2 2 4 2 9 2 2 8" xfId="16215"/>
    <cellStyle name="Normal 2 2 4 2 9 2 2 8 2" xfId="16216"/>
    <cellStyle name="Normal 2 2 4 2 9 2 2 9" xfId="16217"/>
    <cellStyle name="Normal 2 2 4 2 9 2 2 9 2" xfId="16218"/>
    <cellStyle name="Normal 2 2 4 2 9 2 3" xfId="16219"/>
    <cellStyle name="Normal 2 2 4 2 9 2 3 2" xfId="16220"/>
    <cellStyle name="Normal 2 2 4 2 9 2 4" xfId="16221"/>
    <cellStyle name="Normal 2 2 4 2 9 2 4 2" xfId="16222"/>
    <cellStyle name="Normal 2 2 4 2 9 2 5" xfId="16223"/>
    <cellStyle name="Normal 2 2 4 2 9 2 5 2" xfId="16224"/>
    <cellStyle name="Normal 2 2 4 2 9 2 6" xfId="16225"/>
    <cellStyle name="Normal 2 2 4 2 9 2 6 2" xfId="16226"/>
    <cellStyle name="Normal 2 2 4 2 9 2 7" xfId="16227"/>
    <cellStyle name="Normal 2 2 4 2 9 2 7 2" xfId="16228"/>
    <cellStyle name="Normal 2 2 4 2 9 2 8" xfId="16229"/>
    <cellStyle name="Normal 2 2 4 2 9 2 8 2" xfId="16230"/>
    <cellStyle name="Normal 2 2 4 2 9 2 9" xfId="16231"/>
    <cellStyle name="Normal 2 2 4 2 9 2 9 2" xfId="16232"/>
    <cellStyle name="Normal 2 2 4 2 9 3" xfId="16233"/>
    <cellStyle name="Normal 2 2 4 2 9 3 10" xfId="16234"/>
    <cellStyle name="Normal 2 2 4 2 9 3 10 2" xfId="16235"/>
    <cellStyle name="Normal 2 2 4 2 9 3 11" xfId="16236"/>
    <cellStyle name="Normal 2 2 4 2 9 3 2" xfId="16237"/>
    <cellStyle name="Normal 2 2 4 2 9 3 2 2" xfId="16238"/>
    <cellStyle name="Normal 2 2 4 2 9 3 3" xfId="16239"/>
    <cellStyle name="Normal 2 2 4 2 9 3 3 2" xfId="16240"/>
    <cellStyle name="Normal 2 2 4 2 9 3 4" xfId="16241"/>
    <cellStyle name="Normal 2 2 4 2 9 3 4 2" xfId="16242"/>
    <cellStyle name="Normal 2 2 4 2 9 3 5" xfId="16243"/>
    <cellStyle name="Normal 2 2 4 2 9 3 5 2" xfId="16244"/>
    <cellStyle name="Normal 2 2 4 2 9 3 6" xfId="16245"/>
    <cellStyle name="Normal 2 2 4 2 9 3 6 2" xfId="16246"/>
    <cellStyle name="Normal 2 2 4 2 9 3 7" xfId="16247"/>
    <cellStyle name="Normal 2 2 4 2 9 3 7 2" xfId="16248"/>
    <cellStyle name="Normal 2 2 4 2 9 3 8" xfId="16249"/>
    <cellStyle name="Normal 2 2 4 2 9 3 8 2" xfId="16250"/>
    <cellStyle name="Normal 2 2 4 2 9 3 9" xfId="16251"/>
    <cellStyle name="Normal 2 2 4 2 9 3 9 2" xfId="16252"/>
    <cellStyle name="Normal 2 2 4 2 9 4" xfId="16253"/>
    <cellStyle name="Normal 2 2 4 2 9 4 2" xfId="16254"/>
    <cellStyle name="Normal 2 2 4 2 9 5" xfId="16255"/>
    <cellStyle name="Normal 2 2 4 2 9 5 2" xfId="16256"/>
    <cellStyle name="Normal 2 2 4 2 9 6" xfId="16257"/>
    <cellStyle name="Normal 2 2 4 2 9 6 2" xfId="16258"/>
    <cellStyle name="Normal 2 2 4 2 9 7" xfId="16259"/>
    <cellStyle name="Normal 2 2 4 2 9 7 2" xfId="16260"/>
    <cellStyle name="Normal 2 2 4 2 9 8" xfId="16261"/>
    <cellStyle name="Normal 2 2 4 2 9 8 2" xfId="16262"/>
    <cellStyle name="Normal 2 2 4 2 9 9" xfId="16263"/>
    <cellStyle name="Normal 2 2 4 2 9 9 2" xfId="16264"/>
    <cellStyle name="Normal 2 2 4 20" xfId="16265"/>
    <cellStyle name="Normal 2 2 4 20 2" xfId="16266"/>
    <cellStyle name="Normal 2 2 4 21" xfId="16267"/>
    <cellStyle name="Normal 2 2 4 3" xfId="16268"/>
    <cellStyle name="Normal 2 2 4 3 2" xfId="16269"/>
    <cellStyle name="Normal 2 2 4 3 2 10" xfId="16270"/>
    <cellStyle name="Normal 2 2 4 3 2 10 2" xfId="16271"/>
    <cellStyle name="Normal 2 2 4 3 2 11" xfId="16272"/>
    <cellStyle name="Normal 2 2 4 3 2 11 2" xfId="16273"/>
    <cellStyle name="Normal 2 2 4 3 2 12" xfId="16274"/>
    <cellStyle name="Normal 2 2 4 3 2 12 2" xfId="16275"/>
    <cellStyle name="Normal 2 2 4 3 2 13" xfId="16276"/>
    <cellStyle name="Normal 2 2 4 3 2 13 2" xfId="16277"/>
    <cellStyle name="Normal 2 2 4 3 2 14" xfId="16278"/>
    <cellStyle name="Normal 2 2 4 3 2 14 2" xfId="16279"/>
    <cellStyle name="Normal 2 2 4 3 2 15" xfId="16280"/>
    <cellStyle name="Normal 2 2 4 3 2 15 2" xfId="16281"/>
    <cellStyle name="Normal 2 2 4 3 2 16" xfId="16282"/>
    <cellStyle name="Normal 2 2 4 3 2 16 2" xfId="16283"/>
    <cellStyle name="Normal 2 2 4 3 2 17" xfId="16284"/>
    <cellStyle name="Normal 2 2 4 3 2 2" xfId="16285"/>
    <cellStyle name="Normal 2 2 4 3 2 2 2" xfId="16286"/>
    <cellStyle name="Normal 2 2 4 3 2 2 2 10" xfId="16287"/>
    <cellStyle name="Normal 2 2 4 3 2 2 2 10 2" xfId="16288"/>
    <cellStyle name="Normal 2 2 4 3 2 2 2 11" xfId="16289"/>
    <cellStyle name="Normal 2 2 4 3 2 2 2 11 2" xfId="16290"/>
    <cellStyle name="Normal 2 2 4 3 2 2 2 12" xfId="16291"/>
    <cellStyle name="Normal 2 2 4 3 2 2 2 12 2" xfId="16292"/>
    <cellStyle name="Normal 2 2 4 3 2 2 2 13" xfId="16293"/>
    <cellStyle name="Normal 2 2 4 3 2 2 2 2" xfId="16294"/>
    <cellStyle name="Normal 2 2 4 3 2 2 2 2 10" xfId="16295"/>
    <cellStyle name="Normal 2 2 4 3 2 2 2 2 10 2" xfId="16296"/>
    <cellStyle name="Normal 2 2 4 3 2 2 2 2 11" xfId="16297"/>
    <cellStyle name="Normal 2 2 4 3 2 2 2 2 11 2" xfId="16298"/>
    <cellStyle name="Normal 2 2 4 3 2 2 2 2 12" xfId="16299"/>
    <cellStyle name="Normal 2 2 4 3 2 2 2 2 2" xfId="16300"/>
    <cellStyle name="Normal 2 2 4 3 2 2 2 2 2 10" xfId="16301"/>
    <cellStyle name="Normal 2 2 4 3 2 2 2 2 2 10 2" xfId="16302"/>
    <cellStyle name="Normal 2 2 4 3 2 2 2 2 2 11" xfId="16303"/>
    <cellStyle name="Normal 2 2 4 3 2 2 2 2 2 2" xfId="16304"/>
    <cellStyle name="Normal 2 2 4 3 2 2 2 2 2 2 2" xfId="16305"/>
    <cellStyle name="Normal 2 2 4 3 2 2 2 2 2 3" xfId="16306"/>
    <cellStyle name="Normal 2 2 4 3 2 2 2 2 2 3 2" xfId="16307"/>
    <cellStyle name="Normal 2 2 4 3 2 2 2 2 2 4" xfId="16308"/>
    <cellStyle name="Normal 2 2 4 3 2 2 2 2 2 4 2" xfId="16309"/>
    <cellStyle name="Normal 2 2 4 3 2 2 2 2 2 5" xfId="16310"/>
    <cellStyle name="Normal 2 2 4 3 2 2 2 2 2 5 2" xfId="16311"/>
    <cellStyle name="Normal 2 2 4 3 2 2 2 2 2 6" xfId="16312"/>
    <cellStyle name="Normal 2 2 4 3 2 2 2 2 2 6 2" xfId="16313"/>
    <cellStyle name="Normal 2 2 4 3 2 2 2 2 2 7" xfId="16314"/>
    <cellStyle name="Normal 2 2 4 3 2 2 2 2 2 7 2" xfId="16315"/>
    <cellStyle name="Normal 2 2 4 3 2 2 2 2 2 8" xfId="16316"/>
    <cellStyle name="Normal 2 2 4 3 2 2 2 2 2 8 2" xfId="16317"/>
    <cellStyle name="Normal 2 2 4 3 2 2 2 2 2 9" xfId="16318"/>
    <cellStyle name="Normal 2 2 4 3 2 2 2 2 2 9 2" xfId="16319"/>
    <cellStyle name="Normal 2 2 4 3 2 2 2 2 3" xfId="16320"/>
    <cellStyle name="Normal 2 2 4 3 2 2 2 2 3 2" xfId="16321"/>
    <cellStyle name="Normal 2 2 4 3 2 2 2 2 4" xfId="16322"/>
    <cellStyle name="Normal 2 2 4 3 2 2 2 2 4 2" xfId="16323"/>
    <cellStyle name="Normal 2 2 4 3 2 2 2 2 5" xfId="16324"/>
    <cellStyle name="Normal 2 2 4 3 2 2 2 2 5 2" xfId="16325"/>
    <cellStyle name="Normal 2 2 4 3 2 2 2 2 6" xfId="16326"/>
    <cellStyle name="Normal 2 2 4 3 2 2 2 2 6 2" xfId="16327"/>
    <cellStyle name="Normal 2 2 4 3 2 2 2 2 7" xfId="16328"/>
    <cellStyle name="Normal 2 2 4 3 2 2 2 2 7 2" xfId="16329"/>
    <cellStyle name="Normal 2 2 4 3 2 2 2 2 8" xfId="16330"/>
    <cellStyle name="Normal 2 2 4 3 2 2 2 2 8 2" xfId="16331"/>
    <cellStyle name="Normal 2 2 4 3 2 2 2 2 9" xfId="16332"/>
    <cellStyle name="Normal 2 2 4 3 2 2 2 2 9 2" xfId="16333"/>
    <cellStyle name="Normal 2 2 4 3 2 2 2 3" xfId="16334"/>
    <cellStyle name="Normal 2 2 4 3 2 2 2 3 10" xfId="16335"/>
    <cellStyle name="Normal 2 2 4 3 2 2 2 3 10 2" xfId="16336"/>
    <cellStyle name="Normal 2 2 4 3 2 2 2 3 11" xfId="16337"/>
    <cellStyle name="Normal 2 2 4 3 2 2 2 3 2" xfId="16338"/>
    <cellStyle name="Normal 2 2 4 3 2 2 2 3 2 2" xfId="16339"/>
    <cellStyle name="Normal 2 2 4 3 2 2 2 3 3" xfId="16340"/>
    <cellStyle name="Normal 2 2 4 3 2 2 2 3 3 2" xfId="16341"/>
    <cellStyle name="Normal 2 2 4 3 2 2 2 3 4" xfId="16342"/>
    <cellStyle name="Normal 2 2 4 3 2 2 2 3 4 2" xfId="16343"/>
    <cellStyle name="Normal 2 2 4 3 2 2 2 3 5" xfId="16344"/>
    <cellStyle name="Normal 2 2 4 3 2 2 2 3 5 2" xfId="16345"/>
    <cellStyle name="Normal 2 2 4 3 2 2 2 3 6" xfId="16346"/>
    <cellStyle name="Normal 2 2 4 3 2 2 2 3 6 2" xfId="16347"/>
    <cellStyle name="Normal 2 2 4 3 2 2 2 3 7" xfId="16348"/>
    <cellStyle name="Normal 2 2 4 3 2 2 2 3 7 2" xfId="16349"/>
    <cellStyle name="Normal 2 2 4 3 2 2 2 3 8" xfId="16350"/>
    <cellStyle name="Normal 2 2 4 3 2 2 2 3 8 2" xfId="16351"/>
    <cellStyle name="Normal 2 2 4 3 2 2 2 3 9" xfId="16352"/>
    <cellStyle name="Normal 2 2 4 3 2 2 2 3 9 2" xfId="16353"/>
    <cellStyle name="Normal 2 2 4 3 2 2 2 4" xfId="16354"/>
    <cellStyle name="Normal 2 2 4 3 2 2 2 4 2" xfId="16355"/>
    <cellStyle name="Normal 2 2 4 3 2 2 2 5" xfId="16356"/>
    <cellStyle name="Normal 2 2 4 3 2 2 2 5 2" xfId="16357"/>
    <cellStyle name="Normal 2 2 4 3 2 2 2 6" xfId="16358"/>
    <cellStyle name="Normal 2 2 4 3 2 2 2 6 2" xfId="16359"/>
    <cellStyle name="Normal 2 2 4 3 2 2 2 7" xfId="16360"/>
    <cellStyle name="Normal 2 2 4 3 2 2 2 7 2" xfId="16361"/>
    <cellStyle name="Normal 2 2 4 3 2 2 2 8" xfId="16362"/>
    <cellStyle name="Normal 2 2 4 3 2 2 2 8 2" xfId="16363"/>
    <cellStyle name="Normal 2 2 4 3 2 2 2 9" xfId="16364"/>
    <cellStyle name="Normal 2 2 4 3 2 2 2 9 2" xfId="16365"/>
    <cellStyle name="Normal 2 2 4 3 2 2 3" xfId="16366"/>
    <cellStyle name="Normal 2 2 4 3 2 2 3 10" xfId="16367"/>
    <cellStyle name="Normal 2 2 4 3 2 2 3 10 2" xfId="16368"/>
    <cellStyle name="Normal 2 2 4 3 2 2 3 11" xfId="16369"/>
    <cellStyle name="Normal 2 2 4 3 2 2 3 11 2" xfId="16370"/>
    <cellStyle name="Normal 2 2 4 3 2 2 3 12" xfId="16371"/>
    <cellStyle name="Normal 2 2 4 3 2 2 3 12 2" xfId="16372"/>
    <cellStyle name="Normal 2 2 4 3 2 2 3 13" xfId="16373"/>
    <cellStyle name="Normal 2 2 4 3 2 2 3 2" xfId="16374"/>
    <cellStyle name="Normal 2 2 4 3 2 2 3 2 10" xfId="16375"/>
    <cellStyle name="Normal 2 2 4 3 2 2 3 2 10 2" xfId="16376"/>
    <cellStyle name="Normal 2 2 4 3 2 2 3 2 11" xfId="16377"/>
    <cellStyle name="Normal 2 2 4 3 2 2 3 2 11 2" xfId="16378"/>
    <cellStyle name="Normal 2 2 4 3 2 2 3 2 12" xfId="16379"/>
    <cellStyle name="Normal 2 2 4 3 2 2 3 2 2" xfId="16380"/>
    <cellStyle name="Normal 2 2 4 3 2 2 3 2 2 10" xfId="16381"/>
    <cellStyle name="Normal 2 2 4 3 2 2 3 2 2 10 2" xfId="16382"/>
    <cellStyle name="Normal 2 2 4 3 2 2 3 2 2 11" xfId="16383"/>
    <cellStyle name="Normal 2 2 4 3 2 2 3 2 2 2" xfId="16384"/>
    <cellStyle name="Normal 2 2 4 3 2 2 3 2 2 2 2" xfId="16385"/>
    <cellStyle name="Normal 2 2 4 3 2 2 3 2 2 3" xfId="16386"/>
    <cellStyle name="Normal 2 2 4 3 2 2 3 2 2 3 2" xfId="16387"/>
    <cellStyle name="Normal 2 2 4 3 2 2 3 2 2 4" xfId="16388"/>
    <cellStyle name="Normal 2 2 4 3 2 2 3 2 2 4 2" xfId="16389"/>
    <cellStyle name="Normal 2 2 4 3 2 2 3 2 2 5" xfId="16390"/>
    <cellStyle name="Normal 2 2 4 3 2 2 3 2 2 5 2" xfId="16391"/>
    <cellStyle name="Normal 2 2 4 3 2 2 3 2 2 6" xfId="16392"/>
    <cellStyle name="Normal 2 2 4 3 2 2 3 2 2 6 2" xfId="16393"/>
    <cellStyle name="Normal 2 2 4 3 2 2 3 2 2 7" xfId="16394"/>
    <cellStyle name="Normal 2 2 4 3 2 2 3 2 2 7 2" xfId="16395"/>
    <cellStyle name="Normal 2 2 4 3 2 2 3 2 2 8" xfId="16396"/>
    <cellStyle name="Normal 2 2 4 3 2 2 3 2 2 8 2" xfId="16397"/>
    <cellStyle name="Normal 2 2 4 3 2 2 3 2 2 9" xfId="16398"/>
    <cellStyle name="Normal 2 2 4 3 2 2 3 2 2 9 2" xfId="16399"/>
    <cellStyle name="Normal 2 2 4 3 2 2 3 2 3" xfId="16400"/>
    <cellStyle name="Normal 2 2 4 3 2 2 3 2 3 2" xfId="16401"/>
    <cellStyle name="Normal 2 2 4 3 2 2 3 2 4" xfId="16402"/>
    <cellStyle name="Normal 2 2 4 3 2 2 3 2 4 2" xfId="16403"/>
    <cellStyle name="Normal 2 2 4 3 2 2 3 2 5" xfId="16404"/>
    <cellStyle name="Normal 2 2 4 3 2 2 3 2 5 2" xfId="16405"/>
    <cellStyle name="Normal 2 2 4 3 2 2 3 2 6" xfId="16406"/>
    <cellStyle name="Normal 2 2 4 3 2 2 3 2 6 2" xfId="16407"/>
    <cellStyle name="Normal 2 2 4 3 2 2 3 2 7" xfId="16408"/>
    <cellStyle name="Normal 2 2 4 3 2 2 3 2 7 2" xfId="16409"/>
    <cellStyle name="Normal 2 2 4 3 2 2 3 2 8" xfId="16410"/>
    <cellStyle name="Normal 2 2 4 3 2 2 3 2 8 2" xfId="16411"/>
    <cellStyle name="Normal 2 2 4 3 2 2 3 2 9" xfId="16412"/>
    <cellStyle name="Normal 2 2 4 3 2 2 3 2 9 2" xfId="16413"/>
    <cellStyle name="Normal 2 2 4 3 2 2 3 3" xfId="16414"/>
    <cellStyle name="Normal 2 2 4 3 2 2 3 3 10" xfId="16415"/>
    <cellStyle name="Normal 2 2 4 3 2 2 3 3 10 2" xfId="16416"/>
    <cellStyle name="Normal 2 2 4 3 2 2 3 3 11" xfId="16417"/>
    <cellStyle name="Normal 2 2 4 3 2 2 3 3 2" xfId="16418"/>
    <cellStyle name="Normal 2 2 4 3 2 2 3 3 2 2" xfId="16419"/>
    <cellStyle name="Normal 2 2 4 3 2 2 3 3 3" xfId="16420"/>
    <cellStyle name="Normal 2 2 4 3 2 2 3 3 3 2" xfId="16421"/>
    <cellStyle name="Normal 2 2 4 3 2 2 3 3 4" xfId="16422"/>
    <cellStyle name="Normal 2 2 4 3 2 2 3 3 4 2" xfId="16423"/>
    <cellStyle name="Normal 2 2 4 3 2 2 3 3 5" xfId="16424"/>
    <cellStyle name="Normal 2 2 4 3 2 2 3 3 5 2" xfId="16425"/>
    <cellStyle name="Normal 2 2 4 3 2 2 3 3 6" xfId="16426"/>
    <cellStyle name="Normal 2 2 4 3 2 2 3 3 6 2" xfId="16427"/>
    <cellStyle name="Normal 2 2 4 3 2 2 3 3 7" xfId="16428"/>
    <cellStyle name="Normal 2 2 4 3 2 2 3 3 7 2" xfId="16429"/>
    <cellStyle name="Normal 2 2 4 3 2 2 3 3 8" xfId="16430"/>
    <cellStyle name="Normal 2 2 4 3 2 2 3 3 8 2" xfId="16431"/>
    <cellStyle name="Normal 2 2 4 3 2 2 3 3 9" xfId="16432"/>
    <cellStyle name="Normal 2 2 4 3 2 2 3 3 9 2" xfId="16433"/>
    <cellStyle name="Normal 2 2 4 3 2 2 3 4" xfId="16434"/>
    <cellStyle name="Normal 2 2 4 3 2 2 3 4 2" xfId="16435"/>
    <cellStyle name="Normal 2 2 4 3 2 2 3 5" xfId="16436"/>
    <cellStyle name="Normal 2 2 4 3 2 2 3 5 2" xfId="16437"/>
    <cellStyle name="Normal 2 2 4 3 2 2 3 6" xfId="16438"/>
    <cellStyle name="Normal 2 2 4 3 2 2 3 6 2" xfId="16439"/>
    <cellStyle name="Normal 2 2 4 3 2 2 3 7" xfId="16440"/>
    <cellStyle name="Normal 2 2 4 3 2 2 3 7 2" xfId="16441"/>
    <cellStyle name="Normal 2 2 4 3 2 2 3 8" xfId="16442"/>
    <cellStyle name="Normal 2 2 4 3 2 2 3 8 2" xfId="16443"/>
    <cellStyle name="Normal 2 2 4 3 2 2 3 9" xfId="16444"/>
    <cellStyle name="Normal 2 2 4 3 2 2 3 9 2" xfId="16445"/>
    <cellStyle name="Normal 2 2 4 3 2 2 4" xfId="16446"/>
    <cellStyle name="Normal 2 2 4 3 2 2 4 10" xfId="16447"/>
    <cellStyle name="Normal 2 2 4 3 2 2 4 10 2" xfId="16448"/>
    <cellStyle name="Normal 2 2 4 3 2 2 4 11" xfId="16449"/>
    <cellStyle name="Normal 2 2 4 3 2 2 4 11 2" xfId="16450"/>
    <cellStyle name="Normal 2 2 4 3 2 2 4 12" xfId="16451"/>
    <cellStyle name="Normal 2 2 4 3 2 2 4 12 2" xfId="16452"/>
    <cellStyle name="Normal 2 2 4 3 2 2 4 13" xfId="16453"/>
    <cellStyle name="Normal 2 2 4 3 2 2 4 2" xfId="16454"/>
    <cellStyle name="Normal 2 2 4 3 2 2 4 2 10" xfId="16455"/>
    <cellStyle name="Normal 2 2 4 3 2 2 4 2 10 2" xfId="16456"/>
    <cellStyle name="Normal 2 2 4 3 2 2 4 2 11" xfId="16457"/>
    <cellStyle name="Normal 2 2 4 3 2 2 4 2 11 2" xfId="16458"/>
    <cellStyle name="Normal 2 2 4 3 2 2 4 2 12" xfId="16459"/>
    <cellStyle name="Normal 2 2 4 3 2 2 4 2 2" xfId="16460"/>
    <cellStyle name="Normal 2 2 4 3 2 2 4 2 2 10" xfId="16461"/>
    <cellStyle name="Normal 2 2 4 3 2 2 4 2 2 10 2" xfId="16462"/>
    <cellStyle name="Normal 2 2 4 3 2 2 4 2 2 11" xfId="16463"/>
    <cellStyle name="Normal 2 2 4 3 2 2 4 2 2 2" xfId="16464"/>
    <cellStyle name="Normal 2 2 4 3 2 2 4 2 2 2 2" xfId="16465"/>
    <cellStyle name="Normal 2 2 4 3 2 2 4 2 2 3" xfId="16466"/>
    <cellStyle name="Normal 2 2 4 3 2 2 4 2 2 3 2" xfId="16467"/>
    <cellStyle name="Normal 2 2 4 3 2 2 4 2 2 4" xfId="16468"/>
    <cellStyle name="Normal 2 2 4 3 2 2 4 2 2 4 2" xfId="16469"/>
    <cellStyle name="Normal 2 2 4 3 2 2 4 2 2 5" xfId="16470"/>
    <cellStyle name="Normal 2 2 4 3 2 2 4 2 2 5 2" xfId="16471"/>
    <cellStyle name="Normal 2 2 4 3 2 2 4 2 2 6" xfId="16472"/>
    <cellStyle name="Normal 2 2 4 3 2 2 4 2 2 6 2" xfId="16473"/>
    <cellStyle name="Normal 2 2 4 3 2 2 4 2 2 7" xfId="16474"/>
    <cellStyle name="Normal 2 2 4 3 2 2 4 2 2 7 2" xfId="16475"/>
    <cellStyle name="Normal 2 2 4 3 2 2 4 2 2 8" xfId="16476"/>
    <cellStyle name="Normal 2 2 4 3 2 2 4 2 2 8 2" xfId="16477"/>
    <cellStyle name="Normal 2 2 4 3 2 2 4 2 2 9" xfId="16478"/>
    <cellStyle name="Normal 2 2 4 3 2 2 4 2 2 9 2" xfId="16479"/>
    <cellStyle name="Normal 2 2 4 3 2 2 4 2 3" xfId="16480"/>
    <cellStyle name="Normal 2 2 4 3 2 2 4 2 3 2" xfId="16481"/>
    <cellStyle name="Normal 2 2 4 3 2 2 4 2 4" xfId="16482"/>
    <cellStyle name="Normal 2 2 4 3 2 2 4 2 4 2" xfId="16483"/>
    <cellStyle name="Normal 2 2 4 3 2 2 4 2 5" xfId="16484"/>
    <cellStyle name="Normal 2 2 4 3 2 2 4 2 5 2" xfId="16485"/>
    <cellStyle name="Normal 2 2 4 3 2 2 4 2 6" xfId="16486"/>
    <cellStyle name="Normal 2 2 4 3 2 2 4 2 6 2" xfId="16487"/>
    <cellStyle name="Normal 2 2 4 3 2 2 4 2 7" xfId="16488"/>
    <cellStyle name="Normal 2 2 4 3 2 2 4 2 7 2" xfId="16489"/>
    <cellStyle name="Normal 2 2 4 3 2 2 4 2 8" xfId="16490"/>
    <cellStyle name="Normal 2 2 4 3 2 2 4 2 8 2" xfId="16491"/>
    <cellStyle name="Normal 2 2 4 3 2 2 4 2 9" xfId="16492"/>
    <cellStyle name="Normal 2 2 4 3 2 2 4 2 9 2" xfId="16493"/>
    <cellStyle name="Normal 2 2 4 3 2 2 4 3" xfId="16494"/>
    <cellStyle name="Normal 2 2 4 3 2 2 4 3 10" xfId="16495"/>
    <cellStyle name="Normal 2 2 4 3 2 2 4 3 10 2" xfId="16496"/>
    <cellStyle name="Normal 2 2 4 3 2 2 4 3 11" xfId="16497"/>
    <cellStyle name="Normal 2 2 4 3 2 2 4 3 2" xfId="16498"/>
    <cellStyle name="Normal 2 2 4 3 2 2 4 3 2 2" xfId="16499"/>
    <cellStyle name="Normal 2 2 4 3 2 2 4 3 3" xfId="16500"/>
    <cellStyle name="Normal 2 2 4 3 2 2 4 3 3 2" xfId="16501"/>
    <cellStyle name="Normal 2 2 4 3 2 2 4 3 4" xfId="16502"/>
    <cellStyle name="Normal 2 2 4 3 2 2 4 3 4 2" xfId="16503"/>
    <cellStyle name="Normal 2 2 4 3 2 2 4 3 5" xfId="16504"/>
    <cellStyle name="Normal 2 2 4 3 2 2 4 3 5 2" xfId="16505"/>
    <cellStyle name="Normal 2 2 4 3 2 2 4 3 6" xfId="16506"/>
    <cellStyle name="Normal 2 2 4 3 2 2 4 3 6 2" xfId="16507"/>
    <cellStyle name="Normal 2 2 4 3 2 2 4 3 7" xfId="16508"/>
    <cellStyle name="Normal 2 2 4 3 2 2 4 3 7 2" xfId="16509"/>
    <cellStyle name="Normal 2 2 4 3 2 2 4 3 8" xfId="16510"/>
    <cellStyle name="Normal 2 2 4 3 2 2 4 3 8 2" xfId="16511"/>
    <cellStyle name="Normal 2 2 4 3 2 2 4 3 9" xfId="16512"/>
    <cellStyle name="Normal 2 2 4 3 2 2 4 3 9 2" xfId="16513"/>
    <cellStyle name="Normal 2 2 4 3 2 2 4 4" xfId="16514"/>
    <cellStyle name="Normal 2 2 4 3 2 2 4 4 2" xfId="16515"/>
    <cellStyle name="Normal 2 2 4 3 2 2 4 5" xfId="16516"/>
    <cellStyle name="Normal 2 2 4 3 2 2 4 5 2" xfId="16517"/>
    <cellStyle name="Normal 2 2 4 3 2 2 4 6" xfId="16518"/>
    <cellStyle name="Normal 2 2 4 3 2 2 4 6 2" xfId="16519"/>
    <cellStyle name="Normal 2 2 4 3 2 2 4 7" xfId="16520"/>
    <cellStyle name="Normal 2 2 4 3 2 2 4 7 2" xfId="16521"/>
    <cellStyle name="Normal 2 2 4 3 2 2 4 8" xfId="16522"/>
    <cellStyle name="Normal 2 2 4 3 2 2 4 8 2" xfId="16523"/>
    <cellStyle name="Normal 2 2 4 3 2 2 4 9" xfId="16524"/>
    <cellStyle name="Normal 2 2 4 3 2 2 4 9 2" xfId="16525"/>
    <cellStyle name="Normal 2 2 4 3 2 2 5" xfId="16526"/>
    <cellStyle name="Normal 2 2 4 3 2 2 5 10" xfId="16527"/>
    <cellStyle name="Normal 2 2 4 3 2 2 5 10 2" xfId="16528"/>
    <cellStyle name="Normal 2 2 4 3 2 2 5 11" xfId="16529"/>
    <cellStyle name="Normal 2 2 4 3 2 2 5 11 2" xfId="16530"/>
    <cellStyle name="Normal 2 2 4 3 2 2 5 12" xfId="16531"/>
    <cellStyle name="Normal 2 2 4 3 2 2 5 12 2" xfId="16532"/>
    <cellStyle name="Normal 2 2 4 3 2 2 5 13" xfId="16533"/>
    <cellStyle name="Normal 2 2 4 3 2 2 5 2" xfId="16534"/>
    <cellStyle name="Normal 2 2 4 3 2 2 5 2 10" xfId="16535"/>
    <cellStyle name="Normal 2 2 4 3 2 2 5 2 10 2" xfId="16536"/>
    <cellStyle name="Normal 2 2 4 3 2 2 5 2 11" xfId="16537"/>
    <cellStyle name="Normal 2 2 4 3 2 2 5 2 11 2" xfId="16538"/>
    <cellStyle name="Normal 2 2 4 3 2 2 5 2 12" xfId="16539"/>
    <cellStyle name="Normal 2 2 4 3 2 2 5 2 2" xfId="16540"/>
    <cellStyle name="Normal 2 2 4 3 2 2 5 2 2 10" xfId="16541"/>
    <cellStyle name="Normal 2 2 4 3 2 2 5 2 2 10 2" xfId="16542"/>
    <cellStyle name="Normal 2 2 4 3 2 2 5 2 2 11" xfId="16543"/>
    <cellStyle name="Normal 2 2 4 3 2 2 5 2 2 2" xfId="16544"/>
    <cellStyle name="Normal 2 2 4 3 2 2 5 2 2 2 2" xfId="16545"/>
    <cellStyle name="Normal 2 2 4 3 2 2 5 2 2 3" xfId="16546"/>
    <cellStyle name="Normal 2 2 4 3 2 2 5 2 2 3 2" xfId="16547"/>
    <cellStyle name="Normal 2 2 4 3 2 2 5 2 2 4" xfId="16548"/>
    <cellStyle name="Normal 2 2 4 3 2 2 5 2 2 4 2" xfId="16549"/>
    <cellStyle name="Normal 2 2 4 3 2 2 5 2 2 5" xfId="16550"/>
    <cellStyle name="Normal 2 2 4 3 2 2 5 2 2 5 2" xfId="16551"/>
    <cellStyle name="Normal 2 2 4 3 2 2 5 2 2 6" xfId="16552"/>
    <cellStyle name="Normal 2 2 4 3 2 2 5 2 2 6 2" xfId="16553"/>
    <cellStyle name="Normal 2 2 4 3 2 2 5 2 2 7" xfId="16554"/>
    <cellStyle name="Normal 2 2 4 3 2 2 5 2 2 7 2" xfId="16555"/>
    <cellStyle name="Normal 2 2 4 3 2 2 5 2 2 8" xfId="16556"/>
    <cellStyle name="Normal 2 2 4 3 2 2 5 2 2 8 2" xfId="16557"/>
    <cellStyle name="Normal 2 2 4 3 2 2 5 2 2 9" xfId="16558"/>
    <cellStyle name="Normal 2 2 4 3 2 2 5 2 2 9 2" xfId="16559"/>
    <cellStyle name="Normal 2 2 4 3 2 2 5 2 3" xfId="16560"/>
    <cellStyle name="Normal 2 2 4 3 2 2 5 2 3 2" xfId="16561"/>
    <cellStyle name="Normal 2 2 4 3 2 2 5 2 4" xfId="16562"/>
    <cellStyle name="Normal 2 2 4 3 2 2 5 2 4 2" xfId="16563"/>
    <cellStyle name="Normal 2 2 4 3 2 2 5 2 5" xfId="16564"/>
    <cellStyle name="Normal 2 2 4 3 2 2 5 2 5 2" xfId="16565"/>
    <cellStyle name="Normal 2 2 4 3 2 2 5 2 6" xfId="16566"/>
    <cellStyle name="Normal 2 2 4 3 2 2 5 2 6 2" xfId="16567"/>
    <cellStyle name="Normal 2 2 4 3 2 2 5 2 7" xfId="16568"/>
    <cellStyle name="Normal 2 2 4 3 2 2 5 2 7 2" xfId="16569"/>
    <cellStyle name="Normal 2 2 4 3 2 2 5 2 8" xfId="16570"/>
    <cellStyle name="Normal 2 2 4 3 2 2 5 2 8 2" xfId="16571"/>
    <cellStyle name="Normal 2 2 4 3 2 2 5 2 9" xfId="16572"/>
    <cellStyle name="Normal 2 2 4 3 2 2 5 2 9 2" xfId="16573"/>
    <cellStyle name="Normal 2 2 4 3 2 2 5 3" xfId="16574"/>
    <cellStyle name="Normal 2 2 4 3 2 2 5 3 10" xfId="16575"/>
    <cellStyle name="Normal 2 2 4 3 2 2 5 3 10 2" xfId="16576"/>
    <cellStyle name="Normal 2 2 4 3 2 2 5 3 11" xfId="16577"/>
    <cellStyle name="Normal 2 2 4 3 2 2 5 3 2" xfId="16578"/>
    <cellStyle name="Normal 2 2 4 3 2 2 5 3 2 2" xfId="16579"/>
    <cellStyle name="Normal 2 2 4 3 2 2 5 3 3" xfId="16580"/>
    <cellStyle name="Normal 2 2 4 3 2 2 5 3 3 2" xfId="16581"/>
    <cellStyle name="Normal 2 2 4 3 2 2 5 3 4" xfId="16582"/>
    <cellStyle name="Normal 2 2 4 3 2 2 5 3 4 2" xfId="16583"/>
    <cellStyle name="Normal 2 2 4 3 2 2 5 3 5" xfId="16584"/>
    <cellStyle name="Normal 2 2 4 3 2 2 5 3 5 2" xfId="16585"/>
    <cellStyle name="Normal 2 2 4 3 2 2 5 3 6" xfId="16586"/>
    <cellStyle name="Normal 2 2 4 3 2 2 5 3 6 2" xfId="16587"/>
    <cellStyle name="Normal 2 2 4 3 2 2 5 3 7" xfId="16588"/>
    <cellStyle name="Normal 2 2 4 3 2 2 5 3 7 2" xfId="16589"/>
    <cellStyle name="Normal 2 2 4 3 2 2 5 3 8" xfId="16590"/>
    <cellStyle name="Normal 2 2 4 3 2 2 5 3 8 2" xfId="16591"/>
    <cellStyle name="Normal 2 2 4 3 2 2 5 3 9" xfId="16592"/>
    <cellStyle name="Normal 2 2 4 3 2 2 5 3 9 2" xfId="16593"/>
    <cellStyle name="Normal 2 2 4 3 2 2 5 4" xfId="16594"/>
    <cellStyle name="Normal 2 2 4 3 2 2 5 4 2" xfId="16595"/>
    <cellStyle name="Normal 2 2 4 3 2 2 5 5" xfId="16596"/>
    <cellStyle name="Normal 2 2 4 3 2 2 5 5 2" xfId="16597"/>
    <cellStyle name="Normal 2 2 4 3 2 2 5 6" xfId="16598"/>
    <cellStyle name="Normal 2 2 4 3 2 2 5 6 2" xfId="16599"/>
    <cellStyle name="Normal 2 2 4 3 2 2 5 7" xfId="16600"/>
    <cellStyle name="Normal 2 2 4 3 2 2 5 7 2" xfId="16601"/>
    <cellStyle name="Normal 2 2 4 3 2 2 5 8" xfId="16602"/>
    <cellStyle name="Normal 2 2 4 3 2 2 5 8 2" xfId="16603"/>
    <cellStyle name="Normal 2 2 4 3 2 2 5 9" xfId="16604"/>
    <cellStyle name="Normal 2 2 4 3 2 2 5 9 2" xfId="16605"/>
    <cellStyle name="Normal 2 2 4 3 2 2 6" xfId="16606"/>
    <cellStyle name="Normal 2 2 4 3 2 3" xfId="16607"/>
    <cellStyle name="Normal 2 2 4 3 2 3 2" xfId="16608"/>
    <cellStyle name="Normal 2 2 4 3 2 4" xfId="16609"/>
    <cellStyle name="Normal 2 2 4 3 2 4 2" xfId="16610"/>
    <cellStyle name="Normal 2 2 4 3 2 5" xfId="16611"/>
    <cellStyle name="Normal 2 2 4 3 2 5 2" xfId="16612"/>
    <cellStyle name="Normal 2 2 4 3 2 6" xfId="16613"/>
    <cellStyle name="Normal 2 2 4 3 2 6 10" xfId="16614"/>
    <cellStyle name="Normal 2 2 4 3 2 6 10 2" xfId="16615"/>
    <cellStyle name="Normal 2 2 4 3 2 6 11" xfId="16616"/>
    <cellStyle name="Normal 2 2 4 3 2 6 11 2" xfId="16617"/>
    <cellStyle name="Normal 2 2 4 3 2 6 12" xfId="16618"/>
    <cellStyle name="Normal 2 2 4 3 2 6 2" xfId="16619"/>
    <cellStyle name="Normal 2 2 4 3 2 6 2 10" xfId="16620"/>
    <cellStyle name="Normal 2 2 4 3 2 6 2 10 2" xfId="16621"/>
    <cellStyle name="Normal 2 2 4 3 2 6 2 11" xfId="16622"/>
    <cellStyle name="Normal 2 2 4 3 2 6 2 2" xfId="16623"/>
    <cellStyle name="Normal 2 2 4 3 2 6 2 2 2" xfId="16624"/>
    <cellStyle name="Normal 2 2 4 3 2 6 2 3" xfId="16625"/>
    <cellStyle name="Normal 2 2 4 3 2 6 2 3 2" xfId="16626"/>
    <cellStyle name="Normal 2 2 4 3 2 6 2 4" xfId="16627"/>
    <cellStyle name="Normal 2 2 4 3 2 6 2 4 2" xfId="16628"/>
    <cellStyle name="Normal 2 2 4 3 2 6 2 5" xfId="16629"/>
    <cellStyle name="Normal 2 2 4 3 2 6 2 5 2" xfId="16630"/>
    <cellStyle name="Normal 2 2 4 3 2 6 2 6" xfId="16631"/>
    <cellStyle name="Normal 2 2 4 3 2 6 2 6 2" xfId="16632"/>
    <cellStyle name="Normal 2 2 4 3 2 6 2 7" xfId="16633"/>
    <cellStyle name="Normal 2 2 4 3 2 6 2 7 2" xfId="16634"/>
    <cellStyle name="Normal 2 2 4 3 2 6 2 8" xfId="16635"/>
    <cellStyle name="Normal 2 2 4 3 2 6 2 8 2" xfId="16636"/>
    <cellStyle name="Normal 2 2 4 3 2 6 2 9" xfId="16637"/>
    <cellStyle name="Normal 2 2 4 3 2 6 2 9 2" xfId="16638"/>
    <cellStyle name="Normal 2 2 4 3 2 6 3" xfId="16639"/>
    <cellStyle name="Normal 2 2 4 3 2 6 3 2" xfId="16640"/>
    <cellStyle name="Normal 2 2 4 3 2 6 4" xfId="16641"/>
    <cellStyle name="Normal 2 2 4 3 2 6 4 2" xfId="16642"/>
    <cellStyle name="Normal 2 2 4 3 2 6 5" xfId="16643"/>
    <cellStyle name="Normal 2 2 4 3 2 6 5 2" xfId="16644"/>
    <cellStyle name="Normal 2 2 4 3 2 6 6" xfId="16645"/>
    <cellStyle name="Normal 2 2 4 3 2 6 6 2" xfId="16646"/>
    <cellStyle name="Normal 2 2 4 3 2 6 7" xfId="16647"/>
    <cellStyle name="Normal 2 2 4 3 2 6 7 2" xfId="16648"/>
    <cellStyle name="Normal 2 2 4 3 2 6 8" xfId="16649"/>
    <cellStyle name="Normal 2 2 4 3 2 6 8 2" xfId="16650"/>
    <cellStyle name="Normal 2 2 4 3 2 6 9" xfId="16651"/>
    <cellStyle name="Normal 2 2 4 3 2 6 9 2" xfId="16652"/>
    <cellStyle name="Normal 2 2 4 3 2 7" xfId="16653"/>
    <cellStyle name="Normal 2 2 4 3 2 7 10" xfId="16654"/>
    <cellStyle name="Normal 2 2 4 3 2 7 10 2" xfId="16655"/>
    <cellStyle name="Normal 2 2 4 3 2 7 11" xfId="16656"/>
    <cellStyle name="Normal 2 2 4 3 2 7 2" xfId="16657"/>
    <cellStyle name="Normal 2 2 4 3 2 7 2 2" xfId="16658"/>
    <cellStyle name="Normal 2 2 4 3 2 7 3" xfId="16659"/>
    <cellStyle name="Normal 2 2 4 3 2 7 3 2" xfId="16660"/>
    <cellStyle name="Normal 2 2 4 3 2 7 4" xfId="16661"/>
    <cellStyle name="Normal 2 2 4 3 2 7 4 2" xfId="16662"/>
    <cellStyle name="Normal 2 2 4 3 2 7 5" xfId="16663"/>
    <cellStyle name="Normal 2 2 4 3 2 7 5 2" xfId="16664"/>
    <cellStyle name="Normal 2 2 4 3 2 7 6" xfId="16665"/>
    <cellStyle name="Normal 2 2 4 3 2 7 6 2" xfId="16666"/>
    <cellStyle name="Normal 2 2 4 3 2 7 7" xfId="16667"/>
    <cellStyle name="Normal 2 2 4 3 2 7 7 2" xfId="16668"/>
    <cellStyle name="Normal 2 2 4 3 2 7 8" xfId="16669"/>
    <cellStyle name="Normal 2 2 4 3 2 7 8 2" xfId="16670"/>
    <cellStyle name="Normal 2 2 4 3 2 7 9" xfId="16671"/>
    <cellStyle name="Normal 2 2 4 3 2 7 9 2" xfId="16672"/>
    <cellStyle name="Normal 2 2 4 3 2 8" xfId="16673"/>
    <cellStyle name="Normal 2 2 4 3 2 8 2" xfId="16674"/>
    <cellStyle name="Normal 2 2 4 3 2 9" xfId="16675"/>
    <cellStyle name="Normal 2 2 4 3 2 9 2" xfId="16676"/>
    <cellStyle name="Normal 2 2 4 3 3" xfId="16677"/>
    <cellStyle name="Normal 2 2 4 3 3 10" xfId="16678"/>
    <cellStyle name="Normal 2 2 4 3 3 10 2" xfId="16679"/>
    <cellStyle name="Normal 2 2 4 3 3 11" xfId="16680"/>
    <cellStyle name="Normal 2 2 4 3 3 11 2" xfId="16681"/>
    <cellStyle name="Normal 2 2 4 3 3 12" xfId="16682"/>
    <cellStyle name="Normal 2 2 4 3 3 12 2" xfId="16683"/>
    <cellStyle name="Normal 2 2 4 3 3 13" xfId="16684"/>
    <cellStyle name="Normal 2 2 4 3 3 2" xfId="16685"/>
    <cellStyle name="Normal 2 2 4 3 3 2 10" xfId="16686"/>
    <cellStyle name="Normal 2 2 4 3 3 2 10 2" xfId="16687"/>
    <cellStyle name="Normal 2 2 4 3 3 2 11" xfId="16688"/>
    <cellStyle name="Normal 2 2 4 3 3 2 11 2" xfId="16689"/>
    <cellStyle name="Normal 2 2 4 3 3 2 12" xfId="16690"/>
    <cellStyle name="Normal 2 2 4 3 3 2 2" xfId="16691"/>
    <cellStyle name="Normal 2 2 4 3 3 2 2 10" xfId="16692"/>
    <cellStyle name="Normal 2 2 4 3 3 2 2 10 2" xfId="16693"/>
    <cellStyle name="Normal 2 2 4 3 3 2 2 11" xfId="16694"/>
    <cellStyle name="Normal 2 2 4 3 3 2 2 2" xfId="16695"/>
    <cellStyle name="Normal 2 2 4 3 3 2 2 2 2" xfId="16696"/>
    <cellStyle name="Normal 2 2 4 3 3 2 2 3" xfId="16697"/>
    <cellStyle name="Normal 2 2 4 3 3 2 2 3 2" xfId="16698"/>
    <cellStyle name="Normal 2 2 4 3 3 2 2 4" xfId="16699"/>
    <cellStyle name="Normal 2 2 4 3 3 2 2 4 2" xfId="16700"/>
    <cellStyle name="Normal 2 2 4 3 3 2 2 5" xfId="16701"/>
    <cellStyle name="Normal 2 2 4 3 3 2 2 5 2" xfId="16702"/>
    <cellStyle name="Normal 2 2 4 3 3 2 2 6" xfId="16703"/>
    <cellStyle name="Normal 2 2 4 3 3 2 2 6 2" xfId="16704"/>
    <cellStyle name="Normal 2 2 4 3 3 2 2 7" xfId="16705"/>
    <cellStyle name="Normal 2 2 4 3 3 2 2 7 2" xfId="16706"/>
    <cellStyle name="Normal 2 2 4 3 3 2 2 8" xfId="16707"/>
    <cellStyle name="Normal 2 2 4 3 3 2 2 8 2" xfId="16708"/>
    <cellStyle name="Normal 2 2 4 3 3 2 2 9" xfId="16709"/>
    <cellStyle name="Normal 2 2 4 3 3 2 2 9 2" xfId="16710"/>
    <cellStyle name="Normal 2 2 4 3 3 2 3" xfId="16711"/>
    <cellStyle name="Normal 2 2 4 3 3 2 3 2" xfId="16712"/>
    <cellStyle name="Normal 2 2 4 3 3 2 4" xfId="16713"/>
    <cellStyle name="Normal 2 2 4 3 3 2 4 2" xfId="16714"/>
    <cellStyle name="Normal 2 2 4 3 3 2 5" xfId="16715"/>
    <cellStyle name="Normal 2 2 4 3 3 2 5 2" xfId="16716"/>
    <cellStyle name="Normal 2 2 4 3 3 2 6" xfId="16717"/>
    <cellStyle name="Normal 2 2 4 3 3 2 6 2" xfId="16718"/>
    <cellStyle name="Normal 2 2 4 3 3 2 7" xfId="16719"/>
    <cellStyle name="Normal 2 2 4 3 3 2 7 2" xfId="16720"/>
    <cellStyle name="Normal 2 2 4 3 3 2 8" xfId="16721"/>
    <cellStyle name="Normal 2 2 4 3 3 2 8 2" xfId="16722"/>
    <cellStyle name="Normal 2 2 4 3 3 2 9" xfId="16723"/>
    <cellStyle name="Normal 2 2 4 3 3 2 9 2" xfId="16724"/>
    <cellStyle name="Normal 2 2 4 3 3 3" xfId="16725"/>
    <cellStyle name="Normal 2 2 4 3 3 3 10" xfId="16726"/>
    <cellStyle name="Normal 2 2 4 3 3 3 10 2" xfId="16727"/>
    <cellStyle name="Normal 2 2 4 3 3 3 11" xfId="16728"/>
    <cellStyle name="Normal 2 2 4 3 3 3 2" xfId="16729"/>
    <cellStyle name="Normal 2 2 4 3 3 3 2 2" xfId="16730"/>
    <cellStyle name="Normal 2 2 4 3 3 3 3" xfId="16731"/>
    <cellStyle name="Normal 2 2 4 3 3 3 3 2" xfId="16732"/>
    <cellStyle name="Normal 2 2 4 3 3 3 4" xfId="16733"/>
    <cellStyle name="Normal 2 2 4 3 3 3 4 2" xfId="16734"/>
    <cellStyle name="Normal 2 2 4 3 3 3 5" xfId="16735"/>
    <cellStyle name="Normal 2 2 4 3 3 3 5 2" xfId="16736"/>
    <cellStyle name="Normal 2 2 4 3 3 3 6" xfId="16737"/>
    <cellStyle name="Normal 2 2 4 3 3 3 6 2" xfId="16738"/>
    <cellStyle name="Normal 2 2 4 3 3 3 7" xfId="16739"/>
    <cellStyle name="Normal 2 2 4 3 3 3 7 2" xfId="16740"/>
    <cellStyle name="Normal 2 2 4 3 3 3 8" xfId="16741"/>
    <cellStyle name="Normal 2 2 4 3 3 3 8 2" xfId="16742"/>
    <cellStyle name="Normal 2 2 4 3 3 3 9" xfId="16743"/>
    <cellStyle name="Normal 2 2 4 3 3 3 9 2" xfId="16744"/>
    <cellStyle name="Normal 2 2 4 3 3 4" xfId="16745"/>
    <cellStyle name="Normal 2 2 4 3 3 4 2" xfId="16746"/>
    <cellStyle name="Normal 2 2 4 3 3 5" xfId="16747"/>
    <cellStyle name="Normal 2 2 4 3 3 5 2" xfId="16748"/>
    <cellStyle name="Normal 2 2 4 3 3 6" xfId="16749"/>
    <cellStyle name="Normal 2 2 4 3 3 6 2" xfId="16750"/>
    <cellStyle name="Normal 2 2 4 3 3 7" xfId="16751"/>
    <cellStyle name="Normal 2 2 4 3 3 7 2" xfId="16752"/>
    <cellStyle name="Normal 2 2 4 3 3 8" xfId="16753"/>
    <cellStyle name="Normal 2 2 4 3 3 8 2" xfId="16754"/>
    <cellStyle name="Normal 2 2 4 3 3 9" xfId="16755"/>
    <cellStyle name="Normal 2 2 4 3 3 9 2" xfId="16756"/>
    <cellStyle name="Normal 2 2 4 3 4" xfId="16757"/>
    <cellStyle name="Normal 2 2 4 3 4 10" xfId="16758"/>
    <cellStyle name="Normal 2 2 4 3 4 10 2" xfId="16759"/>
    <cellStyle name="Normal 2 2 4 3 4 11" xfId="16760"/>
    <cellStyle name="Normal 2 2 4 3 4 11 2" xfId="16761"/>
    <cellStyle name="Normal 2 2 4 3 4 12" xfId="16762"/>
    <cellStyle name="Normal 2 2 4 3 4 12 2" xfId="16763"/>
    <cellStyle name="Normal 2 2 4 3 4 13" xfId="16764"/>
    <cellStyle name="Normal 2 2 4 3 4 2" xfId="16765"/>
    <cellStyle name="Normal 2 2 4 3 4 2 10" xfId="16766"/>
    <cellStyle name="Normal 2 2 4 3 4 2 10 2" xfId="16767"/>
    <cellStyle name="Normal 2 2 4 3 4 2 11" xfId="16768"/>
    <cellStyle name="Normal 2 2 4 3 4 2 11 2" xfId="16769"/>
    <cellStyle name="Normal 2 2 4 3 4 2 12" xfId="16770"/>
    <cellStyle name="Normal 2 2 4 3 4 2 2" xfId="16771"/>
    <cellStyle name="Normal 2 2 4 3 4 2 2 10" xfId="16772"/>
    <cellStyle name="Normal 2 2 4 3 4 2 2 10 2" xfId="16773"/>
    <cellStyle name="Normal 2 2 4 3 4 2 2 11" xfId="16774"/>
    <cellStyle name="Normal 2 2 4 3 4 2 2 2" xfId="16775"/>
    <cellStyle name="Normal 2 2 4 3 4 2 2 2 2" xfId="16776"/>
    <cellStyle name="Normal 2 2 4 3 4 2 2 3" xfId="16777"/>
    <cellStyle name="Normal 2 2 4 3 4 2 2 3 2" xfId="16778"/>
    <cellStyle name="Normal 2 2 4 3 4 2 2 4" xfId="16779"/>
    <cellStyle name="Normal 2 2 4 3 4 2 2 4 2" xfId="16780"/>
    <cellStyle name="Normal 2 2 4 3 4 2 2 5" xfId="16781"/>
    <cellStyle name="Normal 2 2 4 3 4 2 2 5 2" xfId="16782"/>
    <cellStyle name="Normal 2 2 4 3 4 2 2 6" xfId="16783"/>
    <cellStyle name="Normal 2 2 4 3 4 2 2 6 2" xfId="16784"/>
    <cellStyle name="Normal 2 2 4 3 4 2 2 7" xfId="16785"/>
    <cellStyle name="Normal 2 2 4 3 4 2 2 7 2" xfId="16786"/>
    <cellStyle name="Normal 2 2 4 3 4 2 2 8" xfId="16787"/>
    <cellStyle name="Normal 2 2 4 3 4 2 2 8 2" xfId="16788"/>
    <cellStyle name="Normal 2 2 4 3 4 2 2 9" xfId="16789"/>
    <cellStyle name="Normal 2 2 4 3 4 2 2 9 2" xfId="16790"/>
    <cellStyle name="Normal 2 2 4 3 4 2 3" xfId="16791"/>
    <cellStyle name="Normal 2 2 4 3 4 2 3 2" xfId="16792"/>
    <cellStyle name="Normal 2 2 4 3 4 2 4" xfId="16793"/>
    <cellStyle name="Normal 2 2 4 3 4 2 4 2" xfId="16794"/>
    <cellStyle name="Normal 2 2 4 3 4 2 5" xfId="16795"/>
    <cellStyle name="Normal 2 2 4 3 4 2 5 2" xfId="16796"/>
    <cellStyle name="Normal 2 2 4 3 4 2 6" xfId="16797"/>
    <cellStyle name="Normal 2 2 4 3 4 2 6 2" xfId="16798"/>
    <cellStyle name="Normal 2 2 4 3 4 2 7" xfId="16799"/>
    <cellStyle name="Normal 2 2 4 3 4 2 7 2" xfId="16800"/>
    <cellStyle name="Normal 2 2 4 3 4 2 8" xfId="16801"/>
    <cellStyle name="Normal 2 2 4 3 4 2 8 2" xfId="16802"/>
    <cellStyle name="Normal 2 2 4 3 4 2 9" xfId="16803"/>
    <cellStyle name="Normal 2 2 4 3 4 2 9 2" xfId="16804"/>
    <cellStyle name="Normal 2 2 4 3 4 3" xfId="16805"/>
    <cellStyle name="Normal 2 2 4 3 4 3 10" xfId="16806"/>
    <cellStyle name="Normal 2 2 4 3 4 3 10 2" xfId="16807"/>
    <cellStyle name="Normal 2 2 4 3 4 3 11" xfId="16808"/>
    <cellStyle name="Normal 2 2 4 3 4 3 2" xfId="16809"/>
    <cellStyle name="Normal 2 2 4 3 4 3 2 2" xfId="16810"/>
    <cellStyle name="Normal 2 2 4 3 4 3 3" xfId="16811"/>
    <cellStyle name="Normal 2 2 4 3 4 3 3 2" xfId="16812"/>
    <cellStyle name="Normal 2 2 4 3 4 3 4" xfId="16813"/>
    <cellStyle name="Normal 2 2 4 3 4 3 4 2" xfId="16814"/>
    <cellStyle name="Normal 2 2 4 3 4 3 5" xfId="16815"/>
    <cellStyle name="Normal 2 2 4 3 4 3 5 2" xfId="16816"/>
    <cellStyle name="Normal 2 2 4 3 4 3 6" xfId="16817"/>
    <cellStyle name="Normal 2 2 4 3 4 3 6 2" xfId="16818"/>
    <cellStyle name="Normal 2 2 4 3 4 3 7" xfId="16819"/>
    <cellStyle name="Normal 2 2 4 3 4 3 7 2" xfId="16820"/>
    <cellStyle name="Normal 2 2 4 3 4 3 8" xfId="16821"/>
    <cellStyle name="Normal 2 2 4 3 4 3 8 2" xfId="16822"/>
    <cellStyle name="Normal 2 2 4 3 4 3 9" xfId="16823"/>
    <cellStyle name="Normal 2 2 4 3 4 3 9 2" xfId="16824"/>
    <cellStyle name="Normal 2 2 4 3 4 4" xfId="16825"/>
    <cellStyle name="Normal 2 2 4 3 4 4 2" xfId="16826"/>
    <cellStyle name="Normal 2 2 4 3 4 5" xfId="16827"/>
    <cellStyle name="Normal 2 2 4 3 4 5 2" xfId="16828"/>
    <cellStyle name="Normal 2 2 4 3 4 6" xfId="16829"/>
    <cellStyle name="Normal 2 2 4 3 4 6 2" xfId="16830"/>
    <cellStyle name="Normal 2 2 4 3 4 7" xfId="16831"/>
    <cellStyle name="Normal 2 2 4 3 4 7 2" xfId="16832"/>
    <cellStyle name="Normal 2 2 4 3 4 8" xfId="16833"/>
    <cellStyle name="Normal 2 2 4 3 4 8 2" xfId="16834"/>
    <cellStyle name="Normal 2 2 4 3 4 9" xfId="16835"/>
    <cellStyle name="Normal 2 2 4 3 4 9 2" xfId="16836"/>
    <cellStyle name="Normal 2 2 4 3 5" xfId="16837"/>
    <cellStyle name="Normal 2 2 4 3 5 10" xfId="16838"/>
    <cellStyle name="Normal 2 2 4 3 5 10 2" xfId="16839"/>
    <cellStyle name="Normal 2 2 4 3 5 11" xfId="16840"/>
    <cellStyle name="Normal 2 2 4 3 5 11 2" xfId="16841"/>
    <cellStyle name="Normal 2 2 4 3 5 12" xfId="16842"/>
    <cellStyle name="Normal 2 2 4 3 5 12 2" xfId="16843"/>
    <cellStyle name="Normal 2 2 4 3 5 13" xfId="16844"/>
    <cellStyle name="Normal 2 2 4 3 5 2" xfId="16845"/>
    <cellStyle name="Normal 2 2 4 3 5 2 10" xfId="16846"/>
    <cellStyle name="Normal 2 2 4 3 5 2 10 2" xfId="16847"/>
    <cellStyle name="Normal 2 2 4 3 5 2 11" xfId="16848"/>
    <cellStyle name="Normal 2 2 4 3 5 2 11 2" xfId="16849"/>
    <cellStyle name="Normal 2 2 4 3 5 2 12" xfId="16850"/>
    <cellStyle name="Normal 2 2 4 3 5 2 2" xfId="16851"/>
    <cellStyle name="Normal 2 2 4 3 5 2 2 10" xfId="16852"/>
    <cellStyle name="Normal 2 2 4 3 5 2 2 10 2" xfId="16853"/>
    <cellStyle name="Normal 2 2 4 3 5 2 2 11" xfId="16854"/>
    <cellStyle name="Normal 2 2 4 3 5 2 2 2" xfId="16855"/>
    <cellStyle name="Normal 2 2 4 3 5 2 2 2 2" xfId="16856"/>
    <cellStyle name="Normal 2 2 4 3 5 2 2 3" xfId="16857"/>
    <cellStyle name="Normal 2 2 4 3 5 2 2 3 2" xfId="16858"/>
    <cellStyle name="Normal 2 2 4 3 5 2 2 4" xfId="16859"/>
    <cellStyle name="Normal 2 2 4 3 5 2 2 4 2" xfId="16860"/>
    <cellStyle name="Normal 2 2 4 3 5 2 2 5" xfId="16861"/>
    <cellStyle name="Normal 2 2 4 3 5 2 2 5 2" xfId="16862"/>
    <cellStyle name="Normal 2 2 4 3 5 2 2 6" xfId="16863"/>
    <cellStyle name="Normal 2 2 4 3 5 2 2 6 2" xfId="16864"/>
    <cellStyle name="Normal 2 2 4 3 5 2 2 7" xfId="16865"/>
    <cellStyle name="Normal 2 2 4 3 5 2 2 7 2" xfId="16866"/>
    <cellStyle name="Normal 2 2 4 3 5 2 2 8" xfId="16867"/>
    <cellStyle name="Normal 2 2 4 3 5 2 2 8 2" xfId="16868"/>
    <cellStyle name="Normal 2 2 4 3 5 2 2 9" xfId="16869"/>
    <cellStyle name="Normal 2 2 4 3 5 2 2 9 2" xfId="16870"/>
    <cellStyle name="Normal 2 2 4 3 5 2 3" xfId="16871"/>
    <cellStyle name="Normal 2 2 4 3 5 2 3 2" xfId="16872"/>
    <cellStyle name="Normal 2 2 4 3 5 2 4" xfId="16873"/>
    <cellStyle name="Normal 2 2 4 3 5 2 4 2" xfId="16874"/>
    <cellStyle name="Normal 2 2 4 3 5 2 5" xfId="16875"/>
    <cellStyle name="Normal 2 2 4 3 5 2 5 2" xfId="16876"/>
    <cellStyle name="Normal 2 2 4 3 5 2 6" xfId="16877"/>
    <cellStyle name="Normal 2 2 4 3 5 2 6 2" xfId="16878"/>
    <cellStyle name="Normal 2 2 4 3 5 2 7" xfId="16879"/>
    <cellStyle name="Normal 2 2 4 3 5 2 7 2" xfId="16880"/>
    <cellStyle name="Normal 2 2 4 3 5 2 8" xfId="16881"/>
    <cellStyle name="Normal 2 2 4 3 5 2 8 2" xfId="16882"/>
    <cellStyle name="Normal 2 2 4 3 5 2 9" xfId="16883"/>
    <cellStyle name="Normal 2 2 4 3 5 2 9 2" xfId="16884"/>
    <cellStyle name="Normal 2 2 4 3 5 3" xfId="16885"/>
    <cellStyle name="Normal 2 2 4 3 5 3 10" xfId="16886"/>
    <cellStyle name="Normal 2 2 4 3 5 3 10 2" xfId="16887"/>
    <cellStyle name="Normal 2 2 4 3 5 3 11" xfId="16888"/>
    <cellStyle name="Normal 2 2 4 3 5 3 2" xfId="16889"/>
    <cellStyle name="Normal 2 2 4 3 5 3 2 2" xfId="16890"/>
    <cellStyle name="Normal 2 2 4 3 5 3 3" xfId="16891"/>
    <cellStyle name="Normal 2 2 4 3 5 3 3 2" xfId="16892"/>
    <cellStyle name="Normal 2 2 4 3 5 3 4" xfId="16893"/>
    <cellStyle name="Normal 2 2 4 3 5 3 4 2" xfId="16894"/>
    <cellStyle name="Normal 2 2 4 3 5 3 5" xfId="16895"/>
    <cellStyle name="Normal 2 2 4 3 5 3 5 2" xfId="16896"/>
    <cellStyle name="Normal 2 2 4 3 5 3 6" xfId="16897"/>
    <cellStyle name="Normal 2 2 4 3 5 3 6 2" xfId="16898"/>
    <cellStyle name="Normal 2 2 4 3 5 3 7" xfId="16899"/>
    <cellStyle name="Normal 2 2 4 3 5 3 7 2" xfId="16900"/>
    <cellStyle name="Normal 2 2 4 3 5 3 8" xfId="16901"/>
    <cellStyle name="Normal 2 2 4 3 5 3 8 2" xfId="16902"/>
    <cellStyle name="Normal 2 2 4 3 5 3 9" xfId="16903"/>
    <cellStyle name="Normal 2 2 4 3 5 3 9 2" xfId="16904"/>
    <cellStyle name="Normal 2 2 4 3 5 4" xfId="16905"/>
    <cellStyle name="Normal 2 2 4 3 5 4 2" xfId="16906"/>
    <cellStyle name="Normal 2 2 4 3 5 5" xfId="16907"/>
    <cellStyle name="Normal 2 2 4 3 5 5 2" xfId="16908"/>
    <cellStyle name="Normal 2 2 4 3 5 6" xfId="16909"/>
    <cellStyle name="Normal 2 2 4 3 5 6 2" xfId="16910"/>
    <cellStyle name="Normal 2 2 4 3 5 7" xfId="16911"/>
    <cellStyle name="Normal 2 2 4 3 5 7 2" xfId="16912"/>
    <cellStyle name="Normal 2 2 4 3 5 8" xfId="16913"/>
    <cellStyle name="Normal 2 2 4 3 5 8 2" xfId="16914"/>
    <cellStyle name="Normal 2 2 4 3 5 9" xfId="16915"/>
    <cellStyle name="Normal 2 2 4 3 5 9 2" xfId="16916"/>
    <cellStyle name="Normal 2 2 4 3 6" xfId="16917"/>
    <cellStyle name="Normal 2 2 4 3 6 10" xfId="16918"/>
    <cellStyle name="Normal 2 2 4 3 6 10 2" xfId="16919"/>
    <cellStyle name="Normal 2 2 4 3 6 11" xfId="16920"/>
    <cellStyle name="Normal 2 2 4 3 6 11 2" xfId="16921"/>
    <cellStyle name="Normal 2 2 4 3 6 12" xfId="16922"/>
    <cellStyle name="Normal 2 2 4 3 6 12 2" xfId="16923"/>
    <cellStyle name="Normal 2 2 4 3 6 13" xfId="16924"/>
    <cellStyle name="Normal 2 2 4 3 6 2" xfId="16925"/>
    <cellStyle name="Normal 2 2 4 3 6 2 10" xfId="16926"/>
    <cellStyle name="Normal 2 2 4 3 6 2 10 2" xfId="16927"/>
    <cellStyle name="Normal 2 2 4 3 6 2 11" xfId="16928"/>
    <cellStyle name="Normal 2 2 4 3 6 2 11 2" xfId="16929"/>
    <cellStyle name="Normal 2 2 4 3 6 2 12" xfId="16930"/>
    <cellStyle name="Normal 2 2 4 3 6 2 2" xfId="16931"/>
    <cellStyle name="Normal 2 2 4 3 6 2 2 10" xfId="16932"/>
    <cellStyle name="Normal 2 2 4 3 6 2 2 10 2" xfId="16933"/>
    <cellStyle name="Normal 2 2 4 3 6 2 2 11" xfId="16934"/>
    <cellStyle name="Normal 2 2 4 3 6 2 2 2" xfId="16935"/>
    <cellStyle name="Normal 2 2 4 3 6 2 2 2 2" xfId="16936"/>
    <cellStyle name="Normal 2 2 4 3 6 2 2 3" xfId="16937"/>
    <cellStyle name="Normal 2 2 4 3 6 2 2 3 2" xfId="16938"/>
    <cellStyle name="Normal 2 2 4 3 6 2 2 4" xfId="16939"/>
    <cellStyle name="Normal 2 2 4 3 6 2 2 4 2" xfId="16940"/>
    <cellStyle name="Normal 2 2 4 3 6 2 2 5" xfId="16941"/>
    <cellStyle name="Normal 2 2 4 3 6 2 2 5 2" xfId="16942"/>
    <cellStyle name="Normal 2 2 4 3 6 2 2 6" xfId="16943"/>
    <cellStyle name="Normal 2 2 4 3 6 2 2 6 2" xfId="16944"/>
    <cellStyle name="Normal 2 2 4 3 6 2 2 7" xfId="16945"/>
    <cellStyle name="Normal 2 2 4 3 6 2 2 7 2" xfId="16946"/>
    <cellStyle name="Normal 2 2 4 3 6 2 2 8" xfId="16947"/>
    <cellStyle name="Normal 2 2 4 3 6 2 2 8 2" xfId="16948"/>
    <cellStyle name="Normal 2 2 4 3 6 2 2 9" xfId="16949"/>
    <cellStyle name="Normal 2 2 4 3 6 2 2 9 2" xfId="16950"/>
    <cellStyle name="Normal 2 2 4 3 6 2 3" xfId="16951"/>
    <cellStyle name="Normal 2 2 4 3 6 2 3 2" xfId="16952"/>
    <cellStyle name="Normal 2 2 4 3 6 2 4" xfId="16953"/>
    <cellStyle name="Normal 2 2 4 3 6 2 4 2" xfId="16954"/>
    <cellStyle name="Normal 2 2 4 3 6 2 5" xfId="16955"/>
    <cellStyle name="Normal 2 2 4 3 6 2 5 2" xfId="16956"/>
    <cellStyle name="Normal 2 2 4 3 6 2 6" xfId="16957"/>
    <cellStyle name="Normal 2 2 4 3 6 2 6 2" xfId="16958"/>
    <cellStyle name="Normal 2 2 4 3 6 2 7" xfId="16959"/>
    <cellStyle name="Normal 2 2 4 3 6 2 7 2" xfId="16960"/>
    <cellStyle name="Normal 2 2 4 3 6 2 8" xfId="16961"/>
    <cellStyle name="Normal 2 2 4 3 6 2 8 2" xfId="16962"/>
    <cellStyle name="Normal 2 2 4 3 6 2 9" xfId="16963"/>
    <cellStyle name="Normal 2 2 4 3 6 2 9 2" xfId="16964"/>
    <cellStyle name="Normal 2 2 4 3 6 3" xfId="16965"/>
    <cellStyle name="Normal 2 2 4 3 6 3 10" xfId="16966"/>
    <cellStyle name="Normal 2 2 4 3 6 3 10 2" xfId="16967"/>
    <cellStyle name="Normal 2 2 4 3 6 3 11" xfId="16968"/>
    <cellStyle name="Normal 2 2 4 3 6 3 2" xfId="16969"/>
    <cellStyle name="Normal 2 2 4 3 6 3 2 2" xfId="16970"/>
    <cellStyle name="Normal 2 2 4 3 6 3 3" xfId="16971"/>
    <cellStyle name="Normal 2 2 4 3 6 3 3 2" xfId="16972"/>
    <cellStyle name="Normal 2 2 4 3 6 3 4" xfId="16973"/>
    <cellStyle name="Normal 2 2 4 3 6 3 4 2" xfId="16974"/>
    <cellStyle name="Normal 2 2 4 3 6 3 5" xfId="16975"/>
    <cellStyle name="Normal 2 2 4 3 6 3 5 2" xfId="16976"/>
    <cellStyle name="Normal 2 2 4 3 6 3 6" xfId="16977"/>
    <cellStyle name="Normal 2 2 4 3 6 3 6 2" xfId="16978"/>
    <cellStyle name="Normal 2 2 4 3 6 3 7" xfId="16979"/>
    <cellStyle name="Normal 2 2 4 3 6 3 7 2" xfId="16980"/>
    <cellStyle name="Normal 2 2 4 3 6 3 8" xfId="16981"/>
    <cellStyle name="Normal 2 2 4 3 6 3 8 2" xfId="16982"/>
    <cellStyle name="Normal 2 2 4 3 6 3 9" xfId="16983"/>
    <cellStyle name="Normal 2 2 4 3 6 3 9 2" xfId="16984"/>
    <cellStyle name="Normal 2 2 4 3 6 4" xfId="16985"/>
    <cellStyle name="Normal 2 2 4 3 6 4 2" xfId="16986"/>
    <cellStyle name="Normal 2 2 4 3 6 5" xfId="16987"/>
    <cellStyle name="Normal 2 2 4 3 6 5 2" xfId="16988"/>
    <cellStyle name="Normal 2 2 4 3 6 6" xfId="16989"/>
    <cellStyle name="Normal 2 2 4 3 6 6 2" xfId="16990"/>
    <cellStyle name="Normal 2 2 4 3 6 7" xfId="16991"/>
    <cellStyle name="Normal 2 2 4 3 6 7 2" xfId="16992"/>
    <cellStyle name="Normal 2 2 4 3 6 8" xfId="16993"/>
    <cellStyle name="Normal 2 2 4 3 6 8 2" xfId="16994"/>
    <cellStyle name="Normal 2 2 4 3 6 9" xfId="16995"/>
    <cellStyle name="Normal 2 2 4 3 6 9 2" xfId="16996"/>
    <cellStyle name="Normal 2 2 4 3 7" xfId="16997"/>
    <cellStyle name="Normal 2 2 4 4" xfId="16998"/>
    <cellStyle name="Normal 2 2 4 4 10" xfId="16999"/>
    <cellStyle name="Normal 2 2 4 4 10 2" xfId="17000"/>
    <cellStyle name="Normal 2 2 4 4 11" xfId="17001"/>
    <cellStyle name="Normal 2 2 4 4 11 2" xfId="17002"/>
    <cellStyle name="Normal 2 2 4 4 12" xfId="17003"/>
    <cellStyle name="Normal 2 2 4 4 12 2" xfId="17004"/>
    <cellStyle name="Normal 2 2 4 4 13" xfId="17005"/>
    <cellStyle name="Normal 2 2 4 4 2" xfId="17006"/>
    <cellStyle name="Normal 2 2 4 4 2 10" xfId="17007"/>
    <cellStyle name="Normal 2 2 4 4 2 10 2" xfId="17008"/>
    <cellStyle name="Normal 2 2 4 4 2 11" xfId="17009"/>
    <cellStyle name="Normal 2 2 4 4 2 11 2" xfId="17010"/>
    <cellStyle name="Normal 2 2 4 4 2 12" xfId="17011"/>
    <cellStyle name="Normal 2 2 4 4 2 2" xfId="17012"/>
    <cellStyle name="Normal 2 2 4 4 2 2 10" xfId="17013"/>
    <cellStyle name="Normal 2 2 4 4 2 2 10 2" xfId="17014"/>
    <cellStyle name="Normal 2 2 4 4 2 2 11" xfId="17015"/>
    <cellStyle name="Normal 2 2 4 4 2 2 2" xfId="17016"/>
    <cellStyle name="Normal 2 2 4 4 2 2 2 2" xfId="17017"/>
    <cellStyle name="Normal 2 2 4 4 2 2 3" xfId="17018"/>
    <cellStyle name="Normal 2 2 4 4 2 2 3 2" xfId="17019"/>
    <cellStyle name="Normal 2 2 4 4 2 2 4" xfId="17020"/>
    <cellStyle name="Normal 2 2 4 4 2 2 4 2" xfId="17021"/>
    <cellStyle name="Normal 2 2 4 4 2 2 5" xfId="17022"/>
    <cellStyle name="Normal 2 2 4 4 2 2 5 2" xfId="17023"/>
    <cellStyle name="Normal 2 2 4 4 2 2 6" xfId="17024"/>
    <cellStyle name="Normal 2 2 4 4 2 2 6 2" xfId="17025"/>
    <cellStyle name="Normal 2 2 4 4 2 2 7" xfId="17026"/>
    <cellStyle name="Normal 2 2 4 4 2 2 7 2" xfId="17027"/>
    <cellStyle name="Normal 2 2 4 4 2 2 8" xfId="17028"/>
    <cellStyle name="Normal 2 2 4 4 2 2 8 2" xfId="17029"/>
    <cellStyle name="Normal 2 2 4 4 2 2 9" xfId="17030"/>
    <cellStyle name="Normal 2 2 4 4 2 2 9 2" xfId="17031"/>
    <cellStyle name="Normal 2 2 4 4 2 3" xfId="17032"/>
    <cellStyle name="Normal 2 2 4 4 2 3 2" xfId="17033"/>
    <cellStyle name="Normal 2 2 4 4 2 4" xfId="17034"/>
    <cellStyle name="Normal 2 2 4 4 2 4 2" xfId="17035"/>
    <cellStyle name="Normal 2 2 4 4 2 5" xfId="17036"/>
    <cellStyle name="Normal 2 2 4 4 2 5 2" xfId="17037"/>
    <cellStyle name="Normal 2 2 4 4 2 6" xfId="17038"/>
    <cellStyle name="Normal 2 2 4 4 2 6 2" xfId="17039"/>
    <cellStyle name="Normal 2 2 4 4 2 7" xfId="17040"/>
    <cellStyle name="Normal 2 2 4 4 2 7 2" xfId="17041"/>
    <cellStyle name="Normal 2 2 4 4 2 8" xfId="17042"/>
    <cellStyle name="Normal 2 2 4 4 2 8 2" xfId="17043"/>
    <cellStyle name="Normal 2 2 4 4 2 9" xfId="17044"/>
    <cellStyle name="Normal 2 2 4 4 2 9 2" xfId="17045"/>
    <cellStyle name="Normal 2 2 4 4 3" xfId="17046"/>
    <cellStyle name="Normal 2 2 4 4 3 10" xfId="17047"/>
    <cellStyle name="Normal 2 2 4 4 3 10 2" xfId="17048"/>
    <cellStyle name="Normal 2 2 4 4 3 11" xfId="17049"/>
    <cellStyle name="Normal 2 2 4 4 3 2" xfId="17050"/>
    <cellStyle name="Normal 2 2 4 4 3 2 2" xfId="17051"/>
    <cellStyle name="Normal 2 2 4 4 3 3" xfId="17052"/>
    <cellStyle name="Normal 2 2 4 4 3 3 2" xfId="17053"/>
    <cellStyle name="Normal 2 2 4 4 3 4" xfId="17054"/>
    <cellStyle name="Normal 2 2 4 4 3 4 2" xfId="17055"/>
    <cellStyle name="Normal 2 2 4 4 3 5" xfId="17056"/>
    <cellStyle name="Normal 2 2 4 4 3 5 2" xfId="17057"/>
    <cellStyle name="Normal 2 2 4 4 3 6" xfId="17058"/>
    <cellStyle name="Normal 2 2 4 4 3 6 2" xfId="17059"/>
    <cellStyle name="Normal 2 2 4 4 3 7" xfId="17060"/>
    <cellStyle name="Normal 2 2 4 4 3 7 2" xfId="17061"/>
    <cellStyle name="Normal 2 2 4 4 3 8" xfId="17062"/>
    <cellStyle name="Normal 2 2 4 4 3 8 2" xfId="17063"/>
    <cellStyle name="Normal 2 2 4 4 3 9" xfId="17064"/>
    <cellStyle name="Normal 2 2 4 4 3 9 2" xfId="17065"/>
    <cellStyle name="Normal 2 2 4 4 4" xfId="17066"/>
    <cellStyle name="Normal 2 2 4 4 4 2" xfId="17067"/>
    <cellStyle name="Normal 2 2 4 4 5" xfId="17068"/>
    <cellStyle name="Normal 2 2 4 4 5 2" xfId="17069"/>
    <cellStyle name="Normal 2 2 4 4 6" xfId="17070"/>
    <cellStyle name="Normal 2 2 4 4 6 2" xfId="17071"/>
    <cellStyle name="Normal 2 2 4 4 7" xfId="17072"/>
    <cellStyle name="Normal 2 2 4 4 7 2" xfId="17073"/>
    <cellStyle name="Normal 2 2 4 4 8" xfId="17074"/>
    <cellStyle name="Normal 2 2 4 4 8 2" xfId="17075"/>
    <cellStyle name="Normal 2 2 4 4 9" xfId="17076"/>
    <cellStyle name="Normal 2 2 4 4 9 2" xfId="17077"/>
    <cellStyle name="Normal 2 2 4 5" xfId="17078"/>
    <cellStyle name="Normal 2 2 4 5 10" xfId="17079"/>
    <cellStyle name="Normal 2 2 4 5 10 2" xfId="17080"/>
    <cellStyle name="Normal 2 2 4 5 11" xfId="17081"/>
    <cellStyle name="Normal 2 2 4 5 11 2" xfId="17082"/>
    <cellStyle name="Normal 2 2 4 5 12" xfId="17083"/>
    <cellStyle name="Normal 2 2 4 5 12 2" xfId="17084"/>
    <cellStyle name="Normal 2 2 4 5 13" xfId="17085"/>
    <cellStyle name="Normal 2 2 4 5 2" xfId="17086"/>
    <cellStyle name="Normal 2 2 4 5 2 10" xfId="17087"/>
    <cellStyle name="Normal 2 2 4 5 2 10 2" xfId="17088"/>
    <cellStyle name="Normal 2 2 4 5 2 11" xfId="17089"/>
    <cellStyle name="Normal 2 2 4 5 2 11 2" xfId="17090"/>
    <cellStyle name="Normal 2 2 4 5 2 12" xfId="17091"/>
    <cellStyle name="Normal 2 2 4 5 2 2" xfId="17092"/>
    <cellStyle name="Normal 2 2 4 5 2 2 10" xfId="17093"/>
    <cellStyle name="Normal 2 2 4 5 2 2 10 2" xfId="17094"/>
    <cellStyle name="Normal 2 2 4 5 2 2 11" xfId="17095"/>
    <cellStyle name="Normal 2 2 4 5 2 2 2" xfId="17096"/>
    <cellStyle name="Normal 2 2 4 5 2 2 2 2" xfId="17097"/>
    <cellStyle name="Normal 2 2 4 5 2 2 3" xfId="17098"/>
    <cellStyle name="Normal 2 2 4 5 2 2 3 2" xfId="17099"/>
    <cellStyle name="Normal 2 2 4 5 2 2 4" xfId="17100"/>
    <cellStyle name="Normal 2 2 4 5 2 2 4 2" xfId="17101"/>
    <cellStyle name="Normal 2 2 4 5 2 2 5" xfId="17102"/>
    <cellStyle name="Normal 2 2 4 5 2 2 5 2" xfId="17103"/>
    <cellStyle name="Normal 2 2 4 5 2 2 6" xfId="17104"/>
    <cellStyle name="Normal 2 2 4 5 2 2 6 2" xfId="17105"/>
    <cellStyle name="Normal 2 2 4 5 2 2 7" xfId="17106"/>
    <cellStyle name="Normal 2 2 4 5 2 2 7 2" xfId="17107"/>
    <cellStyle name="Normal 2 2 4 5 2 2 8" xfId="17108"/>
    <cellStyle name="Normal 2 2 4 5 2 2 8 2" xfId="17109"/>
    <cellStyle name="Normal 2 2 4 5 2 2 9" xfId="17110"/>
    <cellStyle name="Normal 2 2 4 5 2 2 9 2" xfId="17111"/>
    <cellStyle name="Normal 2 2 4 5 2 3" xfId="17112"/>
    <cellStyle name="Normal 2 2 4 5 2 3 2" xfId="17113"/>
    <cellStyle name="Normal 2 2 4 5 2 4" xfId="17114"/>
    <cellStyle name="Normal 2 2 4 5 2 4 2" xfId="17115"/>
    <cellStyle name="Normal 2 2 4 5 2 5" xfId="17116"/>
    <cellStyle name="Normal 2 2 4 5 2 5 2" xfId="17117"/>
    <cellStyle name="Normal 2 2 4 5 2 6" xfId="17118"/>
    <cellStyle name="Normal 2 2 4 5 2 6 2" xfId="17119"/>
    <cellStyle name="Normal 2 2 4 5 2 7" xfId="17120"/>
    <cellStyle name="Normal 2 2 4 5 2 7 2" xfId="17121"/>
    <cellStyle name="Normal 2 2 4 5 2 8" xfId="17122"/>
    <cellStyle name="Normal 2 2 4 5 2 8 2" xfId="17123"/>
    <cellStyle name="Normal 2 2 4 5 2 9" xfId="17124"/>
    <cellStyle name="Normal 2 2 4 5 2 9 2" xfId="17125"/>
    <cellStyle name="Normal 2 2 4 5 3" xfId="17126"/>
    <cellStyle name="Normal 2 2 4 5 3 10" xfId="17127"/>
    <cellStyle name="Normal 2 2 4 5 3 10 2" xfId="17128"/>
    <cellStyle name="Normal 2 2 4 5 3 11" xfId="17129"/>
    <cellStyle name="Normal 2 2 4 5 3 2" xfId="17130"/>
    <cellStyle name="Normal 2 2 4 5 3 2 2" xfId="17131"/>
    <cellStyle name="Normal 2 2 4 5 3 3" xfId="17132"/>
    <cellStyle name="Normal 2 2 4 5 3 3 2" xfId="17133"/>
    <cellStyle name="Normal 2 2 4 5 3 4" xfId="17134"/>
    <cellStyle name="Normal 2 2 4 5 3 4 2" xfId="17135"/>
    <cellStyle name="Normal 2 2 4 5 3 5" xfId="17136"/>
    <cellStyle name="Normal 2 2 4 5 3 5 2" xfId="17137"/>
    <cellStyle name="Normal 2 2 4 5 3 6" xfId="17138"/>
    <cellStyle name="Normal 2 2 4 5 3 6 2" xfId="17139"/>
    <cellStyle name="Normal 2 2 4 5 3 7" xfId="17140"/>
    <cellStyle name="Normal 2 2 4 5 3 7 2" xfId="17141"/>
    <cellStyle name="Normal 2 2 4 5 3 8" xfId="17142"/>
    <cellStyle name="Normal 2 2 4 5 3 8 2" xfId="17143"/>
    <cellStyle name="Normal 2 2 4 5 3 9" xfId="17144"/>
    <cellStyle name="Normal 2 2 4 5 3 9 2" xfId="17145"/>
    <cellStyle name="Normal 2 2 4 5 4" xfId="17146"/>
    <cellStyle name="Normal 2 2 4 5 4 2" xfId="17147"/>
    <cellStyle name="Normal 2 2 4 5 5" xfId="17148"/>
    <cellStyle name="Normal 2 2 4 5 5 2" xfId="17149"/>
    <cellStyle name="Normal 2 2 4 5 6" xfId="17150"/>
    <cellStyle name="Normal 2 2 4 5 6 2" xfId="17151"/>
    <cellStyle name="Normal 2 2 4 5 7" xfId="17152"/>
    <cellStyle name="Normal 2 2 4 5 7 2" xfId="17153"/>
    <cellStyle name="Normal 2 2 4 5 8" xfId="17154"/>
    <cellStyle name="Normal 2 2 4 5 8 2" xfId="17155"/>
    <cellStyle name="Normal 2 2 4 5 9" xfId="17156"/>
    <cellStyle name="Normal 2 2 4 5 9 2" xfId="17157"/>
    <cellStyle name="Normal 2 2 4 6" xfId="17158"/>
    <cellStyle name="Normal 2 2 4 6 2" xfId="17159"/>
    <cellStyle name="Normal 2 2 4 6 2 10" xfId="17160"/>
    <cellStyle name="Normal 2 2 4 6 2 10 2" xfId="17161"/>
    <cellStyle name="Normal 2 2 4 6 2 11" xfId="17162"/>
    <cellStyle name="Normal 2 2 4 6 2 11 2" xfId="17163"/>
    <cellStyle name="Normal 2 2 4 6 2 12" xfId="17164"/>
    <cellStyle name="Normal 2 2 4 6 2 12 2" xfId="17165"/>
    <cellStyle name="Normal 2 2 4 6 2 13" xfId="17166"/>
    <cellStyle name="Normal 2 2 4 6 2 2" xfId="17167"/>
    <cellStyle name="Normal 2 2 4 6 2 2 10" xfId="17168"/>
    <cellStyle name="Normal 2 2 4 6 2 2 10 2" xfId="17169"/>
    <cellStyle name="Normal 2 2 4 6 2 2 11" xfId="17170"/>
    <cellStyle name="Normal 2 2 4 6 2 2 11 2" xfId="17171"/>
    <cellStyle name="Normal 2 2 4 6 2 2 12" xfId="17172"/>
    <cellStyle name="Normal 2 2 4 6 2 2 2" xfId="17173"/>
    <cellStyle name="Normal 2 2 4 6 2 2 2 10" xfId="17174"/>
    <cellStyle name="Normal 2 2 4 6 2 2 2 10 2" xfId="17175"/>
    <cellStyle name="Normal 2 2 4 6 2 2 2 11" xfId="17176"/>
    <cellStyle name="Normal 2 2 4 6 2 2 2 2" xfId="17177"/>
    <cellStyle name="Normal 2 2 4 6 2 2 2 2 2" xfId="17178"/>
    <cellStyle name="Normal 2 2 4 6 2 2 2 3" xfId="17179"/>
    <cellStyle name="Normal 2 2 4 6 2 2 2 3 2" xfId="17180"/>
    <cellStyle name="Normal 2 2 4 6 2 2 2 4" xfId="17181"/>
    <cellStyle name="Normal 2 2 4 6 2 2 2 4 2" xfId="17182"/>
    <cellStyle name="Normal 2 2 4 6 2 2 2 5" xfId="17183"/>
    <cellStyle name="Normal 2 2 4 6 2 2 2 5 2" xfId="17184"/>
    <cellStyle name="Normal 2 2 4 6 2 2 2 6" xfId="17185"/>
    <cellStyle name="Normal 2 2 4 6 2 2 2 6 2" xfId="17186"/>
    <cellStyle name="Normal 2 2 4 6 2 2 2 7" xfId="17187"/>
    <cellStyle name="Normal 2 2 4 6 2 2 2 7 2" xfId="17188"/>
    <cellStyle name="Normal 2 2 4 6 2 2 2 8" xfId="17189"/>
    <cellStyle name="Normal 2 2 4 6 2 2 2 8 2" xfId="17190"/>
    <cellStyle name="Normal 2 2 4 6 2 2 2 9" xfId="17191"/>
    <cellStyle name="Normal 2 2 4 6 2 2 2 9 2" xfId="17192"/>
    <cellStyle name="Normal 2 2 4 6 2 2 3" xfId="17193"/>
    <cellStyle name="Normal 2 2 4 6 2 2 3 2" xfId="17194"/>
    <cellStyle name="Normal 2 2 4 6 2 2 4" xfId="17195"/>
    <cellStyle name="Normal 2 2 4 6 2 2 4 2" xfId="17196"/>
    <cellStyle name="Normal 2 2 4 6 2 2 5" xfId="17197"/>
    <cellStyle name="Normal 2 2 4 6 2 2 5 2" xfId="17198"/>
    <cellStyle name="Normal 2 2 4 6 2 2 6" xfId="17199"/>
    <cellStyle name="Normal 2 2 4 6 2 2 6 2" xfId="17200"/>
    <cellStyle name="Normal 2 2 4 6 2 2 7" xfId="17201"/>
    <cellStyle name="Normal 2 2 4 6 2 2 7 2" xfId="17202"/>
    <cellStyle name="Normal 2 2 4 6 2 2 8" xfId="17203"/>
    <cellStyle name="Normal 2 2 4 6 2 2 8 2" xfId="17204"/>
    <cellStyle name="Normal 2 2 4 6 2 2 9" xfId="17205"/>
    <cellStyle name="Normal 2 2 4 6 2 2 9 2" xfId="17206"/>
    <cellStyle name="Normal 2 2 4 6 2 3" xfId="17207"/>
    <cellStyle name="Normal 2 2 4 6 2 3 10" xfId="17208"/>
    <cellStyle name="Normal 2 2 4 6 2 3 10 2" xfId="17209"/>
    <cellStyle name="Normal 2 2 4 6 2 3 11" xfId="17210"/>
    <cellStyle name="Normal 2 2 4 6 2 3 2" xfId="17211"/>
    <cellStyle name="Normal 2 2 4 6 2 3 2 2" xfId="17212"/>
    <cellStyle name="Normal 2 2 4 6 2 3 3" xfId="17213"/>
    <cellStyle name="Normal 2 2 4 6 2 3 3 2" xfId="17214"/>
    <cellStyle name="Normal 2 2 4 6 2 3 4" xfId="17215"/>
    <cellStyle name="Normal 2 2 4 6 2 3 4 2" xfId="17216"/>
    <cellStyle name="Normal 2 2 4 6 2 3 5" xfId="17217"/>
    <cellStyle name="Normal 2 2 4 6 2 3 5 2" xfId="17218"/>
    <cellStyle name="Normal 2 2 4 6 2 3 6" xfId="17219"/>
    <cellStyle name="Normal 2 2 4 6 2 3 6 2" xfId="17220"/>
    <cellStyle name="Normal 2 2 4 6 2 3 7" xfId="17221"/>
    <cellStyle name="Normal 2 2 4 6 2 3 7 2" xfId="17222"/>
    <cellStyle name="Normal 2 2 4 6 2 3 8" xfId="17223"/>
    <cellStyle name="Normal 2 2 4 6 2 3 8 2" xfId="17224"/>
    <cellStyle name="Normal 2 2 4 6 2 3 9" xfId="17225"/>
    <cellStyle name="Normal 2 2 4 6 2 3 9 2" xfId="17226"/>
    <cellStyle name="Normal 2 2 4 6 2 4" xfId="17227"/>
    <cellStyle name="Normal 2 2 4 6 2 4 2" xfId="17228"/>
    <cellStyle name="Normal 2 2 4 6 2 5" xfId="17229"/>
    <cellStyle name="Normal 2 2 4 6 2 5 2" xfId="17230"/>
    <cellStyle name="Normal 2 2 4 6 2 6" xfId="17231"/>
    <cellStyle name="Normal 2 2 4 6 2 6 2" xfId="17232"/>
    <cellStyle name="Normal 2 2 4 6 2 7" xfId="17233"/>
    <cellStyle name="Normal 2 2 4 6 2 7 2" xfId="17234"/>
    <cellStyle name="Normal 2 2 4 6 2 8" xfId="17235"/>
    <cellStyle name="Normal 2 2 4 6 2 8 2" xfId="17236"/>
    <cellStyle name="Normal 2 2 4 6 2 9" xfId="17237"/>
    <cellStyle name="Normal 2 2 4 6 2 9 2" xfId="17238"/>
    <cellStyle name="Normal 2 2 4 6 3" xfId="17239"/>
    <cellStyle name="Normal 2 2 4 6 3 10" xfId="17240"/>
    <cellStyle name="Normal 2 2 4 6 3 10 2" xfId="17241"/>
    <cellStyle name="Normal 2 2 4 6 3 11" xfId="17242"/>
    <cellStyle name="Normal 2 2 4 6 3 11 2" xfId="17243"/>
    <cellStyle name="Normal 2 2 4 6 3 12" xfId="17244"/>
    <cellStyle name="Normal 2 2 4 6 3 12 2" xfId="17245"/>
    <cellStyle name="Normal 2 2 4 6 3 13" xfId="17246"/>
    <cellStyle name="Normal 2 2 4 6 3 2" xfId="17247"/>
    <cellStyle name="Normal 2 2 4 6 3 2 10" xfId="17248"/>
    <cellStyle name="Normal 2 2 4 6 3 2 10 2" xfId="17249"/>
    <cellStyle name="Normal 2 2 4 6 3 2 11" xfId="17250"/>
    <cellStyle name="Normal 2 2 4 6 3 2 11 2" xfId="17251"/>
    <cellStyle name="Normal 2 2 4 6 3 2 12" xfId="17252"/>
    <cellStyle name="Normal 2 2 4 6 3 2 2" xfId="17253"/>
    <cellStyle name="Normal 2 2 4 6 3 2 2 10" xfId="17254"/>
    <cellStyle name="Normal 2 2 4 6 3 2 2 10 2" xfId="17255"/>
    <cellStyle name="Normal 2 2 4 6 3 2 2 11" xfId="17256"/>
    <cellStyle name="Normal 2 2 4 6 3 2 2 2" xfId="17257"/>
    <cellStyle name="Normal 2 2 4 6 3 2 2 2 2" xfId="17258"/>
    <cellStyle name="Normal 2 2 4 6 3 2 2 3" xfId="17259"/>
    <cellStyle name="Normal 2 2 4 6 3 2 2 3 2" xfId="17260"/>
    <cellStyle name="Normal 2 2 4 6 3 2 2 4" xfId="17261"/>
    <cellStyle name="Normal 2 2 4 6 3 2 2 4 2" xfId="17262"/>
    <cellStyle name="Normal 2 2 4 6 3 2 2 5" xfId="17263"/>
    <cellStyle name="Normal 2 2 4 6 3 2 2 5 2" xfId="17264"/>
    <cellStyle name="Normal 2 2 4 6 3 2 2 6" xfId="17265"/>
    <cellStyle name="Normal 2 2 4 6 3 2 2 6 2" xfId="17266"/>
    <cellStyle name="Normal 2 2 4 6 3 2 2 7" xfId="17267"/>
    <cellStyle name="Normal 2 2 4 6 3 2 2 7 2" xfId="17268"/>
    <cellStyle name="Normal 2 2 4 6 3 2 2 8" xfId="17269"/>
    <cellStyle name="Normal 2 2 4 6 3 2 2 8 2" xfId="17270"/>
    <cellStyle name="Normal 2 2 4 6 3 2 2 9" xfId="17271"/>
    <cellStyle name="Normal 2 2 4 6 3 2 2 9 2" xfId="17272"/>
    <cellStyle name="Normal 2 2 4 6 3 2 3" xfId="17273"/>
    <cellStyle name="Normal 2 2 4 6 3 2 3 2" xfId="17274"/>
    <cellStyle name="Normal 2 2 4 6 3 2 4" xfId="17275"/>
    <cellStyle name="Normal 2 2 4 6 3 2 4 2" xfId="17276"/>
    <cellStyle name="Normal 2 2 4 6 3 2 5" xfId="17277"/>
    <cellStyle name="Normal 2 2 4 6 3 2 5 2" xfId="17278"/>
    <cellStyle name="Normal 2 2 4 6 3 2 6" xfId="17279"/>
    <cellStyle name="Normal 2 2 4 6 3 2 6 2" xfId="17280"/>
    <cellStyle name="Normal 2 2 4 6 3 2 7" xfId="17281"/>
    <cellStyle name="Normal 2 2 4 6 3 2 7 2" xfId="17282"/>
    <cellStyle name="Normal 2 2 4 6 3 2 8" xfId="17283"/>
    <cellStyle name="Normal 2 2 4 6 3 2 8 2" xfId="17284"/>
    <cellStyle name="Normal 2 2 4 6 3 2 9" xfId="17285"/>
    <cellStyle name="Normal 2 2 4 6 3 2 9 2" xfId="17286"/>
    <cellStyle name="Normal 2 2 4 6 3 3" xfId="17287"/>
    <cellStyle name="Normal 2 2 4 6 3 3 10" xfId="17288"/>
    <cellStyle name="Normal 2 2 4 6 3 3 10 2" xfId="17289"/>
    <cellStyle name="Normal 2 2 4 6 3 3 11" xfId="17290"/>
    <cellStyle name="Normal 2 2 4 6 3 3 2" xfId="17291"/>
    <cellStyle name="Normal 2 2 4 6 3 3 2 2" xfId="17292"/>
    <cellStyle name="Normal 2 2 4 6 3 3 3" xfId="17293"/>
    <cellStyle name="Normal 2 2 4 6 3 3 3 2" xfId="17294"/>
    <cellStyle name="Normal 2 2 4 6 3 3 4" xfId="17295"/>
    <cellStyle name="Normal 2 2 4 6 3 3 4 2" xfId="17296"/>
    <cellStyle name="Normal 2 2 4 6 3 3 5" xfId="17297"/>
    <cellStyle name="Normal 2 2 4 6 3 3 5 2" xfId="17298"/>
    <cellStyle name="Normal 2 2 4 6 3 3 6" xfId="17299"/>
    <cellStyle name="Normal 2 2 4 6 3 3 6 2" xfId="17300"/>
    <cellStyle name="Normal 2 2 4 6 3 3 7" xfId="17301"/>
    <cellStyle name="Normal 2 2 4 6 3 3 7 2" xfId="17302"/>
    <cellStyle name="Normal 2 2 4 6 3 3 8" xfId="17303"/>
    <cellStyle name="Normal 2 2 4 6 3 3 8 2" xfId="17304"/>
    <cellStyle name="Normal 2 2 4 6 3 3 9" xfId="17305"/>
    <cellStyle name="Normal 2 2 4 6 3 3 9 2" xfId="17306"/>
    <cellStyle name="Normal 2 2 4 6 3 4" xfId="17307"/>
    <cellStyle name="Normal 2 2 4 6 3 4 2" xfId="17308"/>
    <cellStyle name="Normal 2 2 4 6 3 5" xfId="17309"/>
    <cellStyle name="Normal 2 2 4 6 3 5 2" xfId="17310"/>
    <cellStyle name="Normal 2 2 4 6 3 6" xfId="17311"/>
    <cellStyle name="Normal 2 2 4 6 3 6 2" xfId="17312"/>
    <cellStyle name="Normal 2 2 4 6 3 7" xfId="17313"/>
    <cellStyle name="Normal 2 2 4 6 3 7 2" xfId="17314"/>
    <cellStyle name="Normal 2 2 4 6 3 8" xfId="17315"/>
    <cellStyle name="Normal 2 2 4 6 3 8 2" xfId="17316"/>
    <cellStyle name="Normal 2 2 4 6 3 9" xfId="17317"/>
    <cellStyle name="Normal 2 2 4 6 3 9 2" xfId="17318"/>
    <cellStyle name="Normal 2 2 4 6 4" xfId="17319"/>
    <cellStyle name="Normal 2 2 4 6 4 10" xfId="17320"/>
    <cellStyle name="Normal 2 2 4 6 4 10 2" xfId="17321"/>
    <cellStyle name="Normal 2 2 4 6 4 11" xfId="17322"/>
    <cellStyle name="Normal 2 2 4 6 4 11 2" xfId="17323"/>
    <cellStyle name="Normal 2 2 4 6 4 12" xfId="17324"/>
    <cellStyle name="Normal 2 2 4 6 4 12 2" xfId="17325"/>
    <cellStyle name="Normal 2 2 4 6 4 13" xfId="17326"/>
    <cellStyle name="Normal 2 2 4 6 4 2" xfId="17327"/>
    <cellStyle name="Normal 2 2 4 6 4 2 10" xfId="17328"/>
    <cellStyle name="Normal 2 2 4 6 4 2 10 2" xfId="17329"/>
    <cellStyle name="Normal 2 2 4 6 4 2 11" xfId="17330"/>
    <cellStyle name="Normal 2 2 4 6 4 2 11 2" xfId="17331"/>
    <cellStyle name="Normal 2 2 4 6 4 2 12" xfId="17332"/>
    <cellStyle name="Normal 2 2 4 6 4 2 2" xfId="17333"/>
    <cellStyle name="Normal 2 2 4 6 4 2 2 10" xfId="17334"/>
    <cellStyle name="Normal 2 2 4 6 4 2 2 10 2" xfId="17335"/>
    <cellStyle name="Normal 2 2 4 6 4 2 2 11" xfId="17336"/>
    <cellStyle name="Normal 2 2 4 6 4 2 2 2" xfId="17337"/>
    <cellStyle name="Normal 2 2 4 6 4 2 2 2 2" xfId="17338"/>
    <cellStyle name="Normal 2 2 4 6 4 2 2 3" xfId="17339"/>
    <cellStyle name="Normal 2 2 4 6 4 2 2 3 2" xfId="17340"/>
    <cellStyle name="Normal 2 2 4 6 4 2 2 4" xfId="17341"/>
    <cellStyle name="Normal 2 2 4 6 4 2 2 4 2" xfId="17342"/>
    <cellStyle name="Normal 2 2 4 6 4 2 2 5" xfId="17343"/>
    <cellStyle name="Normal 2 2 4 6 4 2 2 5 2" xfId="17344"/>
    <cellStyle name="Normal 2 2 4 6 4 2 2 6" xfId="17345"/>
    <cellStyle name="Normal 2 2 4 6 4 2 2 6 2" xfId="17346"/>
    <cellStyle name="Normal 2 2 4 6 4 2 2 7" xfId="17347"/>
    <cellStyle name="Normal 2 2 4 6 4 2 2 7 2" xfId="17348"/>
    <cellStyle name="Normal 2 2 4 6 4 2 2 8" xfId="17349"/>
    <cellStyle name="Normal 2 2 4 6 4 2 2 8 2" xfId="17350"/>
    <cellStyle name="Normal 2 2 4 6 4 2 2 9" xfId="17351"/>
    <cellStyle name="Normal 2 2 4 6 4 2 2 9 2" xfId="17352"/>
    <cellStyle name="Normal 2 2 4 6 4 2 3" xfId="17353"/>
    <cellStyle name="Normal 2 2 4 6 4 2 3 2" xfId="17354"/>
    <cellStyle name="Normal 2 2 4 6 4 2 4" xfId="17355"/>
    <cellStyle name="Normal 2 2 4 6 4 2 4 2" xfId="17356"/>
    <cellStyle name="Normal 2 2 4 6 4 2 5" xfId="17357"/>
    <cellStyle name="Normal 2 2 4 6 4 2 5 2" xfId="17358"/>
    <cellStyle name="Normal 2 2 4 6 4 2 6" xfId="17359"/>
    <cellStyle name="Normal 2 2 4 6 4 2 6 2" xfId="17360"/>
    <cellStyle name="Normal 2 2 4 6 4 2 7" xfId="17361"/>
    <cellStyle name="Normal 2 2 4 6 4 2 7 2" xfId="17362"/>
    <cellStyle name="Normal 2 2 4 6 4 2 8" xfId="17363"/>
    <cellStyle name="Normal 2 2 4 6 4 2 8 2" xfId="17364"/>
    <cellStyle name="Normal 2 2 4 6 4 2 9" xfId="17365"/>
    <cellStyle name="Normal 2 2 4 6 4 2 9 2" xfId="17366"/>
    <cellStyle name="Normal 2 2 4 6 4 3" xfId="17367"/>
    <cellStyle name="Normal 2 2 4 6 4 3 10" xfId="17368"/>
    <cellStyle name="Normal 2 2 4 6 4 3 10 2" xfId="17369"/>
    <cellStyle name="Normal 2 2 4 6 4 3 11" xfId="17370"/>
    <cellStyle name="Normal 2 2 4 6 4 3 2" xfId="17371"/>
    <cellStyle name="Normal 2 2 4 6 4 3 2 2" xfId="17372"/>
    <cellStyle name="Normal 2 2 4 6 4 3 3" xfId="17373"/>
    <cellStyle name="Normal 2 2 4 6 4 3 3 2" xfId="17374"/>
    <cellStyle name="Normal 2 2 4 6 4 3 4" xfId="17375"/>
    <cellStyle name="Normal 2 2 4 6 4 3 4 2" xfId="17376"/>
    <cellStyle name="Normal 2 2 4 6 4 3 5" xfId="17377"/>
    <cellStyle name="Normal 2 2 4 6 4 3 5 2" xfId="17378"/>
    <cellStyle name="Normal 2 2 4 6 4 3 6" xfId="17379"/>
    <cellStyle name="Normal 2 2 4 6 4 3 6 2" xfId="17380"/>
    <cellStyle name="Normal 2 2 4 6 4 3 7" xfId="17381"/>
    <cellStyle name="Normal 2 2 4 6 4 3 7 2" xfId="17382"/>
    <cellStyle name="Normal 2 2 4 6 4 3 8" xfId="17383"/>
    <cellStyle name="Normal 2 2 4 6 4 3 8 2" xfId="17384"/>
    <cellStyle name="Normal 2 2 4 6 4 3 9" xfId="17385"/>
    <cellStyle name="Normal 2 2 4 6 4 3 9 2" xfId="17386"/>
    <cellStyle name="Normal 2 2 4 6 4 4" xfId="17387"/>
    <cellStyle name="Normal 2 2 4 6 4 4 2" xfId="17388"/>
    <cellStyle name="Normal 2 2 4 6 4 5" xfId="17389"/>
    <cellStyle name="Normal 2 2 4 6 4 5 2" xfId="17390"/>
    <cellStyle name="Normal 2 2 4 6 4 6" xfId="17391"/>
    <cellStyle name="Normal 2 2 4 6 4 6 2" xfId="17392"/>
    <cellStyle name="Normal 2 2 4 6 4 7" xfId="17393"/>
    <cellStyle name="Normal 2 2 4 6 4 7 2" xfId="17394"/>
    <cellStyle name="Normal 2 2 4 6 4 8" xfId="17395"/>
    <cellStyle name="Normal 2 2 4 6 4 8 2" xfId="17396"/>
    <cellStyle name="Normal 2 2 4 6 4 9" xfId="17397"/>
    <cellStyle name="Normal 2 2 4 6 4 9 2" xfId="17398"/>
    <cellStyle name="Normal 2 2 4 6 5" xfId="17399"/>
    <cellStyle name="Normal 2 2 4 6 5 10" xfId="17400"/>
    <cellStyle name="Normal 2 2 4 6 5 10 2" xfId="17401"/>
    <cellStyle name="Normal 2 2 4 6 5 11" xfId="17402"/>
    <cellStyle name="Normal 2 2 4 6 5 11 2" xfId="17403"/>
    <cellStyle name="Normal 2 2 4 6 5 12" xfId="17404"/>
    <cellStyle name="Normal 2 2 4 6 5 12 2" xfId="17405"/>
    <cellStyle name="Normal 2 2 4 6 5 13" xfId="17406"/>
    <cellStyle name="Normal 2 2 4 6 5 2" xfId="17407"/>
    <cellStyle name="Normal 2 2 4 6 5 2 10" xfId="17408"/>
    <cellStyle name="Normal 2 2 4 6 5 2 10 2" xfId="17409"/>
    <cellStyle name="Normal 2 2 4 6 5 2 11" xfId="17410"/>
    <cellStyle name="Normal 2 2 4 6 5 2 11 2" xfId="17411"/>
    <cellStyle name="Normal 2 2 4 6 5 2 12" xfId="17412"/>
    <cellStyle name="Normal 2 2 4 6 5 2 2" xfId="17413"/>
    <cellStyle name="Normal 2 2 4 6 5 2 2 10" xfId="17414"/>
    <cellStyle name="Normal 2 2 4 6 5 2 2 10 2" xfId="17415"/>
    <cellStyle name="Normal 2 2 4 6 5 2 2 11" xfId="17416"/>
    <cellStyle name="Normal 2 2 4 6 5 2 2 2" xfId="17417"/>
    <cellStyle name="Normal 2 2 4 6 5 2 2 2 2" xfId="17418"/>
    <cellStyle name="Normal 2 2 4 6 5 2 2 3" xfId="17419"/>
    <cellStyle name="Normal 2 2 4 6 5 2 2 3 2" xfId="17420"/>
    <cellStyle name="Normal 2 2 4 6 5 2 2 4" xfId="17421"/>
    <cellStyle name="Normal 2 2 4 6 5 2 2 4 2" xfId="17422"/>
    <cellStyle name="Normal 2 2 4 6 5 2 2 5" xfId="17423"/>
    <cellStyle name="Normal 2 2 4 6 5 2 2 5 2" xfId="17424"/>
    <cellStyle name="Normal 2 2 4 6 5 2 2 6" xfId="17425"/>
    <cellStyle name="Normal 2 2 4 6 5 2 2 6 2" xfId="17426"/>
    <cellStyle name="Normal 2 2 4 6 5 2 2 7" xfId="17427"/>
    <cellStyle name="Normal 2 2 4 6 5 2 2 7 2" xfId="17428"/>
    <cellStyle name="Normal 2 2 4 6 5 2 2 8" xfId="17429"/>
    <cellStyle name="Normal 2 2 4 6 5 2 2 8 2" xfId="17430"/>
    <cellStyle name="Normal 2 2 4 6 5 2 2 9" xfId="17431"/>
    <cellStyle name="Normal 2 2 4 6 5 2 2 9 2" xfId="17432"/>
    <cellStyle name="Normal 2 2 4 6 5 2 3" xfId="17433"/>
    <cellStyle name="Normal 2 2 4 6 5 2 3 2" xfId="17434"/>
    <cellStyle name="Normal 2 2 4 6 5 2 4" xfId="17435"/>
    <cellStyle name="Normal 2 2 4 6 5 2 4 2" xfId="17436"/>
    <cellStyle name="Normal 2 2 4 6 5 2 5" xfId="17437"/>
    <cellStyle name="Normal 2 2 4 6 5 2 5 2" xfId="17438"/>
    <cellStyle name="Normal 2 2 4 6 5 2 6" xfId="17439"/>
    <cellStyle name="Normal 2 2 4 6 5 2 6 2" xfId="17440"/>
    <cellStyle name="Normal 2 2 4 6 5 2 7" xfId="17441"/>
    <cellStyle name="Normal 2 2 4 6 5 2 7 2" xfId="17442"/>
    <cellStyle name="Normal 2 2 4 6 5 2 8" xfId="17443"/>
    <cellStyle name="Normal 2 2 4 6 5 2 8 2" xfId="17444"/>
    <cellStyle name="Normal 2 2 4 6 5 2 9" xfId="17445"/>
    <cellStyle name="Normal 2 2 4 6 5 2 9 2" xfId="17446"/>
    <cellStyle name="Normal 2 2 4 6 5 3" xfId="17447"/>
    <cellStyle name="Normal 2 2 4 6 5 3 10" xfId="17448"/>
    <cellStyle name="Normal 2 2 4 6 5 3 10 2" xfId="17449"/>
    <cellStyle name="Normal 2 2 4 6 5 3 11" xfId="17450"/>
    <cellStyle name="Normal 2 2 4 6 5 3 2" xfId="17451"/>
    <cellStyle name="Normal 2 2 4 6 5 3 2 2" xfId="17452"/>
    <cellStyle name="Normal 2 2 4 6 5 3 3" xfId="17453"/>
    <cellStyle name="Normal 2 2 4 6 5 3 3 2" xfId="17454"/>
    <cellStyle name="Normal 2 2 4 6 5 3 4" xfId="17455"/>
    <cellStyle name="Normal 2 2 4 6 5 3 4 2" xfId="17456"/>
    <cellStyle name="Normal 2 2 4 6 5 3 5" xfId="17457"/>
    <cellStyle name="Normal 2 2 4 6 5 3 5 2" xfId="17458"/>
    <cellStyle name="Normal 2 2 4 6 5 3 6" xfId="17459"/>
    <cellStyle name="Normal 2 2 4 6 5 3 6 2" xfId="17460"/>
    <cellStyle name="Normal 2 2 4 6 5 3 7" xfId="17461"/>
    <cellStyle name="Normal 2 2 4 6 5 3 7 2" xfId="17462"/>
    <cellStyle name="Normal 2 2 4 6 5 3 8" xfId="17463"/>
    <cellStyle name="Normal 2 2 4 6 5 3 8 2" xfId="17464"/>
    <cellStyle name="Normal 2 2 4 6 5 3 9" xfId="17465"/>
    <cellStyle name="Normal 2 2 4 6 5 3 9 2" xfId="17466"/>
    <cellStyle name="Normal 2 2 4 6 5 4" xfId="17467"/>
    <cellStyle name="Normal 2 2 4 6 5 4 2" xfId="17468"/>
    <cellStyle name="Normal 2 2 4 6 5 5" xfId="17469"/>
    <cellStyle name="Normal 2 2 4 6 5 5 2" xfId="17470"/>
    <cellStyle name="Normal 2 2 4 6 5 6" xfId="17471"/>
    <cellStyle name="Normal 2 2 4 6 5 6 2" xfId="17472"/>
    <cellStyle name="Normal 2 2 4 6 5 7" xfId="17473"/>
    <cellStyle name="Normal 2 2 4 6 5 7 2" xfId="17474"/>
    <cellStyle name="Normal 2 2 4 6 5 8" xfId="17475"/>
    <cellStyle name="Normal 2 2 4 6 5 8 2" xfId="17476"/>
    <cellStyle name="Normal 2 2 4 6 5 9" xfId="17477"/>
    <cellStyle name="Normal 2 2 4 6 5 9 2" xfId="17478"/>
    <cellStyle name="Normal 2 2 4 6 6" xfId="17479"/>
    <cellStyle name="Normal 2 2 4 7" xfId="17480"/>
    <cellStyle name="Normal 2 2 4 7 2" xfId="17481"/>
    <cellStyle name="Normal 2 2 4 8" xfId="17482"/>
    <cellStyle name="Normal 2 2 4 8 2" xfId="17483"/>
    <cellStyle name="Normal 2 2 4 9" xfId="17484"/>
    <cellStyle name="Normal 2 2 4 9 2" xfId="17485"/>
    <cellStyle name="Normal 2 2 5" xfId="17486"/>
    <cellStyle name="Normal 2 2 5 2" xfId="17487"/>
    <cellStyle name="Normal 2 2 6" xfId="17488"/>
    <cellStyle name="Normal 2 2 6 2" xfId="17489"/>
    <cellStyle name="Normal 2 2 7" xfId="17490"/>
    <cellStyle name="Normal 2 2 7 2" xfId="17491"/>
    <cellStyle name="Normal 2 2 8" xfId="17492"/>
    <cellStyle name="Normal 2 2 8 2" xfId="17493"/>
    <cellStyle name="Normal 2 2 9" xfId="17494"/>
    <cellStyle name="Normal 2 2 9 2" xfId="17495"/>
    <cellStyle name="Normal 2 20" xfId="17496"/>
    <cellStyle name="Normal 2 20 2" xfId="17497"/>
    <cellStyle name="Normal 2 21" xfId="17498"/>
    <cellStyle name="Normal 2 22" xfId="17499"/>
    <cellStyle name="Normal 2 22 2" xfId="17500"/>
    <cellStyle name="Normal 2 3" xfId="17501"/>
    <cellStyle name="Normal 2 3 10" xfId="17502"/>
    <cellStyle name="Normal 2 3 10 2" xfId="17503"/>
    <cellStyle name="Normal 2 3 11" xfId="17504"/>
    <cellStyle name="Normal 2 3 11 2" xfId="17505"/>
    <cellStyle name="Normal 2 3 12" xfId="17506"/>
    <cellStyle name="Normal 2 3 12 2" xfId="17507"/>
    <cellStyle name="Normal 2 3 13" xfId="17508"/>
    <cellStyle name="Normal 2 3 13 10" xfId="17509"/>
    <cellStyle name="Normal 2 3 13 10 2" xfId="17510"/>
    <cellStyle name="Normal 2 3 13 11" xfId="17511"/>
    <cellStyle name="Normal 2 3 13 11 2" xfId="17512"/>
    <cellStyle name="Normal 2 3 13 12" xfId="17513"/>
    <cellStyle name="Normal 2 3 13 12 2" xfId="17514"/>
    <cellStyle name="Normal 2 3 13 13" xfId="17515"/>
    <cellStyle name="Normal 2 3 13 13 2" xfId="17516"/>
    <cellStyle name="Normal 2 3 13 14" xfId="17517"/>
    <cellStyle name="Normal 2 3 13 14 2" xfId="17518"/>
    <cellStyle name="Normal 2 3 13 15" xfId="17519"/>
    <cellStyle name="Normal 2 3 13 15 2" xfId="17520"/>
    <cellStyle name="Normal 2 3 13 16" xfId="17521"/>
    <cellStyle name="Normal 2 3 13 16 2" xfId="17522"/>
    <cellStyle name="Normal 2 3 13 17" xfId="17523"/>
    <cellStyle name="Normal 2 3 13 2" xfId="17524"/>
    <cellStyle name="Normal 2 3 13 2 2" xfId="17525"/>
    <cellStyle name="Normal 2 3 13 3" xfId="17526"/>
    <cellStyle name="Normal 2 3 13 3 2" xfId="17527"/>
    <cellStyle name="Normal 2 3 13 4" xfId="17528"/>
    <cellStyle name="Normal 2 3 13 4 2" xfId="17529"/>
    <cellStyle name="Normal 2 3 13 5" xfId="17530"/>
    <cellStyle name="Normal 2 3 13 5 2" xfId="17531"/>
    <cellStyle name="Normal 2 3 13 6" xfId="17532"/>
    <cellStyle name="Normal 2 3 13 6 10" xfId="17533"/>
    <cellStyle name="Normal 2 3 13 6 10 2" xfId="17534"/>
    <cellStyle name="Normal 2 3 13 6 11" xfId="17535"/>
    <cellStyle name="Normal 2 3 13 6 11 2" xfId="17536"/>
    <cellStyle name="Normal 2 3 13 6 12" xfId="17537"/>
    <cellStyle name="Normal 2 3 13 6 2" xfId="17538"/>
    <cellStyle name="Normal 2 3 13 6 2 10" xfId="17539"/>
    <cellStyle name="Normal 2 3 13 6 2 10 2" xfId="17540"/>
    <cellStyle name="Normal 2 3 13 6 2 11" xfId="17541"/>
    <cellStyle name="Normal 2 3 13 6 2 2" xfId="17542"/>
    <cellStyle name="Normal 2 3 13 6 2 2 2" xfId="17543"/>
    <cellStyle name="Normal 2 3 13 6 2 3" xfId="17544"/>
    <cellStyle name="Normal 2 3 13 6 2 3 2" xfId="17545"/>
    <cellStyle name="Normal 2 3 13 6 2 4" xfId="17546"/>
    <cellStyle name="Normal 2 3 13 6 2 4 2" xfId="17547"/>
    <cellStyle name="Normal 2 3 13 6 2 5" xfId="17548"/>
    <cellStyle name="Normal 2 3 13 6 2 5 2" xfId="17549"/>
    <cellStyle name="Normal 2 3 13 6 2 6" xfId="17550"/>
    <cellStyle name="Normal 2 3 13 6 2 6 2" xfId="17551"/>
    <cellStyle name="Normal 2 3 13 6 2 7" xfId="17552"/>
    <cellStyle name="Normal 2 3 13 6 2 7 2" xfId="17553"/>
    <cellStyle name="Normal 2 3 13 6 2 8" xfId="17554"/>
    <cellStyle name="Normal 2 3 13 6 2 8 2" xfId="17555"/>
    <cellStyle name="Normal 2 3 13 6 2 9" xfId="17556"/>
    <cellStyle name="Normal 2 3 13 6 2 9 2" xfId="17557"/>
    <cellStyle name="Normal 2 3 13 6 3" xfId="17558"/>
    <cellStyle name="Normal 2 3 13 6 3 2" xfId="17559"/>
    <cellStyle name="Normal 2 3 13 6 4" xfId="17560"/>
    <cellStyle name="Normal 2 3 13 6 4 2" xfId="17561"/>
    <cellStyle name="Normal 2 3 13 6 5" xfId="17562"/>
    <cellStyle name="Normal 2 3 13 6 5 2" xfId="17563"/>
    <cellStyle name="Normal 2 3 13 6 6" xfId="17564"/>
    <cellStyle name="Normal 2 3 13 6 6 2" xfId="17565"/>
    <cellStyle name="Normal 2 3 13 6 7" xfId="17566"/>
    <cellStyle name="Normal 2 3 13 6 7 2" xfId="17567"/>
    <cellStyle name="Normal 2 3 13 6 8" xfId="17568"/>
    <cellStyle name="Normal 2 3 13 6 8 2" xfId="17569"/>
    <cellStyle name="Normal 2 3 13 6 9" xfId="17570"/>
    <cellStyle name="Normal 2 3 13 6 9 2" xfId="17571"/>
    <cellStyle name="Normal 2 3 13 7" xfId="17572"/>
    <cellStyle name="Normal 2 3 13 7 10" xfId="17573"/>
    <cellStyle name="Normal 2 3 13 7 10 2" xfId="17574"/>
    <cellStyle name="Normal 2 3 13 7 11" xfId="17575"/>
    <cellStyle name="Normal 2 3 13 7 2" xfId="17576"/>
    <cellStyle name="Normal 2 3 13 7 2 2" xfId="17577"/>
    <cellStyle name="Normal 2 3 13 7 3" xfId="17578"/>
    <cellStyle name="Normal 2 3 13 7 3 2" xfId="17579"/>
    <cellStyle name="Normal 2 3 13 7 4" xfId="17580"/>
    <cellStyle name="Normal 2 3 13 7 4 2" xfId="17581"/>
    <cellStyle name="Normal 2 3 13 7 5" xfId="17582"/>
    <cellStyle name="Normal 2 3 13 7 5 2" xfId="17583"/>
    <cellStyle name="Normal 2 3 13 7 6" xfId="17584"/>
    <cellStyle name="Normal 2 3 13 7 6 2" xfId="17585"/>
    <cellStyle name="Normal 2 3 13 7 7" xfId="17586"/>
    <cellStyle name="Normal 2 3 13 7 7 2" xfId="17587"/>
    <cellStyle name="Normal 2 3 13 7 8" xfId="17588"/>
    <cellStyle name="Normal 2 3 13 7 8 2" xfId="17589"/>
    <cellStyle name="Normal 2 3 13 7 9" xfId="17590"/>
    <cellStyle name="Normal 2 3 13 7 9 2" xfId="17591"/>
    <cellStyle name="Normal 2 3 13 8" xfId="17592"/>
    <cellStyle name="Normal 2 3 13 8 2" xfId="17593"/>
    <cellStyle name="Normal 2 3 13 9" xfId="17594"/>
    <cellStyle name="Normal 2 3 13 9 2" xfId="17595"/>
    <cellStyle name="Normal 2 3 14" xfId="17596"/>
    <cellStyle name="Normal 2 3 14 10" xfId="17597"/>
    <cellStyle name="Normal 2 3 14 10 2" xfId="17598"/>
    <cellStyle name="Normal 2 3 14 11" xfId="17599"/>
    <cellStyle name="Normal 2 3 14 11 2" xfId="17600"/>
    <cellStyle name="Normal 2 3 14 12" xfId="17601"/>
    <cellStyle name="Normal 2 3 14 12 2" xfId="17602"/>
    <cellStyle name="Normal 2 3 14 13" xfId="17603"/>
    <cellStyle name="Normal 2 3 14 2" xfId="17604"/>
    <cellStyle name="Normal 2 3 14 2 10" xfId="17605"/>
    <cellStyle name="Normal 2 3 14 2 10 2" xfId="17606"/>
    <cellStyle name="Normal 2 3 14 2 11" xfId="17607"/>
    <cellStyle name="Normal 2 3 14 2 11 2" xfId="17608"/>
    <cellStyle name="Normal 2 3 14 2 12" xfId="17609"/>
    <cellStyle name="Normal 2 3 14 2 2" xfId="17610"/>
    <cellStyle name="Normal 2 3 14 2 2 10" xfId="17611"/>
    <cellStyle name="Normal 2 3 14 2 2 10 2" xfId="17612"/>
    <cellStyle name="Normal 2 3 14 2 2 11" xfId="17613"/>
    <cellStyle name="Normal 2 3 14 2 2 2" xfId="17614"/>
    <cellStyle name="Normal 2 3 14 2 2 2 2" xfId="17615"/>
    <cellStyle name="Normal 2 3 14 2 2 3" xfId="17616"/>
    <cellStyle name="Normal 2 3 14 2 2 3 2" xfId="17617"/>
    <cellStyle name="Normal 2 3 14 2 2 4" xfId="17618"/>
    <cellStyle name="Normal 2 3 14 2 2 4 2" xfId="17619"/>
    <cellStyle name="Normal 2 3 14 2 2 5" xfId="17620"/>
    <cellStyle name="Normal 2 3 14 2 2 5 2" xfId="17621"/>
    <cellStyle name="Normal 2 3 14 2 2 6" xfId="17622"/>
    <cellStyle name="Normal 2 3 14 2 2 6 2" xfId="17623"/>
    <cellStyle name="Normal 2 3 14 2 2 7" xfId="17624"/>
    <cellStyle name="Normal 2 3 14 2 2 7 2" xfId="17625"/>
    <cellStyle name="Normal 2 3 14 2 2 8" xfId="17626"/>
    <cellStyle name="Normal 2 3 14 2 2 8 2" xfId="17627"/>
    <cellStyle name="Normal 2 3 14 2 2 9" xfId="17628"/>
    <cellStyle name="Normal 2 3 14 2 2 9 2" xfId="17629"/>
    <cellStyle name="Normal 2 3 14 2 3" xfId="17630"/>
    <cellStyle name="Normal 2 3 14 2 3 2" xfId="17631"/>
    <cellStyle name="Normal 2 3 14 2 4" xfId="17632"/>
    <cellStyle name="Normal 2 3 14 2 4 2" xfId="17633"/>
    <cellStyle name="Normal 2 3 14 2 5" xfId="17634"/>
    <cellStyle name="Normal 2 3 14 2 5 2" xfId="17635"/>
    <cellStyle name="Normal 2 3 14 2 6" xfId="17636"/>
    <cellStyle name="Normal 2 3 14 2 6 2" xfId="17637"/>
    <cellStyle name="Normal 2 3 14 2 7" xfId="17638"/>
    <cellStyle name="Normal 2 3 14 2 7 2" xfId="17639"/>
    <cellStyle name="Normal 2 3 14 2 8" xfId="17640"/>
    <cellStyle name="Normal 2 3 14 2 8 2" xfId="17641"/>
    <cellStyle name="Normal 2 3 14 2 9" xfId="17642"/>
    <cellStyle name="Normal 2 3 14 2 9 2" xfId="17643"/>
    <cellStyle name="Normal 2 3 14 3" xfId="17644"/>
    <cellStyle name="Normal 2 3 14 3 10" xfId="17645"/>
    <cellStyle name="Normal 2 3 14 3 10 2" xfId="17646"/>
    <cellStyle name="Normal 2 3 14 3 11" xfId="17647"/>
    <cellStyle name="Normal 2 3 14 3 2" xfId="17648"/>
    <cellStyle name="Normal 2 3 14 3 2 2" xfId="17649"/>
    <cellStyle name="Normal 2 3 14 3 3" xfId="17650"/>
    <cellStyle name="Normal 2 3 14 3 3 2" xfId="17651"/>
    <cellStyle name="Normal 2 3 14 3 4" xfId="17652"/>
    <cellStyle name="Normal 2 3 14 3 4 2" xfId="17653"/>
    <cellStyle name="Normal 2 3 14 3 5" xfId="17654"/>
    <cellStyle name="Normal 2 3 14 3 5 2" xfId="17655"/>
    <cellStyle name="Normal 2 3 14 3 6" xfId="17656"/>
    <cellStyle name="Normal 2 3 14 3 6 2" xfId="17657"/>
    <cellStyle name="Normal 2 3 14 3 7" xfId="17658"/>
    <cellStyle name="Normal 2 3 14 3 7 2" xfId="17659"/>
    <cellStyle name="Normal 2 3 14 3 8" xfId="17660"/>
    <cellStyle name="Normal 2 3 14 3 8 2" xfId="17661"/>
    <cellStyle name="Normal 2 3 14 3 9" xfId="17662"/>
    <cellStyle name="Normal 2 3 14 3 9 2" xfId="17663"/>
    <cellStyle name="Normal 2 3 14 4" xfId="17664"/>
    <cellStyle name="Normal 2 3 14 4 2" xfId="17665"/>
    <cellStyle name="Normal 2 3 14 5" xfId="17666"/>
    <cellStyle name="Normal 2 3 14 5 2" xfId="17667"/>
    <cellStyle name="Normal 2 3 14 6" xfId="17668"/>
    <cellStyle name="Normal 2 3 14 6 2" xfId="17669"/>
    <cellStyle name="Normal 2 3 14 7" xfId="17670"/>
    <cellStyle name="Normal 2 3 14 7 2" xfId="17671"/>
    <cellStyle name="Normal 2 3 14 8" xfId="17672"/>
    <cellStyle name="Normal 2 3 14 8 2" xfId="17673"/>
    <cellStyle name="Normal 2 3 14 9" xfId="17674"/>
    <cellStyle name="Normal 2 3 14 9 2" xfId="17675"/>
    <cellStyle name="Normal 2 3 15" xfId="17676"/>
    <cellStyle name="Normal 2 3 15 10" xfId="17677"/>
    <cellStyle name="Normal 2 3 15 10 2" xfId="17678"/>
    <cellStyle name="Normal 2 3 15 11" xfId="17679"/>
    <cellStyle name="Normal 2 3 15 11 2" xfId="17680"/>
    <cellStyle name="Normal 2 3 15 12" xfId="17681"/>
    <cellStyle name="Normal 2 3 15 12 2" xfId="17682"/>
    <cellStyle name="Normal 2 3 15 13" xfId="17683"/>
    <cellStyle name="Normal 2 3 15 2" xfId="17684"/>
    <cellStyle name="Normal 2 3 15 2 10" xfId="17685"/>
    <cellStyle name="Normal 2 3 15 2 10 2" xfId="17686"/>
    <cellStyle name="Normal 2 3 15 2 11" xfId="17687"/>
    <cellStyle name="Normal 2 3 15 2 11 2" xfId="17688"/>
    <cellStyle name="Normal 2 3 15 2 12" xfId="17689"/>
    <cellStyle name="Normal 2 3 15 2 2" xfId="17690"/>
    <cellStyle name="Normal 2 3 15 2 2 10" xfId="17691"/>
    <cellStyle name="Normal 2 3 15 2 2 10 2" xfId="17692"/>
    <cellStyle name="Normal 2 3 15 2 2 11" xfId="17693"/>
    <cellStyle name="Normal 2 3 15 2 2 2" xfId="17694"/>
    <cellStyle name="Normal 2 3 15 2 2 2 2" xfId="17695"/>
    <cellStyle name="Normal 2 3 15 2 2 3" xfId="17696"/>
    <cellStyle name="Normal 2 3 15 2 2 3 2" xfId="17697"/>
    <cellStyle name="Normal 2 3 15 2 2 4" xfId="17698"/>
    <cellStyle name="Normal 2 3 15 2 2 4 2" xfId="17699"/>
    <cellStyle name="Normal 2 3 15 2 2 5" xfId="17700"/>
    <cellStyle name="Normal 2 3 15 2 2 5 2" xfId="17701"/>
    <cellStyle name="Normal 2 3 15 2 2 6" xfId="17702"/>
    <cellStyle name="Normal 2 3 15 2 2 6 2" xfId="17703"/>
    <cellStyle name="Normal 2 3 15 2 2 7" xfId="17704"/>
    <cellStyle name="Normal 2 3 15 2 2 7 2" xfId="17705"/>
    <cellStyle name="Normal 2 3 15 2 2 8" xfId="17706"/>
    <cellStyle name="Normal 2 3 15 2 2 8 2" xfId="17707"/>
    <cellStyle name="Normal 2 3 15 2 2 9" xfId="17708"/>
    <cellStyle name="Normal 2 3 15 2 2 9 2" xfId="17709"/>
    <cellStyle name="Normal 2 3 15 2 3" xfId="17710"/>
    <cellStyle name="Normal 2 3 15 2 3 2" xfId="17711"/>
    <cellStyle name="Normal 2 3 15 2 4" xfId="17712"/>
    <cellStyle name="Normal 2 3 15 2 4 2" xfId="17713"/>
    <cellStyle name="Normal 2 3 15 2 5" xfId="17714"/>
    <cellStyle name="Normal 2 3 15 2 5 2" xfId="17715"/>
    <cellStyle name="Normal 2 3 15 2 6" xfId="17716"/>
    <cellStyle name="Normal 2 3 15 2 6 2" xfId="17717"/>
    <cellStyle name="Normal 2 3 15 2 7" xfId="17718"/>
    <cellStyle name="Normal 2 3 15 2 7 2" xfId="17719"/>
    <cellStyle name="Normal 2 3 15 2 8" xfId="17720"/>
    <cellStyle name="Normal 2 3 15 2 8 2" xfId="17721"/>
    <cellStyle name="Normal 2 3 15 2 9" xfId="17722"/>
    <cellStyle name="Normal 2 3 15 2 9 2" xfId="17723"/>
    <cellStyle name="Normal 2 3 15 3" xfId="17724"/>
    <cellStyle name="Normal 2 3 15 3 10" xfId="17725"/>
    <cellStyle name="Normal 2 3 15 3 10 2" xfId="17726"/>
    <cellStyle name="Normal 2 3 15 3 11" xfId="17727"/>
    <cellStyle name="Normal 2 3 15 3 2" xfId="17728"/>
    <cellStyle name="Normal 2 3 15 3 2 2" xfId="17729"/>
    <cellStyle name="Normal 2 3 15 3 3" xfId="17730"/>
    <cellStyle name="Normal 2 3 15 3 3 2" xfId="17731"/>
    <cellStyle name="Normal 2 3 15 3 4" xfId="17732"/>
    <cellStyle name="Normal 2 3 15 3 4 2" xfId="17733"/>
    <cellStyle name="Normal 2 3 15 3 5" xfId="17734"/>
    <cellStyle name="Normal 2 3 15 3 5 2" xfId="17735"/>
    <cellStyle name="Normal 2 3 15 3 6" xfId="17736"/>
    <cellStyle name="Normal 2 3 15 3 6 2" xfId="17737"/>
    <cellStyle name="Normal 2 3 15 3 7" xfId="17738"/>
    <cellStyle name="Normal 2 3 15 3 7 2" xfId="17739"/>
    <cellStyle name="Normal 2 3 15 3 8" xfId="17740"/>
    <cellStyle name="Normal 2 3 15 3 8 2" xfId="17741"/>
    <cellStyle name="Normal 2 3 15 3 9" xfId="17742"/>
    <cellStyle name="Normal 2 3 15 3 9 2" xfId="17743"/>
    <cellStyle name="Normal 2 3 15 4" xfId="17744"/>
    <cellStyle name="Normal 2 3 15 4 2" xfId="17745"/>
    <cellStyle name="Normal 2 3 15 5" xfId="17746"/>
    <cellStyle name="Normal 2 3 15 5 2" xfId="17747"/>
    <cellStyle name="Normal 2 3 15 6" xfId="17748"/>
    <cellStyle name="Normal 2 3 15 6 2" xfId="17749"/>
    <cellStyle name="Normal 2 3 15 7" xfId="17750"/>
    <cellStyle name="Normal 2 3 15 7 2" xfId="17751"/>
    <cellStyle name="Normal 2 3 15 8" xfId="17752"/>
    <cellStyle name="Normal 2 3 15 8 2" xfId="17753"/>
    <cellStyle name="Normal 2 3 15 9" xfId="17754"/>
    <cellStyle name="Normal 2 3 15 9 2" xfId="17755"/>
    <cellStyle name="Normal 2 3 16" xfId="17756"/>
    <cellStyle name="Normal 2 3 16 10" xfId="17757"/>
    <cellStyle name="Normal 2 3 16 10 2" xfId="17758"/>
    <cellStyle name="Normal 2 3 16 11" xfId="17759"/>
    <cellStyle name="Normal 2 3 16 11 2" xfId="17760"/>
    <cellStyle name="Normal 2 3 16 12" xfId="17761"/>
    <cellStyle name="Normal 2 3 16 12 2" xfId="17762"/>
    <cellStyle name="Normal 2 3 16 13" xfId="17763"/>
    <cellStyle name="Normal 2 3 16 2" xfId="17764"/>
    <cellStyle name="Normal 2 3 16 2 10" xfId="17765"/>
    <cellStyle name="Normal 2 3 16 2 10 2" xfId="17766"/>
    <cellStyle name="Normal 2 3 16 2 11" xfId="17767"/>
    <cellStyle name="Normal 2 3 16 2 11 2" xfId="17768"/>
    <cellStyle name="Normal 2 3 16 2 12" xfId="17769"/>
    <cellStyle name="Normal 2 3 16 2 2" xfId="17770"/>
    <cellStyle name="Normal 2 3 16 2 2 10" xfId="17771"/>
    <cellStyle name="Normal 2 3 16 2 2 10 2" xfId="17772"/>
    <cellStyle name="Normal 2 3 16 2 2 11" xfId="17773"/>
    <cellStyle name="Normal 2 3 16 2 2 2" xfId="17774"/>
    <cellStyle name="Normal 2 3 16 2 2 2 2" xfId="17775"/>
    <cellStyle name="Normal 2 3 16 2 2 3" xfId="17776"/>
    <cellStyle name="Normal 2 3 16 2 2 3 2" xfId="17777"/>
    <cellStyle name="Normal 2 3 16 2 2 4" xfId="17778"/>
    <cellStyle name="Normal 2 3 16 2 2 4 2" xfId="17779"/>
    <cellStyle name="Normal 2 3 16 2 2 5" xfId="17780"/>
    <cellStyle name="Normal 2 3 16 2 2 5 2" xfId="17781"/>
    <cellStyle name="Normal 2 3 16 2 2 6" xfId="17782"/>
    <cellStyle name="Normal 2 3 16 2 2 6 2" xfId="17783"/>
    <cellStyle name="Normal 2 3 16 2 2 7" xfId="17784"/>
    <cellStyle name="Normal 2 3 16 2 2 7 2" xfId="17785"/>
    <cellStyle name="Normal 2 3 16 2 2 8" xfId="17786"/>
    <cellStyle name="Normal 2 3 16 2 2 8 2" xfId="17787"/>
    <cellStyle name="Normal 2 3 16 2 2 9" xfId="17788"/>
    <cellStyle name="Normal 2 3 16 2 2 9 2" xfId="17789"/>
    <cellStyle name="Normal 2 3 16 2 3" xfId="17790"/>
    <cellStyle name="Normal 2 3 16 2 3 2" xfId="17791"/>
    <cellStyle name="Normal 2 3 16 2 4" xfId="17792"/>
    <cellStyle name="Normal 2 3 16 2 4 2" xfId="17793"/>
    <cellStyle name="Normal 2 3 16 2 5" xfId="17794"/>
    <cellStyle name="Normal 2 3 16 2 5 2" xfId="17795"/>
    <cellStyle name="Normal 2 3 16 2 6" xfId="17796"/>
    <cellStyle name="Normal 2 3 16 2 6 2" xfId="17797"/>
    <cellStyle name="Normal 2 3 16 2 7" xfId="17798"/>
    <cellStyle name="Normal 2 3 16 2 7 2" xfId="17799"/>
    <cellStyle name="Normal 2 3 16 2 8" xfId="17800"/>
    <cellStyle name="Normal 2 3 16 2 8 2" xfId="17801"/>
    <cellStyle name="Normal 2 3 16 2 9" xfId="17802"/>
    <cellStyle name="Normal 2 3 16 2 9 2" xfId="17803"/>
    <cellStyle name="Normal 2 3 16 3" xfId="17804"/>
    <cellStyle name="Normal 2 3 16 3 10" xfId="17805"/>
    <cellStyle name="Normal 2 3 16 3 10 2" xfId="17806"/>
    <cellStyle name="Normal 2 3 16 3 11" xfId="17807"/>
    <cellStyle name="Normal 2 3 16 3 2" xfId="17808"/>
    <cellStyle name="Normal 2 3 16 3 2 2" xfId="17809"/>
    <cellStyle name="Normal 2 3 16 3 3" xfId="17810"/>
    <cellStyle name="Normal 2 3 16 3 3 2" xfId="17811"/>
    <cellStyle name="Normal 2 3 16 3 4" xfId="17812"/>
    <cellStyle name="Normal 2 3 16 3 4 2" xfId="17813"/>
    <cellStyle name="Normal 2 3 16 3 5" xfId="17814"/>
    <cellStyle name="Normal 2 3 16 3 5 2" xfId="17815"/>
    <cellStyle name="Normal 2 3 16 3 6" xfId="17816"/>
    <cellStyle name="Normal 2 3 16 3 6 2" xfId="17817"/>
    <cellStyle name="Normal 2 3 16 3 7" xfId="17818"/>
    <cellStyle name="Normal 2 3 16 3 7 2" xfId="17819"/>
    <cellStyle name="Normal 2 3 16 3 8" xfId="17820"/>
    <cellStyle name="Normal 2 3 16 3 8 2" xfId="17821"/>
    <cellStyle name="Normal 2 3 16 3 9" xfId="17822"/>
    <cellStyle name="Normal 2 3 16 3 9 2" xfId="17823"/>
    <cellStyle name="Normal 2 3 16 4" xfId="17824"/>
    <cellStyle name="Normal 2 3 16 4 2" xfId="17825"/>
    <cellStyle name="Normal 2 3 16 5" xfId="17826"/>
    <cellStyle name="Normal 2 3 16 5 2" xfId="17827"/>
    <cellStyle name="Normal 2 3 16 6" xfId="17828"/>
    <cellStyle name="Normal 2 3 16 6 2" xfId="17829"/>
    <cellStyle name="Normal 2 3 16 7" xfId="17830"/>
    <cellStyle name="Normal 2 3 16 7 2" xfId="17831"/>
    <cellStyle name="Normal 2 3 16 8" xfId="17832"/>
    <cellStyle name="Normal 2 3 16 8 2" xfId="17833"/>
    <cellStyle name="Normal 2 3 16 9" xfId="17834"/>
    <cellStyle name="Normal 2 3 16 9 2" xfId="17835"/>
    <cellStyle name="Normal 2 3 17" xfId="17836"/>
    <cellStyle name="Normal 2 3 18" xfId="17837"/>
    <cellStyle name="Normal 2 3 19" xfId="17838"/>
    <cellStyle name="Normal 2 3 2" xfId="17839"/>
    <cellStyle name="Normal 2 3 2 10" xfId="17840"/>
    <cellStyle name="Normal 2 3 2 10 10" xfId="17841"/>
    <cellStyle name="Normal 2 3 2 10 10 2" xfId="17842"/>
    <cellStyle name="Normal 2 3 2 10 11" xfId="17843"/>
    <cellStyle name="Normal 2 3 2 10 11 2" xfId="17844"/>
    <cellStyle name="Normal 2 3 2 10 12" xfId="17845"/>
    <cellStyle name="Normal 2 3 2 10 12 2" xfId="17846"/>
    <cellStyle name="Normal 2 3 2 10 13" xfId="17847"/>
    <cellStyle name="Normal 2 3 2 10 2" xfId="17848"/>
    <cellStyle name="Normal 2 3 2 10 2 10" xfId="17849"/>
    <cellStyle name="Normal 2 3 2 10 2 10 2" xfId="17850"/>
    <cellStyle name="Normal 2 3 2 10 2 11" xfId="17851"/>
    <cellStyle name="Normal 2 3 2 10 2 11 2" xfId="17852"/>
    <cellStyle name="Normal 2 3 2 10 2 12" xfId="17853"/>
    <cellStyle name="Normal 2 3 2 10 2 2" xfId="17854"/>
    <cellStyle name="Normal 2 3 2 10 2 2 10" xfId="17855"/>
    <cellStyle name="Normal 2 3 2 10 2 2 10 2" xfId="17856"/>
    <cellStyle name="Normal 2 3 2 10 2 2 11" xfId="17857"/>
    <cellStyle name="Normal 2 3 2 10 2 2 2" xfId="17858"/>
    <cellStyle name="Normal 2 3 2 10 2 2 2 2" xfId="17859"/>
    <cellStyle name="Normal 2 3 2 10 2 2 3" xfId="17860"/>
    <cellStyle name="Normal 2 3 2 10 2 2 3 2" xfId="17861"/>
    <cellStyle name="Normal 2 3 2 10 2 2 4" xfId="17862"/>
    <cellStyle name="Normal 2 3 2 10 2 2 4 2" xfId="17863"/>
    <cellStyle name="Normal 2 3 2 10 2 2 5" xfId="17864"/>
    <cellStyle name="Normal 2 3 2 10 2 2 5 2" xfId="17865"/>
    <cellStyle name="Normal 2 3 2 10 2 2 6" xfId="17866"/>
    <cellStyle name="Normal 2 3 2 10 2 2 6 2" xfId="17867"/>
    <cellStyle name="Normal 2 3 2 10 2 2 7" xfId="17868"/>
    <cellStyle name="Normal 2 3 2 10 2 2 7 2" xfId="17869"/>
    <cellStyle name="Normal 2 3 2 10 2 2 8" xfId="17870"/>
    <cellStyle name="Normal 2 3 2 10 2 2 8 2" xfId="17871"/>
    <cellStyle name="Normal 2 3 2 10 2 2 9" xfId="17872"/>
    <cellStyle name="Normal 2 3 2 10 2 2 9 2" xfId="17873"/>
    <cellStyle name="Normal 2 3 2 10 2 3" xfId="17874"/>
    <cellStyle name="Normal 2 3 2 10 2 3 2" xfId="17875"/>
    <cellStyle name="Normal 2 3 2 10 2 4" xfId="17876"/>
    <cellStyle name="Normal 2 3 2 10 2 4 2" xfId="17877"/>
    <cellStyle name="Normal 2 3 2 10 2 5" xfId="17878"/>
    <cellStyle name="Normal 2 3 2 10 2 5 2" xfId="17879"/>
    <cellStyle name="Normal 2 3 2 10 2 6" xfId="17880"/>
    <cellStyle name="Normal 2 3 2 10 2 6 2" xfId="17881"/>
    <cellStyle name="Normal 2 3 2 10 2 7" xfId="17882"/>
    <cellStyle name="Normal 2 3 2 10 2 7 2" xfId="17883"/>
    <cellStyle name="Normal 2 3 2 10 2 8" xfId="17884"/>
    <cellStyle name="Normal 2 3 2 10 2 8 2" xfId="17885"/>
    <cellStyle name="Normal 2 3 2 10 2 9" xfId="17886"/>
    <cellStyle name="Normal 2 3 2 10 2 9 2" xfId="17887"/>
    <cellStyle name="Normal 2 3 2 10 3" xfId="17888"/>
    <cellStyle name="Normal 2 3 2 10 3 10" xfId="17889"/>
    <cellStyle name="Normal 2 3 2 10 3 10 2" xfId="17890"/>
    <cellStyle name="Normal 2 3 2 10 3 11" xfId="17891"/>
    <cellStyle name="Normal 2 3 2 10 3 2" xfId="17892"/>
    <cellStyle name="Normal 2 3 2 10 3 2 2" xfId="17893"/>
    <cellStyle name="Normal 2 3 2 10 3 3" xfId="17894"/>
    <cellStyle name="Normal 2 3 2 10 3 3 2" xfId="17895"/>
    <cellStyle name="Normal 2 3 2 10 3 4" xfId="17896"/>
    <cellStyle name="Normal 2 3 2 10 3 4 2" xfId="17897"/>
    <cellStyle name="Normal 2 3 2 10 3 5" xfId="17898"/>
    <cellStyle name="Normal 2 3 2 10 3 5 2" xfId="17899"/>
    <cellStyle name="Normal 2 3 2 10 3 6" xfId="17900"/>
    <cellStyle name="Normal 2 3 2 10 3 6 2" xfId="17901"/>
    <cellStyle name="Normal 2 3 2 10 3 7" xfId="17902"/>
    <cellStyle name="Normal 2 3 2 10 3 7 2" xfId="17903"/>
    <cellStyle name="Normal 2 3 2 10 3 8" xfId="17904"/>
    <cellStyle name="Normal 2 3 2 10 3 8 2" xfId="17905"/>
    <cellStyle name="Normal 2 3 2 10 3 9" xfId="17906"/>
    <cellStyle name="Normal 2 3 2 10 3 9 2" xfId="17907"/>
    <cellStyle name="Normal 2 3 2 10 4" xfId="17908"/>
    <cellStyle name="Normal 2 3 2 10 4 2" xfId="17909"/>
    <cellStyle name="Normal 2 3 2 10 5" xfId="17910"/>
    <cellStyle name="Normal 2 3 2 10 5 2" xfId="17911"/>
    <cellStyle name="Normal 2 3 2 10 6" xfId="17912"/>
    <cellStyle name="Normal 2 3 2 10 6 2" xfId="17913"/>
    <cellStyle name="Normal 2 3 2 10 7" xfId="17914"/>
    <cellStyle name="Normal 2 3 2 10 7 2" xfId="17915"/>
    <cellStyle name="Normal 2 3 2 10 8" xfId="17916"/>
    <cellStyle name="Normal 2 3 2 10 8 2" xfId="17917"/>
    <cellStyle name="Normal 2 3 2 10 9" xfId="17918"/>
    <cellStyle name="Normal 2 3 2 10 9 2" xfId="17919"/>
    <cellStyle name="Normal 2 3 2 11" xfId="17920"/>
    <cellStyle name="Normal 2 3 2 11 10" xfId="17921"/>
    <cellStyle name="Normal 2 3 2 11 10 2" xfId="17922"/>
    <cellStyle name="Normal 2 3 2 11 11" xfId="17923"/>
    <cellStyle name="Normal 2 3 2 11 11 2" xfId="17924"/>
    <cellStyle name="Normal 2 3 2 11 12" xfId="17925"/>
    <cellStyle name="Normal 2 3 2 11 12 2" xfId="17926"/>
    <cellStyle name="Normal 2 3 2 11 13" xfId="17927"/>
    <cellStyle name="Normal 2 3 2 11 2" xfId="17928"/>
    <cellStyle name="Normal 2 3 2 11 2 10" xfId="17929"/>
    <cellStyle name="Normal 2 3 2 11 2 10 2" xfId="17930"/>
    <cellStyle name="Normal 2 3 2 11 2 11" xfId="17931"/>
    <cellStyle name="Normal 2 3 2 11 2 11 2" xfId="17932"/>
    <cellStyle name="Normal 2 3 2 11 2 12" xfId="17933"/>
    <cellStyle name="Normal 2 3 2 11 2 2" xfId="17934"/>
    <cellStyle name="Normal 2 3 2 11 2 2 10" xfId="17935"/>
    <cellStyle name="Normal 2 3 2 11 2 2 10 2" xfId="17936"/>
    <cellStyle name="Normal 2 3 2 11 2 2 11" xfId="17937"/>
    <cellStyle name="Normal 2 3 2 11 2 2 2" xfId="17938"/>
    <cellStyle name="Normal 2 3 2 11 2 2 2 2" xfId="17939"/>
    <cellStyle name="Normal 2 3 2 11 2 2 3" xfId="17940"/>
    <cellStyle name="Normal 2 3 2 11 2 2 3 2" xfId="17941"/>
    <cellStyle name="Normal 2 3 2 11 2 2 4" xfId="17942"/>
    <cellStyle name="Normal 2 3 2 11 2 2 4 2" xfId="17943"/>
    <cellStyle name="Normal 2 3 2 11 2 2 5" xfId="17944"/>
    <cellStyle name="Normal 2 3 2 11 2 2 5 2" xfId="17945"/>
    <cellStyle name="Normal 2 3 2 11 2 2 6" xfId="17946"/>
    <cellStyle name="Normal 2 3 2 11 2 2 6 2" xfId="17947"/>
    <cellStyle name="Normal 2 3 2 11 2 2 7" xfId="17948"/>
    <cellStyle name="Normal 2 3 2 11 2 2 7 2" xfId="17949"/>
    <cellStyle name="Normal 2 3 2 11 2 2 8" xfId="17950"/>
    <cellStyle name="Normal 2 3 2 11 2 2 8 2" xfId="17951"/>
    <cellStyle name="Normal 2 3 2 11 2 2 9" xfId="17952"/>
    <cellStyle name="Normal 2 3 2 11 2 2 9 2" xfId="17953"/>
    <cellStyle name="Normal 2 3 2 11 2 3" xfId="17954"/>
    <cellStyle name="Normal 2 3 2 11 2 3 2" xfId="17955"/>
    <cellStyle name="Normal 2 3 2 11 2 4" xfId="17956"/>
    <cellStyle name="Normal 2 3 2 11 2 4 2" xfId="17957"/>
    <cellStyle name="Normal 2 3 2 11 2 5" xfId="17958"/>
    <cellStyle name="Normal 2 3 2 11 2 5 2" xfId="17959"/>
    <cellStyle name="Normal 2 3 2 11 2 6" xfId="17960"/>
    <cellStyle name="Normal 2 3 2 11 2 6 2" xfId="17961"/>
    <cellStyle name="Normal 2 3 2 11 2 7" xfId="17962"/>
    <cellStyle name="Normal 2 3 2 11 2 7 2" xfId="17963"/>
    <cellStyle name="Normal 2 3 2 11 2 8" xfId="17964"/>
    <cellStyle name="Normal 2 3 2 11 2 8 2" xfId="17965"/>
    <cellStyle name="Normal 2 3 2 11 2 9" xfId="17966"/>
    <cellStyle name="Normal 2 3 2 11 2 9 2" xfId="17967"/>
    <cellStyle name="Normal 2 3 2 11 3" xfId="17968"/>
    <cellStyle name="Normal 2 3 2 11 3 10" xfId="17969"/>
    <cellStyle name="Normal 2 3 2 11 3 10 2" xfId="17970"/>
    <cellStyle name="Normal 2 3 2 11 3 11" xfId="17971"/>
    <cellStyle name="Normal 2 3 2 11 3 2" xfId="17972"/>
    <cellStyle name="Normal 2 3 2 11 3 2 2" xfId="17973"/>
    <cellStyle name="Normal 2 3 2 11 3 3" xfId="17974"/>
    <cellStyle name="Normal 2 3 2 11 3 3 2" xfId="17975"/>
    <cellStyle name="Normal 2 3 2 11 3 4" xfId="17976"/>
    <cellStyle name="Normal 2 3 2 11 3 4 2" xfId="17977"/>
    <cellStyle name="Normal 2 3 2 11 3 5" xfId="17978"/>
    <cellStyle name="Normal 2 3 2 11 3 5 2" xfId="17979"/>
    <cellStyle name="Normal 2 3 2 11 3 6" xfId="17980"/>
    <cellStyle name="Normal 2 3 2 11 3 6 2" xfId="17981"/>
    <cellStyle name="Normal 2 3 2 11 3 7" xfId="17982"/>
    <cellStyle name="Normal 2 3 2 11 3 7 2" xfId="17983"/>
    <cellStyle name="Normal 2 3 2 11 3 8" xfId="17984"/>
    <cellStyle name="Normal 2 3 2 11 3 8 2" xfId="17985"/>
    <cellStyle name="Normal 2 3 2 11 3 9" xfId="17986"/>
    <cellStyle name="Normal 2 3 2 11 3 9 2" xfId="17987"/>
    <cellStyle name="Normal 2 3 2 11 4" xfId="17988"/>
    <cellStyle name="Normal 2 3 2 11 4 2" xfId="17989"/>
    <cellStyle name="Normal 2 3 2 11 5" xfId="17990"/>
    <cellStyle name="Normal 2 3 2 11 5 2" xfId="17991"/>
    <cellStyle name="Normal 2 3 2 11 6" xfId="17992"/>
    <cellStyle name="Normal 2 3 2 11 6 2" xfId="17993"/>
    <cellStyle name="Normal 2 3 2 11 7" xfId="17994"/>
    <cellStyle name="Normal 2 3 2 11 7 2" xfId="17995"/>
    <cellStyle name="Normal 2 3 2 11 8" xfId="17996"/>
    <cellStyle name="Normal 2 3 2 11 8 2" xfId="17997"/>
    <cellStyle name="Normal 2 3 2 11 9" xfId="17998"/>
    <cellStyle name="Normal 2 3 2 11 9 2" xfId="17999"/>
    <cellStyle name="Normal 2 3 2 12" xfId="18000"/>
    <cellStyle name="Normal 2 3 2 12 10" xfId="18001"/>
    <cellStyle name="Normal 2 3 2 12 10 2" xfId="18002"/>
    <cellStyle name="Normal 2 3 2 12 11" xfId="18003"/>
    <cellStyle name="Normal 2 3 2 12 11 2" xfId="18004"/>
    <cellStyle name="Normal 2 3 2 12 12" xfId="18005"/>
    <cellStyle name="Normal 2 3 2 12 12 2" xfId="18006"/>
    <cellStyle name="Normal 2 3 2 12 13" xfId="18007"/>
    <cellStyle name="Normal 2 3 2 12 2" xfId="18008"/>
    <cellStyle name="Normal 2 3 2 12 2 10" xfId="18009"/>
    <cellStyle name="Normal 2 3 2 12 2 10 2" xfId="18010"/>
    <cellStyle name="Normal 2 3 2 12 2 11" xfId="18011"/>
    <cellStyle name="Normal 2 3 2 12 2 11 2" xfId="18012"/>
    <cellStyle name="Normal 2 3 2 12 2 12" xfId="18013"/>
    <cellStyle name="Normal 2 3 2 12 2 2" xfId="18014"/>
    <cellStyle name="Normal 2 3 2 12 2 2 10" xfId="18015"/>
    <cellStyle name="Normal 2 3 2 12 2 2 10 2" xfId="18016"/>
    <cellStyle name="Normal 2 3 2 12 2 2 11" xfId="18017"/>
    <cellStyle name="Normal 2 3 2 12 2 2 2" xfId="18018"/>
    <cellStyle name="Normal 2 3 2 12 2 2 2 2" xfId="18019"/>
    <cellStyle name="Normal 2 3 2 12 2 2 3" xfId="18020"/>
    <cellStyle name="Normal 2 3 2 12 2 2 3 2" xfId="18021"/>
    <cellStyle name="Normal 2 3 2 12 2 2 4" xfId="18022"/>
    <cellStyle name="Normal 2 3 2 12 2 2 4 2" xfId="18023"/>
    <cellStyle name="Normal 2 3 2 12 2 2 5" xfId="18024"/>
    <cellStyle name="Normal 2 3 2 12 2 2 5 2" xfId="18025"/>
    <cellStyle name="Normal 2 3 2 12 2 2 6" xfId="18026"/>
    <cellStyle name="Normal 2 3 2 12 2 2 6 2" xfId="18027"/>
    <cellStyle name="Normal 2 3 2 12 2 2 7" xfId="18028"/>
    <cellStyle name="Normal 2 3 2 12 2 2 7 2" xfId="18029"/>
    <cellStyle name="Normal 2 3 2 12 2 2 8" xfId="18030"/>
    <cellStyle name="Normal 2 3 2 12 2 2 8 2" xfId="18031"/>
    <cellStyle name="Normal 2 3 2 12 2 2 9" xfId="18032"/>
    <cellStyle name="Normal 2 3 2 12 2 2 9 2" xfId="18033"/>
    <cellStyle name="Normal 2 3 2 12 2 3" xfId="18034"/>
    <cellStyle name="Normal 2 3 2 12 2 3 2" xfId="18035"/>
    <cellStyle name="Normal 2 3 2 12 2 4" xfId="18036"/>
    <cellStyle name="Normal 2 3 2 12 2 4 2" xfId="18037"/>
    <cellStyle name="Normal 2 3 2 12 2 5" xfId="18038"/>
    <cellStyle name="Normal 2 3 2 12 2 5 2" xfId="18039"/>
    <cellStyle name="Normal 2 3 2 12 2 6" xfId="18040"/>
    <cellStyle name="Normal 2 3 2 12 2 6 2" xfId="18041"/>
    <cellStyle name="Normal 2 3 2 12 2 7" xfId="18042"/>
    <cellStyle name="Normal 2 3 2 12 2 7 2" xfId="18043"/>
    <cellStyle name="Normal 2 3 2 12 2 8" xfId="18044"/>
    <cellStyle name="Normal 2 3 2 12 2 8 2" xfId="18045"/>
    <cellStyle name="Normal 2 3 2 12 2 9" xfId="18046"/>
    <cellStyle name="Normal 2 3 2 12 2 9 2" xfId="18047"/>
    <cellStyle name="Normal 2 3 2 12 3" xfId="18048"/>
    <cellStyle name="Normal 2 3 2 12 3 10" xfId="18049"/>
    <cellStyle name="Normal 2 3 2 12 3 10 2" xfId="18050"/>
    <cellStyle name="Normal 2 3 2 12 3 11" xfId="18051"/>
    <cellStyle name="Normal 2 3 2 12 3 2" xfId="18052"/>
    <cellStyle name="Normal 2 3 2 12 3 2 2" xfId="18053"/>
    <cellStyle name="Normal 2 3 2 12 3 3" xfId="18054"/>
    <cellStyle name="Normal 2 3 2 12 3 3 2" xfId="18055"/>
    <cellStyle name="Normal 2 3 2 12 3 4" xfId="18056"/>
    <cellStyle name="Normal 2 3 2 12 3 4 2" xfId="18057"/>
    <cellStyle name="Normal 2 3 2 12 3 5" xfId="18058"/>
    <cellStyle name="Normal 2 3 2 12 3 5 2" xfId="18059"/>
    <cellStyle name="Normal 2 3 2 12 3 6" xfId="18060"/>
    <cellStyle name="Normal 2 3 2 12 3 6 2" xfId="18061"/>
    <cellStyle name="Normal 2 3 2 12 3 7" xfId="18062"/>
    <cellStyle name="Normal 2 3 2 12 3 7 2" xfId="18063"/>
    <cellStyle name="Normal 2 3 2 12 3 8" xfId="18064"/>
    <cellStyle name="Normal 2 3 2 12 3 8 2" xfId="18065"/>
    <cellStyle name="Normal 2 3 2 12 3 9" xfId="18066"/>
    <cellStyle name="Normal 2 3 2 12 3 9 2" xfId="18067"/>
    <cellStyle name="Normal 2 3 2 12 4" xfId="18068"/>
    <cellStyle name="Normal 2 3 2 12 4 2" xfId="18069"/>
    <cellStyle name="Normal 2 3 2 12 5" xfId="18070"/>
    <cellStyle name="Normal 2 3 2 12 5 2" xfId="18071"/>
    <cellStyle name="Normal 2 3 2 12 6" xfId="18072"/>
    <cellStyle name="Normal 2 3 2 12 6 2" xfId="18073"/>
    <cellStyle name="Normal 2 3 2 12 7" xfId="18074"/>
    <cellStyle name="Normal 2 3 2 12 7 2" xfId="18075"/>
    <cellStyle name="Normal 2 3 2 12 8" xfId="18076"/>
    <cellStyle name="Normal 2 3 2 12 8 2" xfId="18077"/>
    <cellStyle name="Normal 2 3 2 12 9" xfId="18078"/>
    <cellStyle name="Normal 2 3 2 12 9 2" xfId="18079"/>
    <cellStyle name="Normal 2 3 2 13" xfId="18080"/>
    <cellStyle name="Normal 2 3 2 13 2" xfId="18081"/>
    <cellStyle name="Normal 2 3 2 13 2 10" xfId="18082"/>
    <cellStyle name="Normal 2 3 2 13 2 10 2" xfId="18083"/>
    <cellStyle name="Normal 2 3 2 13 2 11" xfId="18084"/>
    <cellStyle name="Normal 2 3 2 13 2 11 2" xfId="18085"/>
    <cellStyle name="Normal 2 3 2 13 2 12" xfId="18086"/>
    <cellStyle name="Normal 2 3 2 13 2 12 2" xfId="18087"/>
    <cellStyle name="Normal 2 3 2 13 2 13" xfId="18088"/>
    <cellStyle name="Normal 2 3 2 13 2 2" xfId="18089"/>
    <cellStyle name="Normal 2 3 2 13 2 2 10" xfId="18090"/>
    <cellStyle name="Normal 2 3 2 13 2 2 10 2" xfId="18091"/>
    <cellStyle name="Normal 2 3 2 13 2 2 11" xfId="18092"/>
    <cellStyle name="Normal 2 3 2 13 2 2 11 2" xfId="18093"/>
    <cellStyle name="Normal 2 3 2 13 2 2 12" xfId="18094"/>
    <cellStyle name="Normal 2 3 2 13 2 2 2" xfId="18095"/>
    <cellStyle name="Normal 2 3 2 13 2 2 2 10" xfId="18096"/>
    <cellStyle name="Normal 2 3 2 13 2 2 2 10 2" xfId="18097"/>
    <cellStyle name="Normal 2 3 2 13 2 2 2 11" xfId="18098"/>
    <cellStyle name="Normal 2 3 2 13 2 2 2 2" xfId="18099"/>
    <cellStyle name="Normal 2 3 2 13 2 2 2 2 2" xfId="18100"/>
    <cellStyle name="Normal 2 3 2 13 2 2 2 3" xfId="18101"/>
    <cellStyle name="Normal 2 3 2 13 2 2 2 3 2" xfId="18102"/>
    <cellStyle name="Normal 2 3 2 13 2 2 2 4" xfId="18103"/>
    <cellStyle name="Normal 2 3 2 13 2 2 2 4 2" xfId="18104"/>
    <cellStyle name="Normal 2 3 2 13 2 2 2 5" xfId="18105"/>
    <cellStyle name="Normal 2 3 2 13 2 2 2 5 2" xfId="18106"/>
    <cellStyle name="Normal 2 3 2 13 2 2 2 6" xfId="18107"/>
    <cellStyle name="Normal 2 3 2 13 2 2 2 6 2" xfId="18108"/>
    <cellStyle name="Normal 2 3 2 13 2 2 2 7" xfId="18109"/>
    <cellStyle name="Normal 2 3 2 13 2 2 2 7 2" xfId="18110"/>
    <cellStyle name="Normal 2 3 2 13 2 2 2 8" xfId="18111"/>
    <cellStyle name="Normal 2 3 2 13 2 2 2 8 2" xfId="18112"/>
    <cellStyle name="Normal 2 3 2 13 2 2 2 9" xfId="18113"/>
    <cellStyle name="Normal 2 3 2 13 2 2 2 9 2" xfId="18114"/>
    <cellStyle name="Normal 2 3 2 13 2 2 3" xfId="18115"/>
    <cellStyle name="Normal 2 3 2 13 2 2 3 2" xfId="18116"/>
    <cellStyle name="Normal 2 3 2 13 2 2 4" xfId="18117"/>
    <cellStyle name="Normal 2 3 2 13 2 2 4 2" xfId="18118"/>
    <cellStyle name="Normal 2 3 2 13 2 2 5" xfId="18119"/>
    <cellStyle name="Normal 2 3 2 13 2 2 5 2" xfId="18120"/>
    <cellStyle name="Normal 2 3 2 13 2 2 6" xfId="18121"/>
    <cellStyle name="Normal 2 3 2 13 2 2 6 2" xfId="18122"/>
    <cellStyle name="Normal 2 3 2 13 2 2 7" xfId="18123"/>
    <cellStyle name="Normal 2 3 2 13 2 2 7 2" xfId="18124"/>
    <cellStyle name="Normal 2 3 2 13 2 2 8" xfId="18125"/>
    <cellStyle name="Normal 2 3 2 13 2 2 8 2" xfId="18126"/>
    <cellStyle name="Normal 2 3 2 13 2 2 9" xfId="18127"/>
    <cellStyle name="Normal 2 3 2 13 2 2 9 2" xfId="18128"/>
    <cellStyle name="Normal 2 3 2 13 2 3" xfId="18129"/>
    <cellStyle name="Normal 2 3 2 13 2 3 10" xfId="18130"/>
    <cellStyle name="Normal 2 3 2 13 2 3 10 2" xfId="18131"/>
    <cellStyle name="Normal 2 3 2 13 2 3 11" xfId="18132"/>
    <cellStyle name="Normal 2 3 2 13 2 3 2" xfId="18133"/>
    <cellStyle name="Normal 2 3 2 13 2 3 2 2" xfId="18134"/>
    <cellStyle name="Normal 2 3 2 13 2 3 3" xfId="18135"/>
    <cellStyle name="Normal 2 3 2 13 2 3 3 2" xfId="18136"/>
    <cellStyle name="Normal 2 3 2 13 2 3 4" xfId="18137"/>
    <cellStyle name="Normal 2 3 2 13 2 3 4 2" xfId="18138"/>
    <cellStyle name="Normal 2 3 2 13 2 3 5" xfId="18139"/>
    <cellStyle name="Normal 2 3 2 13 2 3 5 2" xfId="18140"/>
    <cellStyle name="Normal 2 3 2 13 2 3 6" xfId="18141"/>
    <cellStyle name="Normal 2 3 2 13 2 3 6 2" xfId="18142"/>
    <cellStyle name="Normal 2 3 2 13 2 3 7" xfId="18143"/>
    <cellStyle name="Normal 2 3 2 13 2 3 7 2" xfId="18144"/>
    <cellStyle name="Normal 2 3 2 13 2 3 8" xfId="18145"/>
    <cellStyle name="Normal 2 3 2 13 2 3 8 2" xfId="18146"/>
    <cellStyle name="Normal 2 3 2 13 2 3 9" xfId="18147"/>
    <cellStyle name="Normal 2 3 2 13 2 3 9 2" xfId="18148"/>
    <cellStyle name="Normal 2 3 2 13 2 4" xfId="18149"/>
    <cellStyle name="Normal 2 3 2 13 2 4 2" xfId="18150"/>
    <cellStyle name="Normal 2 3 2 13 2 5" xfId="18151"/>
    <cellStyle name="Normal 2 3 2 13 2 5 2" xfId="18152"/>
    <cellStyle name="Normal 2 3 2 13 2 6" xfId="18153"/>
    <cellStyle name="Normal 2 3 2 13 2 6 2" xfId="18154"/>
    <cellStyle name="Normal 2 3 2 13 2 7" xfId="18155"/>
    <cellStyle name="Normal 2 3 2 13 2 7 2" xfId="18156"/>
    <cellStyle name="Normal 2 3 2 13 2 8" xfId="18157"/>
    <cellStyle name="Normal 2 3 2 13 2 8 2" xfId="18158"/>
    <cellStyle name="Normal 2 3 2 13 2 9" xfId="18159"/>
    <cellStyle name="Normal 2 3 2 13 2 9 2" xfId="18160"/>
    <cellStyle name="Normal 2 3 2 13 3" xfId="18161"/>
    <cellStyle name="Normal 2 3 2 13 3 10" xfId="18162"/>
    <cellStyle name="Normal 2 3 2 13 3 10 2" xfId="18163"/>
    <cellStyle name="Normal 2 3 2 13 3 11" xfId="18164"/>
    <cellStyle name="Normal 2 3 2 13 3 11 2" xfId="18165"/>
    <cellStyle name="Normal 2 3 2 13 3 12" xfId="18166"/>
    <cellStyle name="Normal 2 3 2 13 3 12 2" xfId="18167"/>
    <cellStyle name="Normal 2 3 2 13 3 13" xfId="18168"/>
    <cellStyle name="Normal 2 3 2 13 3 2" xfId="18169"/>
    <cellStyle name="Normal 2 3 2 13 3 2 10" xfId="18170"/>
    <cellStyle name="Normal 2 3 2 13 3 2 10 2" xfId="18171"/>
    <cellStyle name="Normal 2 3 2 13 3 2 11" xfId="18172"/>
    <cellStyle name="Normal 2 3 2 13 3 2 11 2" xfId="18173"/>
    <cellStyle name="Normal 2 3 2 13 3 2 12" xfId="18174"/>
    <cellStyle name="Normal 2 3 2 13 3 2 2" xfId="18175"/>
    <cellStyle name="Normal 2 3 2 13 3 2 2 10" xfId="18176"/>
    <cellStyle name="Normal 2 3 2 13 3 2 2 10 2" xfId="18177"/>
    <cellStyle name="Normal 2 3 2 13 3 2 2 11" xfId="18178"/>
    <cellStyle name="Normal 2 3 2 13 3 2 2 2" xfId="18179"/>
    <cellStyle name="Normal 2 3 2 13 3 2 2 2 2" xfId="18180"/>
    <cellStyle name="Normal 2 3 2 13 3 2 2 3" xfId="18181"/>
    <cellStyle name="Normal 2 3 2 13 3 2 2 3 2" xfId="18182"/>
    <cellStyle name="Normal 2 3 2 13 3 2 2 4" xfId="18183"/>
    <cellStyle name="Normal 2 3 2 13 3 2 2 4 2" xfId="18184"/>
    <cellStyle name="Normal 2 3 2 13 3 2 2 5" xfId="18185"/>
    <cellStyle name="Normal 2 3 2 13 3 2 2 5 2" xfId="18186"/>
    <cellStyle name="Normal 2 3 2 13 3 2 2 6" xfId="18187"/>
    <cellStyle name="Normal 2 3 2 13 3 2 2 6 2" xfId="18188"/>
    <cellStyle name="Normal 2 3 2 13 3 2 2 7" xfId="18189"/>
    <cellStyle name="Normal 2 3 2 13 3 2 2 7 2" xfId="18190"/>
    <cellStyle name="Normal 2 3 2 13 3 2 2 8" xfId="18191"/>
    <cellStyle name="Normal 2 3 2 13 3 2 2 8 2" xfId="18192"/>
    <cellStyle name="Normal 2 3 2 13 3 2 2 9" xfId="18193"/>
    <cellStyle name="Normal 2 3 2 13 3 2 2 9 2" xfId="18194"/>
    <cellStyle name="Normal 2 3 2 13 3 2 3" xfId="18195"/>
    <cellStyle name="Normal 2 3 2 13 3 2 3 2" xfId="18196"/>
    <cellStyle name="Normal 2 3 2 13 3 2 4" xfId="18197"/>
    <cellStyle name="Normal 2 3 2 13 3 2 4 2" xfId="18198"/>
    <cellStyle name="Normal 2 3 2 13 3 2 5" xfId="18199"/>
    <cellStyle name="Normal 2 3 2 13 3 2 5 2" xfId="18200"/>
    <cellStyle name="Normal 2 3 2 13 3 2 6" xfId="18201"/>
    <cellStyle name="Normal 2 3 2 13 3 2 6 2" xfId="18202"/>
    <cellStyle name="Normal 2 3 2 13 3 2 7" xfId="18203"/>
    <cellStyle name="Normal 2 3 2 13 3 2 7 2" xfId="18204"/>
    <cellStyle name="Normal 2 3 2 13 3 2 8" xfId="18205"/>
    <cellStyle name="Normal 2 3 2 13 3 2 8 2" xfId="18206"/>
    <cellStyle name="Normal 2 3 2 13 3 2 9" xfId="18207"/>
    <cellStyle name="Normal 2 3 2 13 3 2 9 2" xfId="18208"/>
    <cellStyle name="Normal 2 3 2 13 3 3" xfId="18209"/>
    <cellStyle name="Normal 2 3 2 13 3 3 10" xfId="18210"/>
    <cellStyle name="Normal 2 3 2 13 3 3 10 2" xfId="18211"/>
    <cellStyle name="Normal 2 3 2 13 3 3 11" xfId="18212"/>
    <cellStyle name="Normal 2 3 2 13 3 3 2" xfId="18213"/>
    <cellStyle name="Normal 2 3 2 13 3 3 2 2" xfId="18214"/>
    <cellStyle name="Normal 2 3 2 13 3 3 3" xfId="18215"/>
    <cellStyle name="Normal 2 3 2 13 3 3 3 2" xfId="18216"/>
    <cellStyle name="Normal 2 3 2 13 3 3 4" xfId="18217"/>
    <cellStyle name="Normal 2 3 2 13 3 3 4 2" xfId="18218"/>
    <cellStyle name="Normal 2 3 2 13 3 3 5" xfId="18219"/>
    <cellStyle name="Normal 2 3 2 13 3 3 5 2" xfId="18220"/>
    <cellStyle name="Normal 2 3 2 13 3 3 6" xfId="18221"/>
    <cellStyle name="Normal 2 3 2 13 3 3 6 2" xfId="18222"/>
    <cellStyle name="Normal 2 3 2 13 3 3 7" xfId="18223"/>
    <cellStyle name="Normal 2 3 2 13 3 3 7 2" xfId="18224"/>
    <cellStyle name="Normal 2 3 2 13 3 3 8" xfId="18225"/>
    <cellStyle name="Normal 2 3 2 13 3 3 8 2" xfId="18226"/>
    <cellStyle name="Normal 2 3 2 13 3 3 9" xfId="18227"/>
    <cellStyle name="Normal 2 3 2 13 3 3 9 2" xfId="18228"/>
    <cellStyle name="Normal 2 3 2 13 3 4" xfId="18229"/>
    <cellStyle name="Normal 2 3 2 13 3 4 2" xfId="18230"/>
    <cellStyle name="Normal 2 3 2 13 3 5" xfId="18231"/>
    <cellStyle name="Normal 2 3 2 13 3 5 2" xfId="18232"/>
    <cellStyle name="Normal 2 3 2 13 3 6" xfId="18233"/>
    <cellStyle name="Normal 2 3 2 13 3 6 2" xfId="18234"/>
    <cellStyle name="Normal 2 3 2 13 3 7" xfId="18235"/>
    <cellStyle name="Normal 2 3 2 13 3 7 2" xfId="18236"/>
    <cellStyle name="Normal 2 3 2 13 3 8" xfId="18237"/>
    <cellStyle name="Normal 2 3 2 13 3 8 2" xfId="18238"/>
    <cellStyle name="Normal 2 3 2 13 3 9" xfId="18239"/>
    <cellStyle name="Normal 2 3 2 13 3 9 2" xfId="18240"/>
    <cellStyle name="Normal 2 3 2 13 4" xfId="18241"/>
    <cellStyle name="Normal 2 3 2 13 4 10" xfId="18242"/>
    <cellStyle name="Normal 2 3 2 13 4 10 2" xfId="18243"/>
    <cellStyle name="Normal 2 3 2 13 4 11" xfId="18244"/>
    <cellStyle name="Normal 2 3 2 13 4 11 2" xfId="18245"/>
    <cellStyle name="Normal 2 3 2 13 4 12" xfId="18246"/>
    <cellStyle name="Normal 2 3 2 13 4 12 2" xfId="18247"/>
    <cellStyle name="Normal 2 3 2 13 4 13" xfId="18248"/>
    <cellStyle name="Normal 2 3 2 13 4 2" xfId="18249"/>
    <cellStyle name="Normal 2 3 2 13 4 2 10" xfId="18250"/>
    <cellStyle name="Normal 2 3 2 13 4 2 10 2" xfId="18251"/>
    <cellStyle name="Normal 2 3 2 13 4 2 11" xfId="18252"/>
    <cellStyle name="Normal 2 3 2 13 4 2 11 2" xfId="18253"/>
    <cellStyle name="Normal 2 3 2 13 4 2 12" xfId="18254"/>
    <cellStyle name="Normal 2 3 2 13 4 2 2" xfId="18255"/>
    <cellStyle name="Normal 2 3 2 13 4 2 2 10" xfId="18256"/>
    <cellStyle name="Normal 2 3 2 13 4 2 2 10 2" xfId="18257"/>
    <cellStyle name="Normal 2 3 2 13 4 2 2 11" xfId="18258"/>
    <cellStyle name="Normal 2 3 2 13 4 2 2 2" xfId="18259"/>
    <cellStyle name="Normal 2 3 2 13 4 2 2 2 2" xfId="18260"/>
    <cellStyle name="Normal 2 3 2 13 4 2 2 3" xfId="18261"/>
    <cellStyle name="Normal 2 3 2 13 4 2 2 3 2" xfId="18262"/>
    <cellStyle name="Normal 2 3 2 13 4 2 2 4" xfId="18263"/>
    <cellStyle name="Normal 2 3 2 13 4 2 2 4 2" xfId="18264"/>
    <cellStyle name="Normal 2 3 2 13 4 2 2 5" xfId="18265"/>
    <cellStyle name="Normal 2 3 2 13 4 2 2 5 2" xfId="18266"/>
    <cellStyle name="Normal 2 3 2 13 4 2 2 6" xfId="18267"/>
    <cellStyle name="Normal 2 3 2 13 4 2 2 6 2" xfId="18268"/>
    <cellStyle name="Normal 2 3 2 13 4 2 2 7" xfId="18269"/>
    <cellStyle name="Normal 2 3 2 13 4 2 2 7 2" xfId="18270"/>
    <cellStyle name="Normal 2 3 2 13 4 2 2 8" xfId="18271"/>
    <cellStyle name="Normal 2 3 2 13 4 2 2 8 2" xfId="18272"/>
    <cellStyle name="Normal 2 3 2 13 4 2 2 9" xfId="18273"/>
    <cellStyle name="Normal 2 3 2 13 4 2 2 9 2" xfId="18274"/>
    <cellStyle name="Normal 2 3 2 13 4 2 3" xfId="18275"/>
    <cellStyle name="Normal 2 3 2 13 4 2 3 2" xfId="18276"/>
    <cellStyle name="Normal 2 3 2 13 4 2 4" xfId="18277"/>
    <cellStyle name="Normal 2 3 2 13 4 2 4 2" xfId="18278"/>
    <cellStyle name="Normal 2 3 2 13 4 2 5" xfId="18279"/>
    <cellStyle name="Normal 2 3 2 13 4 2 5 2" xfId="18280"/>
    <cellStyle name="Normal 2 3 2 13 4 2 6" xfId="18281"/>
    <cellStyle name="Normal 2 3 2 13 4 2 6 2" xfId="18282"/>
    <cellStyle name="Normal 2 3 2 13 4 2 7" xfId="18283"/>
    <cellStyle name="Normal 2 3 2 13 4 2 7 2" xfId="18284"/>
    <cellStyle name="Normal 2 3 2 13 4 2 8" xfId="18285"/>
    <cellStyle name="Normal 2 3 2 13 4 2 8 2" xfId="18286"/>
    <cellStyle name="Normal 2 3 2 13 4 2 9" xfId="18287"/>
    <cellStyle name="Normal 2 3 2 13 4 2 9 2" xfId="18288"/>
    <cellStyle name="Normal 2 3 2 13 4 3" xfId="18289"/>
    <cellStyle name="Normal 2 3 2 13 4 3 10" xfId="18290"/>
    <cellStyle name="Normal 2 3 2 13 4 3 10 2" xfId="18291"/>
    <cellStyle name="Normal 2 3 2 13 4 3 11" xfId="18292"/>
    <cellStyle name="Normal 2 3 2 13 4 3 2" xfId="18293"/>
    <cellStyle name="Normal 2 3 2 13 4 3 2 2" xfId="18294"/>
    <cellStyle name="Normal 2 3 2 13 4 3 3" xfId="18295"/>
    <cellStyle name="Normal 2 3 2 13 4 3 3 2" xfId="18296"/>
    <cellStyle name="Normal 2 3 2 13 4 3 4" xfId="18297"/>
    <cellStyle name="Normal 2 3 2 13 4 3 4 2" xfId="18298"/>
    <cellStyle name="Normal 2 3 2 13 4 3 5" xfId="18299"/>
    <cellStyle name="Normal 2 3 2 13 4 3 5 2" xfId="18300"/>
    <cellStyle name="Normal 2 3 2 13 4 3 6" xfId="18301"/>
    <cellStyle name="Normal 2 3 2 13 4 3 6 2" xfId="18302"/>
    <cellStyle name="Normal 2 3 2 13 4 3 7" xfId="18303"/>
    <cellStyle name="Normal 2 3 2 13 4 3 7 2" xfId="18304"/>
    <cellStyle name="Normal 2 3 2 13 4 3 8" xfId="18305"/>
    <cellStyle name="Normal 2 3 2 13 4 3 8 2" xfId="18306"/>
    <cellStyle name="Normal 2 3 2 13 4 3 9" xfId="18307"/>
    <cellStyle name="Normal 2 3 2 13 4 3 9 2" xfId="18308"/>
    <cellStyle name="Normal 2 3 2 13 4 4" xfId="18309"/>
    <cellStyle name="Normal 2 3 2 13 4 4 2" xfId="18310"/>
    <cellStyle name="Normal 2 3 2 13 4 5" xfId="18311"/>
    <cellStyle name="Normal 2 3 2 13 4 5 2" xfId="18312"/>
    <cellStyle name="Normal 2 3 2 13 4 6" xfId="18313"/>
    <cellStyle name="Normal 2 3 2 13 4 6 2" xfId="18314"/>
    <cellStyle name="Normal 2 3 2 13 4 7" xfId="18315"/>
    <cellStyle name="Normal 2 3 2 13 4 7 2" xfId="18316"/>
    <cellStyle name="Normal 2 3 2 13 4 8" xfId="18317"/>
    <cellStyle name="Normal 2 3 2 13 4 8 2" xfId="18318"/>
    <cellStyle name="Normal 2 3 2 13 4 9" xfId="18319"/>
    <cellStyle name="Normal 2 3 2 13 4 9 2" xfId="18320"/>
    <cellStyle name="Normal 2 3 2 13 5" xfId="18321"/>
    <cellStyle name="Normal 2 3 2 13 5 10" xfId="18322"/>
    <cellStyle name="Normal 2 3 2 13 5 10 2" xfId="18323"/>
    <cellStyle name="Normal 2 3 2 13 5 11" xfId="18324"/>
    <cellStyle name="Normal 2 3 2 13 5 11 2" xfId="18325"/>
    <cellStyle name="Normal 2 3 2 13 5 12" xfId="18326"/>
    <cellStyle name="Normal 2 3 2 13 5 12 2" xfId="18327"/>
    <cellStyle name="Normal 2 3 2 13 5 13" xfId="18328"/>
    <cellStyle name="Normal 2 3 2 13 5 2" xfId="18329"/>
    <cellStyle name="Normal 2 3 2 13 5 2 10" xfId="18330"/>
    <cellStyle name="Normal 2 3 2 13 5 2 10 2" xfId="18331"/>
    <cellStyle name="Normal 2 3 2 13 5 2 11" xfId="18332"/>
    <cellStyle name="Normal 2 3 2 13 5 2 11 2" xfId="18333"/>
    <cellStyle name="Normal 2 3 2 13 5 2 12" xfId="18334"/>
    <cellStyle name="Normal 2 3 2 13 5 2 2" xfId="18335"/>
    <cellStyle name="Normal 2 3 2 13 5 2 2 10" xfId="18336"/>
    <cellStyle name="Normal 2 3 2 13 5 2 2 10 2" xfId="18337"/>
    <cellStyle name="Normal 2 3 2 13 5 2 2 11" xfId="18338"/>
    <cellStyle name="Normal 2 3 2 13 5 2 2 2" xfId="18339"/>
    <cellStyle name="Normal 2 3 2 13 5 2 2 2 2" xfId="18340"/>
    <cellStyle name="Normal 2 3 2 13 5 2 2 3" xfId="18341"/>
    <cellStyle name="Normal 2 3 2 13 5 2 2 3 2" xfId="18342"/>
    <cellStyle name="Normal 2 3 2 13 5 2 2 4" xfId="18343"/>
    <cellStyle name="Normal 2 3 2 13 5 2 2 4 2" xfId="18344"/>
    <cellStyle name="Normal 2 3 2 13 5 2 2 5" xfId="18345"/>
    <cellStyle name="Normal 2 3 2 13 5 2 2 5 2" xfId="18346"/>
    <cellStyle name="Normal 2 3 2 13 5 2 2 6" xfId="18347"/>
    <cellStyle name="Normal 2 3 2 13 5 2 2 6 2" xfId="18348"/>
    <cellStyle name="Normal 2 3 2 13 5 2 2 7" xfId="18349"/>
    <cellStyle name="Normal 2 3 2 13 5 2 2 7 2" xfId="18350"/>
    <cellStyle name="Normal 2 3 2 13 5 2 2 8" xfId="18351"/>
    <cellStyle name="Normal 2 3 2 13 5 2 2 8 2" xfId="18352"/>
    <cellStyle name="Normal 2 3 2 13 5 2 2 9" xfId="18353"/>
    <cellStyle name="Normal 2 3 2 13 5 2 2 9 2" xfId="18354"/>
    <cellStyle name="Normal 2 3 2 13 5 2 3" xfId="18355"/>
    <cellStyle name="Normal 2 3 2 13 5 2 3 2" xfId="18356"/>
    <cellStyle name="Normal 2 3 2 13 5 2 4" xfId="18357"/>
    <cellStyle name="Normal 2 3 2 13 5 2 4 2" xfId="18358"/>
    <cellStyle name="Normal 2 3 2 13 5 2 5" xfId="18359"/>
    <cellStyle name="Normal 2 3 2 13 5 2 5 2" xfId="18360"/>
    <cellStyle name="Normal 2 3 2 13 5 2 6" xfId="18361"/>
    <cellStyle name="Normal 2 3 2 13 5 2 6 2" xfId="18362"/>
    <cellStyle name="Normal 2 3 2 13 5 2 7" xfId="18363"/>
    <cellStyle name="Normal 2 3 2 13 5 2 7 2" xfId="18364"/>
    <cellStyle name="Normal 2 3 2 13 5 2 8" xfId="18365"/>
    <cellStyle name="Normal 2 3 2 13 5 2 8 2" xfId="18366"/>
    <cellStyle name="Normal 2 3 2 13 5 2 9" xfId="18367"/>
    <cellStyle name="Normal 2 3 2 13 5 2 9 2" xfId="18368"/>
    <cellStyle name="Normal 2 3 2 13 5 3" xfId="18369"/>
    <cellStyle name="Normal 2 3 2 13 5 3 10" xfId="18370"/>
    <cellStyle name="Normal 2 3 2 13 5 3 10 2" xfId="18371"/>
    <cellStyle name="Normal 2 3 2 13 5 3 11" xfId="18372"/>
    <cellStyle name="Normal 2 3 2 13 5 3 2" xfId="18373"/>
    <cellStyle name="Normal 2 3 2 13 5 3 2 2" xfId="18374"/>
    <cellStyle name="Normal 2 3 2 13 5 3 3" xfId="18375"/>
    <cellStyle name="Normal 2 3 2 13 5 3 3 2" xfId="18376"/>
    <cellStyle name="Normal 2 3 2 13 5 3 4" xfId="18377"/>
    <cellStyle name="Normal 2 3 2 13 5 3 4 2" xfId="18378"/>
    <cellStyle name="Normal 2 3 2 13 5 3 5" xfId="18379"/>
    <cellStyle name="Normal 2 3 2 13 5 3 5 2" xfId="18380"/>
    <cellStyle name="Normal 2 3 2 13 5 3 6" xfId="18381"/>
    <cellStyle name="Normal 2 3 2 13 5 3 6 2" xfId="18382"/>
    <cellStyle name="Normal 2 3 2 13 5 3 7" xfId="18383"/>
    <cellStyle name="Normal 2 3 2 13 5 3 7 2" xfId="18384"/>
    <cellStyle name="Normal 2 3 2 13 5 3 8" xfId="18385"/>
    <cellStyle name="Normal 2 3 2 13 5 3 8 2" xfId="18386"/>
    <cellStyle name="Normal 2 3 2 13 5 3 9" xfId="18387"/>
    <cellStyle name="Normal 2 3 2 13 5 3 9 2" xfId="18388"/>
    <cellStyle name="Normal 2 3 2 13 5 4" xfId="18389"/>
    <cellStyle name="Normal 2 3 2 13 5 4 2" xfId="18390"/>
    <cellStyle name="Normal 2 3 2 13 5 5" xfId="18391"/>
    <cellStyle name="Normal 2 3 2 13 5 5 2" xfId="18392"/>
    <cellStyle name="Normal 2 3 2 13 5 6" xfId="18393"/>
    <cellStyle name="Normal 2 3 2 13 5 6 2" xfId="18394"/>
    <cellStyle name="Normal 2 3 2 13 5 7" xfId="18395"/>
    <cellStyle name="Normal 2 3 2 13 5 7 2" xfId="18396"/>
    <cellStyle name="Normal 2 3 2 13 5 8" xfId="18397"/>
    <cellStyle name="Normal 2 3 2 13 5 8 2" xfId="18398"/>
    <cellStyle name="Normal 2 3 2 13 5 9" xfId="18399"/>
    <cellStyle name="Normal 2 3 2 13 5 9 2" xfId="18400"/>
    <cellStyle name="Normal 2 3 2 13 6" xfId="18401"/>
    <cellStyle name="Normal 2 3 2 14" xfId="18402"/>
    <cellStyle name="Normal 2 3 2 14 2" xfId="18403"/>
    <cellStyle name="Normal 2 3 2 15" xfId="18404"/>
    <cellStyle name="Normal 2 3 2 15 2" xfId="18405"/>
    <cellStyle name="Normal 2 3 2 16" xfId="18406"/>
    <cellStyle name="Normal 2 3 2 16 2" xfId="18407"/>
    <cellStyle name="Normal 2 3 2 17" xfId="18408"/>
    <cellStyle name="Normal 2 3 2 17 10" xfId="18409"/>
    <cellStyle name="Normal 2 3 2 17 10 2" xfId="18410"/>
    <cellStyle name="Normal 2 3 2 17 11" xfId="18411"/>
    <cellStyle name="Normal 2 3 2 17 11 2" xfId="18412"/>
    <cellStyle name="Normal 2 3 2 17 12" xfId="18413"/>
    <cellStyle name="Normal 2 3 2 17 12 2" xfId="18414"/>
    <cellStyle name="Normal 2 3 2 17 13" xfId="18415"/>
    <cellStyle name="Normal 2 3 2 17 2" xfId="18416"/>
    <cellStyle name="Normal 2 3 2 17 2 10" xfId="18417"/>
    <cellStyle name="Normal 2 3 2 17 2 10 2" xfId="18418"/>
    <cellStyle name="Normal 2 3 2 17 2 11" xfId="18419"/>
    <cellStyle name="Normal 2 3 2 17 2 11 2" xfId="18420"/>
    <cellStyle name="Normal 2 3 2 17 2 12" xfId="18421"/>
    <cellStyle name="Normal 2 3 2 17 2 2" xfId="18422"/>
    <cellStyle name="Normal 2 3 2 17 2 2 10" xfId="18423"/>
    <cellStyle name="Normal 2 3 2 17 2 2 10 2" xfId="18424"/>
    <cellStyle name="Normal 2 3 2 17 2 2 11" xfId="18425"/>
    <cellStyle name="Normal 2 3 2 17 2 2 2" xfId="18426"/>
    <cellStyle name="Normal 2 3 2 17 2 2 2 2" xfId="18427"/>
    <cellStyle name="Normal 2 3 2 17 2 2 3" xfId="18428"/>
    <cellStyle name="Normal 2 3 2 17 2 2 3 2" xfId="18429"/>
    <cellStyle name="Normal 2 3 2 17 2 2 4" xfId="18430"/>
    <cellStyle name="Normal 2 3 2 17 2 2 4 2" xfId="18431"/>
    <cellStyle name="Normal 2 3 2 17 2 2 5" xfId="18432"/>
    <cellStyle name="Normal 2 3 2 17 2 2 5 2" xfId="18433"/>
    <cellStyle name="Normal 2 3 2 17 2 2 6" xfId="18434"/>
    <cellStyle name="Normal 2 3 2 17 2 2 6 2" xfId="18435"/>
    <cellStyle name="Normal 2 3 2 17 2 2 7" xfId="18436"/>
    <cellStyle name="Normal 2 3 2 17 2 2 7 2" xfId="18437"/>
    <cellStyle name="Normal 2 3 2 17 2 2 8" xfId="18438"/>
    <cellStyle name="Normal 2 3 2 17 2 2 8 2" xfId="18439"/>
    <cellStyle name="Normal 2 3 2 17 2 2 9" xfId="18440"/>
    <cellStyle name="Normal 2 3 2 17 2 2 9 2" xfId="18441"/>
    <cellStyle name="Normal 2 3 2 17 2 3" xfId="18442"/>
    <cellStyle name="Normal 2 3 2 17 2 3 2" xfId="18443"/>
    <cellStyle name="Normal 2 3 2 17 2 4" xfId="18444"/>
    <cellStyle name="Normal 2 3 2 17 2 4 2" xfId="18445"/>
    <cellStyle name="Normal 2 3 2 17 2 5" xfId="18446"/>
    <cellStyle name="Normal 2 3 2 17 2 5 2" xfId="18447"/>
    <cellStyle name="Normal 2 3 2 17 2 6" xfId="18448"/>
    <cellStyle name="Normal 2 3 2 17 2 6 2" xfId="18449"/>
    <cellStyle name="Normal 2 3 2 17 2 7" xfId="18450"/>
    <cellStyle name="Normal 2 3 2 17 2 7 2" xfId="18451"/>
    <cellStyle name="Normal 2 3 2 17 2 8" xfId="18452"/>
    <cellStyle name="Normal 2 3 2 17 2 8 2" xfId="18453"/>
    <cellStyle name="Normal 2 3 2 17 2 9" xfId="18454"/>
    <cellStyle name="Normal 2 3 2 17 2 9 2" xfId="18455"/>
    <cellStyle name="Normal 2 3 2 17 3" xfId="18456"/>
    <cellStyle name="Normal 2 3 2 17 3 10" xfId="18457"/>
    <cellStyle name="Normal 2 3 2 17 3 10 2" xfId="18458"/>
    <cellStyle name="Normal 2 3 2 17 3 11" xfId="18459"/>
    <cellStyle name="Normal 2 3 2 17 3 2" xfId="18460"/>
    <cellStyle name="Normal 2 3 2 17 3 2 2" xfId="18461"/>
    <cellStyle name="Normal 2 3 2 17 3 3" xfId="18462"/>
    <cellStyle name="Normal 2 3 2 17 3 3 2" xfId="18463"/>
    <cellStyle name="Normal 2 3 2 17 3 4" xfId="18464"/>
    <cellStyle name="Normal 2 3 2 17 3 4 2" xfId="18465"/>
    <cellStyle name="Normal 2 3 2 17 3 5" xfId="18466"/>
    <cellStyle name="Normal 2 3 2 17 3 5 2" xfId="18467"/>
    <cellStyle name="Normal 2 3 2 17 3 6" xfId="18468"/>
    <cellStyle name="Normal 2 3 2 17 3 6 2" xfId="18469"/>
    <cellStyle name="Normal 2 3 2 17 3 7" xfId="18470"/>
    <cellStyle name="Normal 2 3 2 17 3 7 2" xfId="18471"/>
    <cellStyle name="Normal 2 3 2 17 3 8" xfId="18472"/>
    <cellStyle name="Normal 2 3 2 17 3 8 2" xfId="18473"/>
    <cellStyle name="Normal 2 3 2 17 3 9" xfId="18474"/>
    <cellStyle name="Normal 2 3 2 17 3 9 2" xfId="18475"/>
    <cellStyle name="Normal 2 3 2 17 4" xfId="18476"/>
    <cellStyle name="Normal 2 3 2 17 4 2" xfId="18477"/>
    <cellStyle name="Normal 2 3 2 17 5" xfId="18478"/>
    <cellStyle name="Normal 2 3 2 17 5 2" xfId="18479"/>
    <cellStyle name="Normal 2 3 2 17 6" xfId="18480"/>
    <cellStyle name="Normal 2 3 2 17 6 2" xfId="18481"/>
    <cellStyle name="Normal 2 3 2 17 7" xfId="18482"/>
    <cellStyle name="Normal 2 3 2 17 7 2" xfId="18483"/>
    <cellStyle name="Normal 2 3 2 17 8" xfId="18484"/>
    <cellStyle name="Normal 2 3 2 17 8 2" xfId="18485"/>
    <cellStyle name="Normal 2 3 2 17 9" xfId="18486"/>
    <cellStyle name="Normal 2 3 2 17 9 2" xfId="18487"/>
    <cellStyle name="Normal 2 3 2 18" xfId="18488"/>
    <cellStyle name="Normal 2 3 2 19" xfId="18489"/>
    <cellStyle name="Normal 2 3 2 2" xfId="18490"/>
    <cellStyle name="Normal 2 3 2 2 10" xfId="18491"/>
    <cellStyle name="Normal 2 3 2 2 2" xfId="18492"/>
    <cellStyle name="Normal 2 3 2 2 2 10" xfId="18493"/>
    <cellStyle name="Normal 2 3 2 2 2 10 10" xfId="18494"/>
    <cellStyle name="Normal 2 3 2 2 2 10 10 2" xfId="18495"/>
    <cellStyle name="Normal 2 3 2 2 2 10 11" xfId="18496"/>
    <cellStyle name="Normal 2 3 2 2 2 10 11 2" xfId="18497"/>
    <cellStyle name="Normal 2 3 2 2 2 10 12" xfId="18498"/>
    <cellStyle name="Normal 2 3 2 2 2 10 2" xfId="18499"/>
    <cellStyle name="Normal 2 3 2 2 2 10 2 10" xfId="18500"/>
    <cellStyle name="Normal 2 3 2 2 2 10 2 10 2" xfId="18501"/>
    <cellStyle name="Normal 2 3 2 2 2 10 2 11" xfId="18502"/>
    <cellStyle name="Normal 2 3 2 2 2 10 2 2" xfId="18503"/>
    <cellStyle name="Normal 2 3 2 2 2 10 2 2 2" xfId="18504"/>
    <cellStyle name="Normal 2 3 2 2 2 10 2 3" xfId="18505"/>
    <cellStyle name="Normal 2 3 2 2 2 10 2 3 2" xfId="18506"/>
    <cellStyle name="Normal 2 3 2 2 2 10 2 4" xfId="18507"/>
    <cellStyle name="Normal 2 3 2 2 2 10 2 4 2" xfId="18508"/>
    <cellStyle name="Normal 2 3 2 2 2 10 2 5" xfId="18509"/>
    <cellStyle name="Normal 2 3 2 2 2 10 2 5 2" xfId="18510"/>
    <cellStyle name="Normal 2 3 2 2 2 10 2 6" xfId="18511"/>
    <cellStyle name="Normal 2 3 2 2 2 10 2 6 2" xfId="18512"/>
    <cellStyle name="Normal 2 3 2 2 2 10 2 7" xfId="18513"/>
    <cellStyle name="Normal 2 3 2 2 2 10 2 7 2" xfId="18514"/>
    <cellStyle name="Normal 2 3 2 2 2 10 2 8" xfId="18515"/>
    <cellStyle name="Normal 2 3 2 2 2 10 2 8 2" xfId="18516"/>
    <cellStyle name="Normal 2 3 2 2 2 10 2 9" xfId="18517"/>
    <cellStyle name="Normal 2 3 2 2 2 10 2 9 2" xfId="18518"/>
    <cellStyle name="Normal 2 3 2 2 2 10 3" xfId="18519"/>
    <cellStyle name="Normal 2 3 2 2 2 10 3 2" xfId="18520"/>
    <cellStyle name="Normal 2 3 2 2 2 10 4" xfId="18521"/>
    <cellStyle name="Normal 2 3 2 2 2 10 4 2" xfId="18522"/>
    <cellStyle name="Normal 2 3 2 2 2 10 5" xfId="18523"/>
    <cellStyle name="Normal 2 3 2 2 2 10 5 2" xfId="18524"/>
    <cellStyle name="Normal 2 3 2 2 2 10 6" xfId="18525"/>
    <cellStyle name="Normal 2 3 2 2 2 10 6 2" xfId="18526"/>
    <cellStyle name="Normal 2 3 2 2 2 10 7" xfId="18527"/>
    <cellStyle name="Normal 2 3 2 2 2 10 7 2" xfId="18528"/>
    <cellStyle name="Normal 2 3 2 2 2 10 8" xfId="18529"/>
    <cellStyle name="Normal 2 3 2 2 2 10 8 2" xfId="18530"/>
    <cellStyle name="Normal 2 3 2 2 2 10 9" xfId="18531"/>
    <cellStyle name="Normal 2 3 2 2 2 10 9 2" xfId="18532"/>
    <cellStyle name="Normal 2 3 2 2 2 11" xfId="18533"/>
    <cellStyle name="Normal 2 3 2 2 2 11 10" xfId="18534"/>
    <cellStyle name="Normal 2 3 2 2 2 11 10 2" xfId="18535"/>
    <cellStyle name="Normal 2 3 2 2 2 11 11" xfId="18536"/>
    <cellStyle name="Normal 2 3 2 2 2 11 2" xfId="18537"/>
    <cellStyle name="Normal 2 3 2 2 2 11 2 2" xfId="18538"/>
    <cellStyle name="Normal 2 3 2 2 2 11 3" xfId="18539"/>
    <cellStyle name="Normal 2 3 2 2 2 11 3 2" xfId="18540"/>
    <cellStyle name="Normal 2 3 2 2 2 11 4" xfId="18541"/>
    <cellStyle name="Normal 2 3 2 2 2 11 4 2" xfId="18542"/>
    <cellStyle name="Normal 2 3 2 2 2 11 5" xfId="18543"/>
    <cellStyle name="Normal 2 3 2 2 2 11 5 2" xfId="18544"/>
    <cellStyle name="Normal 2 3 2 2 2 11 6" xfId="18545"/>
    <cellStyle name="Normal 2 3 2 2 2 11 6 2" xfId="18546"/>
    <cellStyle name="Normal 2 3 2 2 2 11 7" xfId="18547"/>
    <cellStyle name="Normal 2 3 2 2 2 11 7 2" xfId="18548"/>
    <cellStyle name="Normal 2 3 2 2 2 11 8" xfId="18549"/>
    <cellStyle name="Normal 2 3 2 2 2 11 8 2" xfId="18550"/>
    <cellStyle name="Normal 2 3 2 2 2 11 9" xfId="18551"/>
    <cellStyle name="Normal 2 3 2 2 2 11 9 2" xfId="18552"/>
    <cellStyle name="Normal 2 3 2 2 2 12" xfId="18553"/>
    <cellStyle name="Normal 2 3 2 2 2 12 2" xfId="18554"/>
    <cellStyle name="Normal 2 3 2 2 2 13" xfId="18555"/>
    <cellStyle name="Normal 2 3 2 2 2 13 2" xfId="18556"/>
    <cellStyle name="Normal 2 3 2 2 2 14" xfId="18557"/>
    <cellStyle name="Normal 2 3 2 2 2 14 2" xfId="18558"/>
    <cellStyle name="Normal 2 3 2 2 2 15" xfId="18559"/>
    <cellStyle name="Normal 2 3 2 2 2 15 2" xfId="18560"/>
    <cellStyle name="Normal 2 3 2 2 2 16" xfId="18561"/>
    <cellStyle name="Normal 2 3 2 2 2 16 2" xfId="18562"/>
    <cellStyle name="Normal 2 3 2 2 2 17" xfId="18563"/>
    <cellStyle name="Normal 2 3 2 2 2 17 2" xfId="18564"/>
    <cellStyle name="Normal 2 3 2 2 2 18" xfId="18565"/>
    <cellStyle name="Normal 2 3 2 2 2 18 2" xfId="18566"/>
    <cellStyle name="Normal 2 3 2 2 2 19" xfId="18567"/>
    <cellStyle name="Normal 2 3 2 2 2 19 2" xfId="18568"/>
    <cellStyle name="Normal 2 3 2 2 2 2" xfId="18569"/>
    <cellStyle name="Normal 2 3 2 2 2 2 2" xfId="18570"/>
    <cellStyle name="Normal 2 3 2 2 2 2 2 10" xfId="18571"/>
    <cellStyle name="Normal 2 3 2 2 2 2 2 10 2" xfId="18572"/>
    <cellStyle name="Normal 2 3 2 2 2 2 2 11" xfId="18573"/>
    <cellStyle name="Normal 2 3 2 2 2 2 2 11 2" xfId="18574"/>
    <cellStyle name="Normal 2 3 2 2 2 2 2 12" xfId="18575"/>
    <cellStyle name="Normal 2 3 2 2 2 2 2 12 2" xfId="18576"/>
    <cellStyle name="Normal 2 3 2 2 2 2 2 13" xfId="18577"/>
    <cellStyle name="Normal 2 3 2 2 2 2 2 13 2" xfId="18578"/>
    <cellStyle name="Normal 2 3 2 2 2 2 2 14" xfId="18579"/>
    <cellStyle name="Normal 2 3 2 2 2 2 2 14 2" xfId="18580"/>
    <cellStyle name="Normal 2 3 2 2 2 2 2 15" xfId="18581"/>
    <cellStyle name="Normal 2 3 2 2 2 2 2 15 2" xfId="18582"/>
    <cellStyle name="Normal 2 3 2 2 2 2 2 16" xfId="18583"/>
    <cellStyle name="Normal 2 3 2 2 2 2 2 16 2" xfId="18584"/>
    <cellStyle name="Normal 2 3 2 2 2 2 2 17" xfId="18585"/>
    <cellStyle name="Normal 2 3 2 2 2 2 2 2" xfId="18586"/>
    <cellStyle name="Normal 2 3 2 2 2 2 2 2 2" xfId="18587"/>
    <cellStyle name="Normal 2 3 2 2 2 2 2 2 2 10" xfId="18588"/>
    <cellStyle name="Normal 2 3 2 2 2 2 2 2 2 10 2" xfId="18589"/>
    <cellStyle name="Normal 2 3 2 2 2 2 2 2 2 11" xfId="18590"/>
    <cellStyle name="Normal 2 3 2 2 2 2 2 2 2 11 2" xfId="18591"/>
    <cellStyle name="Normal 2 3 2 2 2 2 2 2 2 12" xfId="18592"/>
    <cellStyle name="Normal 2 3 2 2 2 2 2 2 2 12 2" xfId="18593"/>
    <cellStyle name="Normal 2 3 2 2 2 2 2 2 2 13" xfId="18594"/>
    <cellStyle name="Normal 2 3 2 2 2 2 2 2 2 2" xfId="18595"/>
    <cellStyle name="Normal 2 3 2 2 2 2 2 2 2 2 10" xfId="18596"/>
    <cellStyle name="Normal 2 3 2 2 2 2 2 2 2 2 10 2" xfId="18597"/>
    <cellStyle name="Normal 2 3 2 2 2 2 2 2 2 2 11" xfId="18598"/>
    <cellStyle name="Normal 2 3 2 2 2 2 2 2 2 2 11 2" xfId="18599"/>
    <cellStyle name="Normal 2 3 2 2 2 2 2 2 2 2 12" xfId="18600"/>
    <cellStyle name="Normal 2 3 2 2 2 2 2 2 2 2 2" xfId="18601"/>
    <cellStyle name="Normal 2 3 2 2 2 2 2 2 2 2 2 10" xfId="18602"/>
    <cellStyle name="Normal 2 3 2 2 2 2 2 2 2 2 2 10 2" xfId="18603"/>
    <cellStyle name="Normal 2 3 2 2 2 2 2 2 2 2 2 11" xfId="18604"/>
    <cellStyle name="Normal 2 3 2 2 2 2 2 2 2 2 2 2" xfId="18605"/>
    <cellStyle name="Normal 2 3 2 2 2 2 2 2 2 2 2 2 2" xfId="18606"/>
    <cellStyle name="Normal 2 3 2 2 2 2 2 2 2 2 2 3" xfId="18607"/>
    <cellStyle name="Normal 2 3 2 2 2 2 2 2 2 2 2 3 2" xfId="18608"/>
    <cellStyle name="Normal 2 3 2 2 2 2 2 2 2 2 2 4" xfId="18609"/>
    <cellStyle name="Normal 2 3 2 2 2 2 2 2 2 2 2 4 2" xfId="18610"/>
    <cellStyle name="Normal 2 3 2 2 2 2 2 2 2 2 2 5" xfId="18611"/>
    <cellStyle name="Normal 2 3 2 2 2 2 2 2 2 2 2 5 2" xfId="18612"/>
    <cellStyle name="Normal 2 3 2 2 2 2 2 2 2 2 2 6" xfId="18613"/>
    <cellStyle name="Normal 2 3 2 2 2 2 2 2 2 2 2 6 2" xfId="18614"/>
    <cellStyle name="Normal 2 3 2 2 2 2 2 2 2 2 2 7" xfId="18615"/>
    <cellStyle name="Normal 2 3 2 2 2 2 2 2 2 2 2 7 2" xfId="18616"/>
    <cellStyle name="Normal 2 3 2 2 2 2 2 2 2 2 2 8" xfId="18617"/>
    <cellStyle name="Normal 2 3 2 2 2 2 2 2 2 2 2 8 2" xfId="18618"/>
    <cellStyle name="Normal 2 3 2 2 2 2 2 2 2 2 2 9" xfId="18619"/>
    <cellStyle name="Normal 2 3 2 2 2 2 2 2 2 2 2 9 2" xfId="18620"/>
    <cellStyle name="Normal 2 3 2 2 2 2 2 2 2 2 3" xfId="18621"/>
    <cellStyle name="Normal 2 3 2 2 2 2 2 2 2 2 3 2" xfId="18622"/>
    <cellStyle name="Normal 2 3 2 2 2 2 2 2 2 2 4" xfId="18623"/>
    <cellStyle name="Normal 2 3 2 2 2 2 2 2 2 2 4 2" xfId="18624"/>
    <cellStyle name="Normal 2 3 2 2 2 2 2 2 2 2 5" xfId="18625"/>
    <cellStyle name="Normal 2 3 2 2 2 2 2 2 2 2 5 2" xfId="18626"/>
    <cellStyle name="Normal 2 3 2 2 2 2 2 2 2 2 6" xfId="18627"/>
    <cellStyle name="Normal 2 3 2 2 2 2 2 2 2 2 6 2" xfId="18628"/>
    <cellStyle name="Normal 2 3 2 2 2 2 2 2 2 2 7" xfId="18629"/>
    <cellStyle name="Normal 2 3 2 2 2 2 2 2 2 2 7 2" xfId="18630"/>
    <cellStyle name="Normal 2 3 2 2 2 2 2 2 2 2 8" xfId="18631"/>
    <cellStyle name="Normal 2 3 2 2 2 2 2 2 2 2 8 2" xfId="18632"/>
    <cellStyle name="Normal 2 3 2 2 2 2 2 2 2 2 9" xfId="18633"/>
    <cellStyle name="Normal 2 3 2 2 2 2 2 2 2 2 9 2" xfId="18634"/>
    <cellStyle name="Normal 2 3 2 2 2 2 2 2 2 3" xfId="18635"/>
    <cellStyle name="Normal 2 3 2 2 2 2 2 2 2 3 10" xfId="18636"/>
    <cellStyle name="Normal 2 3 2 2 2 2 2 2 2 3 10 2" xfId="18637"/>
    <cellStyle name="Normal 2 3 2 2 2 2 2 2 2 3 11" xfId="18638"/>
    <cellStyle name="Normal 2 3 2 2 2 2 2 2 2 3 2" xfId="18639"/>
    <cellStyle name="Normal 2 3 2 2 2 2 2 2 2 3 2 2" xfId="18640"/>
    <cellStyle name="Normal 2 3 2 2 2 2 2 2 2 3 3" xfId="18641"/>
    <cellStyle name="Normal 2 3 2 2 2 2 2 2 2 3 3 2" xfId="18642"/>
    <cellStyle name="Normal 2 3 2 2 2 2 2 2 2 3 4" xfId="18643"/>
    <cellStyle name="Normal 2 3 2 2 2 2 2 2 2 3 4 2" xfId="18644"/>
    <cellStyle name="Normal 2 3 2 2 2 2 2 2 2 3 5" xfId="18645"/>
    <cellStyle name="Normal 2 3 2 2 2 2 2 2 2 3 5 2" xfId="18646"/>
    <cellStyle name="Normal 2 3 2 2 2 2 2 2 2 3 6" xfId="18647"/>
    <cellStyle name="Normal 2 3 2 2 2 2 2 2 2 3 6 2" xfId="18648"/>
    <cellStyle name="Normal 2 3 2 2 2 2 2 2 2 3 7" xfId="18649"/>
    <cellStyle name="Normal 2 3 2 2 2 2 2 2 2 3 7 2" xfId="18650"/>
    <cellStyle name="Normal 2 3 2 2 2 2 2 2 2 3 8" xfId="18651"/>
    <cellStyle name="Normal 2 3 2 2 2 2 2 2 2 3 8 2" xfId="18652"/>
    <cellStyle name="Normal 2 3 2 2 2 2 2 2 2 3 9" xfId="18653"/>
    <cellStyle name="Normal 2 3 2 2 2 2 2 2 2 3 9 2" xfId="18654"/>
    <cellStyle name="Normal 2 3 2 2 2 2 2 2 2 4" xfId="18655"/>
    <cellStyle name="Normal 2 3 2 2 2 2 2 2 2 4 2" xfId="18656"/>
    <cellStyle name="Normal 2 3 2 2 2 2 2 2 2 5" xfId="18657"/>
    <cellStyle name="Normal 2 3 2 2 2 2 2 2 2 5 2" xfId="18658"/>
    <cellStyle name="Normal 2 3 2 2 2 2 2 2 2 6" xfId="18659"/>
    <cellStyle name="Normal 2 3 2 2 2 2 2 2 2 6 2" xfId="18660"/>
    <cellStyle name="Normal 2 3 2 2 2 2 2 2 2 7" xfId="18661"/>
    <cellStyle name="Normal 2 3 2 2 2 2 2 2 2 7 2" xfId="18662"/>
    <cellStyle name="Normal 2 3 2 2 2 2 2 2 2 8" xfId="18663"/>
    <cellStyle name="Normal 2 3 2 2 2 2 2 2 2 8 2" xfId="18664"/>
    <cellStyle name="Normal 2 3 2 2 2 2 2 2 2 9" xfId="18665"/>
    <cellStyle name="Normal 2 3 2 2 2 2 2 2 2 9 2" xfId="18666"/>
    <cellStyle name="Normal 2 3 2 2 2 2 2 2 3" xfId="18667"/>
    <cellStyle name="Normal 2 3 2 2 2 2 2 2 3 10" xfId="18668"/>
    <cellStyle name="Normal 2 3 2 2 2 2 2 2 3 10 2" xfId="18669"/>
    <cellStyle name="Normal 2 3 2 2 2 2 2 2 3 11" xfId="18670"/>
    <cellStyle name="Normal 2 3 2 2 2 2 2 2 3 11 2" xfId="18671"/>
    <cellStyle name="Normal 2 3 2 2 2 2 2 2 3 12" xfId="18672"/>
    <cellStyle name="Normal 2 3 2 2 2 2 2 2 3 12 2" xfId="18673"/>
    <cellStyle name="Normal 2 3 2 2 2 2 2 2 3 13" xfId="18674"/>
    <cellStyle name="Normal 2 3 2 2 2 2 2 2 3 2" xfId="18675"/>
    <cellStyle name="Normal 2 3 2 2 2 2 2 2 3 2 10" xfId="18676"/>
    <cellStyle name="Normal 2 3 2 2 2 2 2 2 3 2 10 2" xfId="18677"/>
    <cellStyle name="Normal 2 3 2 2 2 2 2 2 3 2 11" xfId="18678"/>
    <cellStyle name="Normal 2 3 2 2 2 2 2 2 3 2 11 2" xfId="18679"/>
    <cellStyle name="Normal 2 3 2 2 2 2 2 2 3 2 12" xfId="18680"/>
    <cellStyle name="Normal 2 3 2 2 2 2 2 2 3 2 2" xfId="18681"/>
    <cellStyle name="Normal 2 3 2 2 2 2 2 2 3 2 2 10" xfId="18682"/>
    <cellStyle name="Normal 2 3 2 2 2 2 2 2 3 2 2 10 2" xfId="18683"/>
    <cellStyle name="Normal 2 3 2 2 2 2 2 2 3 2 2 11" xfId="18684"/>
    <cellStyle name="Normal 2 3 2 2 2 2 2 2 3 2 2 2" xfId="18685"/>
    <cellStyle name="Normal 2 3 2 2 2 2 2 2 3 2 2 2 2" xfId="18686"/>
    <cellStyle name="Normal 2 3 2 2 2 2 2 2 3 2 2 3" xfId="18687"/>
    <cellStyle name="Normal 2 3 2 2 2 2 2 2 3 2 2 3 2" xfId="18688"/>
    <cellStyle name="Normal 2 3 2 2 2 2 2 2 3 2 2 4" xfId="18689"/>
    <cellStyle name="Normal 2 3 2 2 2 2 2 2 3 2 2 4 2" xfId="18690"/>
    <cellStyle name="Normal 2 3 2 2 2 2 2 2 3 2 2 5" xfId="18691"/>
    <cellStyle name="Normal 2 3 2 2 2 2 2 2 3 2 2 5 2" xfId="18692"/>
    <cellStyle name="Normal 2 3 2 2 2 2 2 2 3 2 2 6" xfId="18693"/>
    <cellStyle name="Normal 2 3 2 2 2 2 2 2 3 2 2 6 2" xfId="18694"/>
    <cellStyle name="Normal 2 3 2 2 2 2 2 2 3 2 2 7" xfId="18695"/>
    <cellStyle name="Normal 2 3 2 2 2 2 2 2 3 2 2 7 2" xfId="18696"/>
    <cellStyle name="Normal 2 3 2 2 2 2 2 2 3 2 2 8" xfId="18697"/>
    <cellStyle name="Normal 2 3 2 2 2 2 2 2 3 2 2 8 2" xfId="18698"/>
    <cellStyle name="Normal 2 3 2 2 2 2 2 2 3 2 2 9" xfId="18699"/>
    <cellStyle name="Normal 2 3 2 2 2 2 2 2 3 2 2 9 2" xfId="18700"/>
    <cellStyle name="Normal 2 3 2 2 2 2 2 2 3 2 3" xfId="18701"/>
    <cellStyle name="Normal 2 3 2 2 2 2 2 2 3 2 3 2" xfId="18702"/>
    <cellStyle name="Normal 2 3 2 2 2 2 2 2 3 2 4" xfId="18703"/>
    <cellStyle name="Normal 2 3 2 2 2 2 2 2 3 2 4 2" xfId="18704"/>
    <cellStyle name="Normal 2 3 2 2 2 2 2 2 3 2 5" xfId="18705"/>
    <cellStyle name="Normal 2 3 2 2 2 2 2 2 3 2 5 2" xfId="18706"/>
    <cellStyle name="Normal 2 3 2 2 2 2 2 2 3 2 6" xfId="18707"/>
    <cellStyle name="Normal 2 3 2 2 2 2 2 2 3 2 6 2" xfId="18708"/>
    <cellStyle name="Normal 2 3 2 2 2 2 2 2 3 2 7" xfId="18709"/>
    <cellStyle name="Normal 2 3 2 2 2 2 2 2 3 2 7 2" xfId="18710"/>
    <cellStyle name="Normal 2 3 2 2 2 2 2 2 3 2 8" xfId="18711"/>
    <cellStyle name="Normal 2 3 2 2 2 2 2 2 3 2 8 2" xfId="18712"/>
    <cellStyle name="Normal 2 3 2 2 2 2 2 2 3 2 9" xfId="18713"/>
    <cellStyle name="Normal 2 3 2 2 2 2 2 2 3 2 9 2" xfId="18714"/>
    <cellStyle name="Normal 2 3 2 2 2 2 2 2 3 3" xfId="18715"/>
    <cellStyle name="Normal 2 3 2 2 2 2 2 2 3 3 10" xfId="18716"/>
    <cellStyle name="Normal 2 3 2 2 2 2 2 2 3 3 10 2" xfId="18717"/>
    <cellStyle name="Normal 2 3 2 2 2 2 2 2 3 3 11" xfId="18718"/>
    <cellStyle name="Normal 2 3 2 2 2 2 2 2 3 3 2" xfId="18719"/>
    <cellStyle name="Normal 2 3 2 2 2 2 2 2 3 3 2 2" xfId="18720"/>
    <cellStyle name="Normal 2 3 2 2 2 2 2 2 3 3 3" xfId="18721"/>
    <cellStyle name="Normal 2 3 2 2 2 2 2 2 3 3 3 2" xfId="18722"/>
    <cellStyle name="Normal 2 3 2 2 2 2 2 2 3 3 4" xfId="18723"/>
    <cellStyle name="Normal 2 3 2 2 2 2 2 2 3 3 4 2" xfId="18724"/>
    <cellStyle name="Normal 2 3 2 2 2 2 2 2 3 3 5" xfId="18725"/>
    <cellStyle name="Normal 2 3 2 2 2 2 2 2 3 3 5 2" xfId="18726"/>
    <cellStyle name="Normal 2 3 2 2 2 2 2 2 3 3 6" xfId="18727"/>
    <cellStyle name="Normal 2 3 2 2 2 2 2 2 3 3 6 2" xfId="18728"/>
    <cellStyle name="Normal 2 3 2 2 2 2 2 2 3 3 7" xfId="18729"/>
    <cellStyle name="Normal 2 3 2 2 2 2 2 2 3 3 7 2" xfId="18730"/>
    <cellStyle name="Normal 2 3 2 2 2 2 2 2 3 3 8" xfId="18731"/>
    <cellStyle name="Normal 2 3 2 2 2 2 2 2 3 3 8 2" xfId="18732"/>
    <cellStyle name="Normal 2 3 2 2 2 2 2 2 3 3 9" xfId="18733"/>
    <cellStyle name="Normal 2 3 2 2 2 2 2 2 3 3 9 2" xfId="18734"/>
    <cellStyle name="Normal 2 3 2 2 2 2 2 2 3 4" xfId="18735"/>
    <cellStyle name="Normal 2 3 2 2 2 2 2 2 3 4 2" xfId="18736"/>
    <cellStyle name="Normal 2 3 2 2 2 2 2 2 3 5" xfId="18737"/>
    <cellStyle name="Normal 2 3 2 2 2 2 2 2 3 5 2" xfId="18738"/>
    <cellStyle name="Normal 2 3 2 2 2 2 2 2 3 6" xfId="18739"/>
    <cellStyle name="Normal 2 3 2 2 2 2 2 2 3 6 2" xfId="18740"/>
    <cellStyle name="Normal 2 3 2 2 2 2 2 2 3 7" xfId="18741"/>
    <cellStyle name="Normal 2 3 2 2 2 2 2 2 3 7 2" xfId="18742"/>
    <cellStyle name="Normal 2 3 2 2 2 2 2 2 3 8" xfId="18743"/>
    <cellStyle name="Normal 2 3 2 2 2 2 2 2 3 8 2" xfId="18744"/>
    <cellStyle name="Normal 2 3 2 2 2 2 2 2 3 9" xfId="18745"/>
    <cellStyle name="Normal 2 3 2 2 2 2 2 2 3 9 2" xfId="18746"/>
    <cellStyle name="Normal 2 3 2 2 2 2 2 2 4" xfId="18747"/>
    <cellStyle name="Normal 2 3 2 2 2 2 2 2 4 10" xfId="18748"/>
    <cellStyle name="Normal 2 3 2 2 2 2 2 2 4 10 2" xfId="18749"/>
    <cellStyle name="Normal 2 3 2 2 2 2 2 2 4 11" xfId="18750"/>
    <cellStyle name="Normal 2 3 2 2 2 2 2 2 4 11 2" xfId="18751"/>
    <cellStyle name="Normal 2 3 2 2 2 2 2 2 4 12" xfId="18752"/>
    <cellStyle name="Normal 2 3 2 2 2 2 2 2 4 12 2" xfId="18753"/>
    <cellStyle name="Normal 2 3 2 2 2 2 2 2 4 13" xfId="18754"/>
    <cellStyle name="Normal 2 3 2 2 2 2 2 2 4 2" xfId="18755"/>
    <cellStyle name="Normal 2 3 2 2 2 2 2 2 4 2 10" xfId="18756"/>
    <cellStyle name="Normal 2 3 2 2 2 2 2 2 4 2 10 2" xfId="18757"/>
    <cellStyle name="Normal 2 3 2 2 2 2 2 2 4 2 11" xfId="18758"/>
    <cellStyle name="Normal 2 3 2 2 2 2 2 2 4 2 11 2" xfId="18759"/>
    <cellStyle name="Normal 2 3 2 2 2 2 2 2 4 2 12" xfId="18760"/>
    <cellStyle name="Normal 2 3 2 2 2 2 2 2 4 2 2" xfId="18761"/>
    <cellStyle name="Normal 2 3 2 2 2 2 2 2 4 2 2 10" xfId="18762"/>
    <cellStyle name="Normal 2 3 2 2 2 2 2 2 4 2 2 10 2" xfId="18763"/>
    <cellStyle name="Normal 2 3 2 2 2 2 2 2 4 2 2 11" xfId="18764"/>
    <cellStyle name="Normal 2 3 2 2 2 2 2 2 4 2 2 2" xfId="18765"/>
    <cellStyle name="Normal 2 3 2 2 2 2 2 2 4 2 2 2 2" xfId="18766"/>
    <cellStyle name="Normal 2 3 2 2 2 2 2 2 4 2 2 3" xfId="18767"/>
    <cellStyle name="Normal 2 3 2 2 2 2 2 2 4 2 2 3 2" xfId="18768"/>
    <cellStyle name="Normal 2 3 2 2 2 2 2 2 4 2 2 4" xfId="18769"/>
    <cellStyle name="Normal 2 3 2 2 2 2 2 2 4 2 2 4 2" xfId="18770"/>
    <cellStyle name="Normal 2 3 2 2 2 2 2 2 4 2 2 5" xfId="18771"/>
    <cellStyle name="Normal 2 3 2 2 2 2 2 2 4 2 2 5 2" xfId="18772"/>
    <cellStyle name="Normal 2 3 2 2 2 2 2 2 4 2 2 6" xfId="18773"/>
    <cellStyle name="Normal 2 3 2 2 2 2 2 2 4 2 2 6 2" xfId="18774"/>
    <cellStyle name="Normal 2 3 2 2 2 2 2 2 4 2 2 7" xfId="18775"/>
    <cellStyle name="Normal 2 3 2 2 2 2 2 2 4 2 2 7 2" xfId="18776"/>
    <cellStyle name="Normal 2 3 2 2 2 2 2 2 4 2 2 8" xfId="18777"/>
    <cellStyle name="Normal 2 3 2 2 2 2 2 2 4 2 2 8 2" xfId="18778"/>
    <cellStyle name="Normal 2 3 2 2 2 2 2 2 4 2 2 9" xfId="18779"/>
    <cellStyle name="Normal 2 3 2 2 2 2 2 2 4 2 2 9 2" xfId="18780"/>
    <cellStyle name="Normal 2 3 2 2 2 2 2 2 4 2 3" xfId="18781"/>
    <cellStyle name="Normal 2 3 2 2 2 2 2 2 4 2 3 2" xfId="18782"/>
    <cellStyle name="Normal 2 3 2 2 2 2 2 2 4 2 4" xfId="18783"/>
    <cellStyle name="Normal 2 3 2 2 2 2 2 2 4 2 4 2" xfId="18784"/>
    <cellStyle name="Normal 2 3 2 2 2 2 2 2 4 2 5" xfId="18785"/>
    <cellStyle name="Normal 2 3 2 2 2 2 2 2 4 2 5 2" xfId="18786"/>
    <cellStyle name="Normal 2 3 2 2 2 2 2 2 4 2 6" xfId="18787"/>
    <cellStyle name="Normal 2 3 2 2 2 2 2 2 4 2 6 2" xfId="18788"/>
    <cellStyle name="Normal 2 3 2 2 2 2 2 2 4 2 7" xfId="18789"/>
    <cellStyle name="Normal 2 3 2 2 2 2 2 2 4 2 7 2" xfId="18790"/>
    <cellStyle name="Normal 2 3 2 2 2 2 2 2 4 2 8" xfId="18791"/>
    <cellStyle name="Normal 2 3 2 2 2 2 2 2 4 2 8 2" xfId="18792"/>
    <cellStyle name="Normal 2 3 2 2 2 2 2 2 4 2 9" xfId="18793"/>
    <cellStyle name="Normal 2 3 2 2 2 2 2 2 4 2 9 2" xfId="18794"/>
    <cellStyle name="Normal 2 3 2 2 2 2 2 2 4 3" xfId="18795"/>
    <cellStyle name="Normal 2 3 2 2 2 2 2 2 4 3 10" xfId="18796"/>
    <cellStyle name="Normal 2 3 2 2 2 2 2 2 4 3 10 2" xfId="18797"/>
    <cellStyle name="Normal 2 3 2 2 2 2 2 2 4 3 11" xfId="18798"/>
    <cellStyle name="Normal 2 3 2 2 2 2 2 2 4 3 2" xfId="18799"/>
    <cellStyle name="Normal 2 3 2 2 2 2 2 2 4 3 2 2" xfId="18800"/>
    <cellStyle name="Normal 2 3 2 2 2 2 2 2 4 3 3" xfId="18801"/>
    <cellStyle name="Normal 2 3 2 2 2 2 2 2 4 3 3 2" xfId="18802"/>
    <cellStyle name="Normal 2 3 2 2 2 2 2 2 4 3 4" xfId="18803"/>
    <cellStyle name="Normal 2 3 2 2 2 2 2 2 4 3 4 2" xfId="18804"/>
    <cellStyle name="Normal 2 3 2 2 2 2 2 2 4 3 5" xfId="18805"/>
    <cellStyle name="Normal 2 3 2 2 2 2 2 2 4 3 5 2" xfId="18806"/>
    <cellStyle name="Normal 2 3 2 2 2 2 2 2 4 3 6" xfId="18807"/>
    <cellStyle name="Normal 2 3 2 2 2 2 2 2 4 3 6 2" xfId="18808"/>
    <cellStyle name="Normal 2 3 2 2 2 2 2 2 4 3 7" xfId="18809"/>
    <cellStyle name="Normal 2 3 2 2 2 2 2 2 4 3 7 2" xfId="18810"/>
    <cellStyle name="Normal 2 3 2 2 2 2 2 2 4 3 8" xfId="18811"/>
    <cellStyle name="Normal 2 3 2 2 2 2 2 2 4 3 8 2" xfId="18812"/>
    <cellStyle name="Normal 2 3 2 2 2 2 2 2 4 3 9" xfId="18813"/>
    <cellStyle name="Normal 2 3 2 2 2 2 2 2 4 3 9 2" xfId="18814"/>
    <cellStyle name="Normal 2 3 2 2 2 2 2 2 4 4" xfId="18815"/>
    <cellStyle name="Normal 2 3 2 2 2 2 2 2 4 4 2" xfId="18816"/>
    <cellStyle name="Normal 2 3 2 2 2 2 2 2 4 5" xfId="18817"/>
    <cellStyle name="Normal 2 3 2 2 2 2 2 2 4 5 2" xfId="18818"/>
    <cellStyle name="Normal 2 3 2 2 2 2 2 2 4 6" xfId="18819"/>
    <cellStyle name="Normal 2 3 2 2 2 2 2 2 4 6 2" xfId="18820"/>
    <cellStyle name="Normal 2 3 2 2 2 2 2 2 4 7" xfId="18821"/>
    <cellStyle name="Normal 2 3 2 2 2 2 2 2 4 7 2" xfId="18822"/>
    <cellStyle name="Normal 2 3 2 2 2 2 2 2 4 8" xfId="18823"/>
    <cellStyle name="Normal 2 3 2 2 2 2 2 2 4 8 2" xfId="18824"/>
    <cellStyle name="Normal 2 3 2 2 2 2 2 2 4 9" xfId="18825"/>
    <cellStyle name="Normal 2 3 2 2 2 2 2 2 4 9 2" xfId="18826"/>
    <cellStyle name="Normal 2 3 2 2 2 2 2 2 5" xfId="18827"/>
    <cellStyle name="Normal 2 3 2 2 2 2 2 2 5 10" xfId="18828"/>
    <cellStyle name="Normal 2 3 2 2 2 2 2 2 5 10 2" xfId="18829"/>
    <cellStyle name="Normal 2 3 2 2 2 2 2 2 5 11" xfId="18830"/>
    <cellStyle name="Normal 2 3 2 2 2 2 2 2 5 11 2" xfId="18831"/>
    <cellStyle name="Normal 2 3 2 2 2 2 2 2 5 12" xfId="18832"/>
    <cellStyle name="Normal 2 3 2 2 2 2 2 2 5 12 2" xfId="18833"/>
    <cellStyle name="Normal 2 3 2 2 2 2 2 2 5 13" xfId="18834"/>
    <cellStyle name="Normal 2 3 2 2 2 2 2 2 5 2" xfId="18835"/>
    <cellStyle name="Normal 2 3 2 2 2 2 2 2 5 2 10" xfId="18836"/>
    <cellStyle name="Normal 2 3 2 2 2 2 2 2 5 2 10 2" xfId="18837"/>
    <cellStyle name="Normal 2 3 2 2 2 2 2 2 5 2 11" xfId="18838"/>
    <cellStyle name="Normal 2 3 2 2 2 2 2 2 5 2 11 2" xfId="18839"/>
    <cellStyle name="Normal 2 3 2 2 2 2 2 2 5 2 12" xfId="18840"/>
    <cellStyle name="Normal 2 3 2 2 2 2 2 2 5 2 2" xfId="18841"/>
    <cellStyle name="Normal 2 3 2 2 2 2 2 2 5 2 2 10" xfId="18842"/>
    <cellStyle name="Normal 2 3 2 2 2 2 2 2 5 2 2 10 2" xfId="18843"/>
    <cellStyle name="Normal 2 3 2 2 2 2 2 2 5 2 2 11" xfId="18844"/>
    <cellStyle name="Normal 2 3 2 2 2 2 2 2 5 2 2 2" xfId="18845"/>
    <cellStyle name="Normal 2 3 2 2 2 2 2 2 5 2 2 2 2" xfId="18846"/>
    <cellStyle name="Normal 2 3 2 2 2 2 2 2 5 2 2 3" xfId="18847"/>
    <cellStyle name="Normal 2 3 2 2 2 2 2 2 5 2 2 3 2" xfId="18848"/>
    <cellStyle name="Normal 2 3 2 2 2 2 2 2 5 2 2 4" xfId="18849"/>
    <cellStyle name="Normal 2 3 2 2 2 2 2 2 5 2 2 4 2" xfId="18850"/>
    <cellStyle name="Normal 2 3 2 2 2 2 2 2 5 2 2 5" xfId="18851"/>
    <cellStyle name="Normal 2 3 2 2 2 2 2 2 5 2 2 5 2" xfId="18852"/>
    <cellStyle name="Normal 2 3 2 2 2 2 2 2 5 2 2 6" xfId="18853"/>
    <cellStyle name="Normal 2 3 2 2 2 2 2 2 5 2 2 6 2" xfId="18854"/>
    <cellStyle name="Normal 2 3 2 2 2 2 2 2 5 2 2 7" xfId="18855"/>
    <cellStyle name="Normal 2 3 2 2 2 2 2 2 5 2 2 7 2" xfId="18856"/>
    <cellStyle name="Normal 2 3 2 2 2 2 2 2 5 2 2 8" xfId="18857"/>
    <cellStyle name="Normal 2 3 2 2 2 2 2 2 5 2 2 8 2" xfId="18858"/>
    <cellStyle name="Normal 2 3 2 2 2 2 2 2 5 2 2 9" xfId="18859"/>
    <cellStyle name="Normal 2 3 2 2 2 2 2 2 5 2 2 9 2" xfId="18860"/>
    <cellStyle name="Normal 2 3 2 2 2 2 2 2 5 2 3" xfId="18861"/>
    <cellStyle name="Normal 2 3 2 2 2 2 2 2 5 2 3 2" xfId="18862"/>
    <cellStyle name="Normal 2 3 2 2 2 2 2 2 5 2 4" xfId="18863"/>
    <cellStyle name="Normal 2 3 2 2 2 2 2 2 5 2 4 2" xfId="18864"/>
    <cellStyle name="Normal 2 3 2 2 2 2 2 2 5 2 5" xfId="18865"/>
    <cellStyle name="Normal 2 3 2 2 2 2 2 2 5 2 5 2" xfId="18866"/>
    <cellStyle name="Normal 2 3 2 2 2 2 2 2 5 2 6" xfId="18867"/>
    <cellStyle name="Normal 2 3 2 2 2 2 2 2 5 2 6 2" xfId="18868"/>
    <cellStyle name="Normal 2 3 2 2 2 2 2 2 5 2 7" xfId="18869"/>
    <cellStyle name="Normal 2 3 2 2 2 2 2 2 5 2 7 2" xfId="18870"/>
    <cellStyle name="Normal 2 3 2 2 2 2 2 2 5 2 8" xfId="18871"/>
    <cellStyle name="Normal 2 3 2 2 2 2 2 2 5 2 8 2" xfId="18872"/>
    <cellStyle name="Normal 2 3 2 2 2 2 2 2 5 2 9" xfId="18873"/>
    <cellStyle name="Normal 2 3 2 2 2 2 2 2 5 2 9 2" xfId="18874"/>
    <cellStyle name="Normal 2 3 2 2 2 2 2 2 5 3" xfId="18875"/>
    <cellStyle name="Normal 2 3 2 2 2 2 2 2 5 3 10" xfId="18876"/>
    <cellStyle name="Normal 2 3 2 2 2 2 2 2 5 3 10 2" xfId="18877"/>
    <cellStyle name="Normal 2 3 2 2 2 2 2 2 5 3 11" xfId="18878"/>
    <cellStyle name="Normal 2 3 2 2 2 2 2 2 5 3 2" xfId="18879"/>
    <cellStyle name="Normal 2 3 2 2 2 2 2 2 5 3 2 2" xfId="18880"/>
    <cellStyle name="Normal 2 3 2 2 2 2 2 2 5 3 3" xfId="18881"/>
    <cellStyle name="Normal 2 3 2 2 2 2 2 2 5 3 3 2" xfId="18882"/>
    <cellStyle name="Normal 2 3 2 2 2 2 2 2 5 3 4" xfId="18883"/>
    <cellStyle name="Normal 2 3 2 2 2 2 2 2 5 3 4 2" xfId="18884"/>
    <cellStyle name="Normal 2 3 2 2 2 2 2 2 5 3 5" xfId="18885"/>
    <cellStyle name="Normal 2 3 2 2 2 2 2 2 5 3 5 2" xfId="18886"/>
    <cellStyle name="Normal 2 3 2 2 2 2 2 2 5 3 6" xfId="18887"/>
    <cellStyle name="Normal 2 3 2 2 2 2 2 2 5 3 6 2" xfId="18888"/>
    <cellStyle name="Normal 2 3 2 2 2 2 2 2 5 3 7" xfId="18889"/>
    <cellStyle name="Normal 2 3 2 2 2 2 2 2 5 3 7 2" xfId="18890"/>
    <cellStyle name="Normal 2 3 2 2 2 2 2 2 5 3 8" xfId="18891"/>
    <cellStyle name="Normal 2 3 2 2 2 2 2 2 5 3 8 2" xfId="18892"/>
    <cellStyle name="Normal 2 3 2 2 2 2 2 2 5 3 9" xfId="18893"/>
    <cellStyle name="Normal 2 3 2 2 2 2 2 2 5 3 9 2" xfId="18894"/>
    <cellStyle name="Normal 2 3 2 2 2 2 2 2 5 4" xfId="18895"/>
    <cellStyle name="Normal 2 3 2 2 2 2 2 2 5 4 2" xfId="18896"/>
    <cellStyle name="Normal 2 3 2 2 2 2 2 2 5 5" xfId="18897"/>
    <cellStyle name="Normal 2 3 2 2 2 2 2 2 5 5 2" xfId="18898"/>
    <cellStyle name="Normal 2 3 2 2 2 2 2 2 5 6" xfId="18899"/>
    <cellStyle name="Normal 2 3 2 2 2 2 2 2 5 6 2" xfId="18900"/>
    <cellStyle name="Normal 2 3 2 2 2 2 2 2 5 7" xfId="18901"/>
    <cellStyle name="Normal 2 3 2 2 2 2 2 2 5 7 2" xfId="18902"/>
    <cellStyle name="Normal 2 3 2 2 2 2 2 2 5 8" xfId="18903"/>
    <cellStyle name="Normal 2 3 2 2 2 2 2 2 5 8 2" xfId="18904"/>
    <cellStyle name="Normal 2 3 2 2 2 2 2 2 5 9" xfId="18905"/>
    <cellStyle name="Normal 2 3 2 2 2 2 2 2 5 9 2" xfId="18906"/>
    <cellStyle name="Normal 2 3 2 2 2 2 2 2 6" xfId="18907"/>
    <cellStyle name="Normal 2 3 2 2 2 2 2 3" xfId="18908"/>
    <cellStyle name="Normal 2 3 2 2 2 2 2 3 2" xfId="18909"/>
    <cellStyle name="Normal 2 3 2 2 2 2 2 4" xfId="18910"/>
    <cellStyle name="Normal 2 3 2 2 2 2 2 4 2" xfId="18911"/>
    <cellStyle name="Normal 2 3 2 2 2 2 2 5" xfId="18912"/>
    <cellStyle name="Normal 2 3 2 2 2 2 2 5 2" xfId="18913"/>
    <cellStyle name="Normal 2 3 2 2 2 2 2 6" xfId="18914"/>
    <cellStyle name="Normal 2 3 2 2 2 2 2 6 10" xfId="18915"/>
    <cellStyle name="Normal 2 3 2 2 2 2 2 6 10 2" xfId="18916"/>
    <cellStyle name="Normal 2 3 2 2 2 2 2 6 11" xfId="18917"/>
    <cellStyle name="Normal 2 3 2 2 2 2 2 6 11 2" xfId="18918"/>
    <cellStyle name="Normal 2 3 2 2 2 2 2 6 12" xfId="18919"/>
    <cellStyle name="Normal 2 3 2 2 2 2 2 6 2" xfId="18920"/>
    <cellStyle name="Normal 2 3 2 2 2 2 2 6 2 10" xfId="18921"/>
    <cellStyle name="Normal 2 3 2 2 2 2 2 6 2 10 2" xfId="18922"/>
    <cellStyle name="Normal 2 3 2 2 2 2 2 6 2 11" xfId="18923"/>
    <cellStyle name="Normal 2 3 2 2 2 2 2 6 2 2" xfId="18924"/>
    <cellStyle name="Normal 2 3 2 2 2 2 2 6 2 2 2" xfId="18925"/>
    <cellStyle name="Normal 2 3 2 2 2 2 2 6 2 3" xfId="18926"/>
    <cellStyle name="Normal 2 3 2 2 2 2 2 6 2 3 2" xfId="18927"/>
    <cellStyle name="Normal 2 3 2 2 2 2 2 6 2 4" xfId="18928"/>
    <cellStyle name="Normal 2 3 2 2 2 2 2 6 2 4 2" xfId="18929"/>
    <cellStyle name="Normal 2 3 2 2 2 2 2 6 2 5" xfId="18930"/>
    <cellStyle name="Normal 2 3 2 2 2 2 2 6 2 5 2" xfId="18931"/>
    <cellStyle name="Normal 2 3 2 2 2 2 2 6 2 6" xfId="18932"/>
    <cellStyle name="Normal 2 3 2 2 2 2 2 6 2 6 2" xfId="18933"/>
    <cellStyle name="Normal 2 3 2 2 2 2 2 6 2 7" xfId="18934"/>
    <cellStyle name="Normal 2 3 2 2 2 2 2 6 2 7 2" xfId="18935"/>
    <cellStyle name="Normal 2 3 2 2 2 2 2 6 2 8" xfId="18936"/>
    <cellStyle name="Normal 2 3 2 2 2 2 2 6 2 8 2" xfId="18937"/>
    <cellStyle name="Normal 2 3 2 2 2 2 2 6 2 9" xfId="18938"/>
    <cellStyle name="Normal 2 3 2 2 2 2 2 6 2 9 2" xfId="18939"/>
    <cellStyle name="Normal 2 3 2 2 2 2 2 6 3" xfId="18940"/>
    <cellStyle name="Normal 2 3 2 2 2 2 2 6 3 2" xfId="18941"/>
    <cellStyle name="Normal 2 3 2 2 2 2 2 6 4" xfId="18942"/>
    <cellStyle name="Normal 2 3 2 2 2 2 2 6 4 2" xfId="18943"/>
    <cellStyle name="Normal 2 3 2 2 2 2 2 6 5" xfId="18944"/>
    <cellStyle name="Normal 2 3 2 2 2 2 2 6 5 2" xfId="18945"/>
    <cellStyle name="Normal 2 3 2 2 2 2 2 6 6" xfId="18946"/>
    <cellStyle name="Normal 2 3 2 2 2 2 2 6 6 2" xfId="18947"/>
    <cellStyle name="Normal 2 3 2 2 2 2 2 6 7" xfId="18948"/>
    <cellStyle name="Normal 2 3 2 2 2 2 2 6 7 2" xfId="18949"/>
    <cellStyle name="Normal 2 3 2 2 2 2 2 6 8" xfId="18950"/>
    <cellStyle name="Normal 2 3 2 2 2 2 2 6 8 2" xfId="18951"/>
    <cellStyle name="Normal 2 3 2 2 2 2 2 6 9" xfId="18952"/>
    <cellStyle name="Normal 2 3 2 2 2 2 2 6 9 2" xfId="18953"/>
    <cellStyle name="Normal 2 3 2 2 2 2 2 7" xfId="18954"/>
    <cellStyle name="Normal 2 3 2 2 2 2 2 7 10" xfId="18955"/>
    <cellStyle name="Normal 2 3 2 2 2 2 2 7 10 2" xfId="18956"/>
    <cellStyle name="Normal 2 3 2 2 2 2 2 7 11" xfId="18957"/>
    <cellStyle name="Normal 2 3 2 2 2 2 2 7 2" xfId="18958"/>
    <cellStyle name="Normal 2 3 2 2 2 2 2 7 2 2" xfId="18959"/>
    <cellStyle name="Normal 2 3 2 2 2 2 2 7 3" xfId="18960"/>
    <cellStyle name="Normal 2 3 2 2 2 2 2 7 3 2" xfId="18961"/>
    <cellStyle name="Normal 2 3 2 2 2 2 2 7 4" xfId="18962"/>
    <cellStyle name="Normal 2 3 2 2 2 2 2 7 4 2" xfId="18963"/>
    <cellStyle name="Normal 2 3 2 2 2 2 2 7 5" xfId="18964"/>
    <cellStyle name="Normal 2 3 2 2 2 2 2 7 5 2" xfId="18965"/>
    <cellStyle name="Normal 2 3 2 2 2 2 2 7 6" xfId="18966"/>
    <cellStyle name="Normal 2 3 2 2 2 2 2 7 6 2" xfId="18967"/>
    <cellStyle name="Normal 2 3 2 2 2 2 2 7 7" xfId="18968"/>
    <cellStyle name="Normal 2 3 2 2 2 2 2 7 7 2" xfId="18969"/>
    <cellStyle name="Normal 2 3 2 2 2 2 2 7 8" xfId="18970"/>
    <cellStyle name="Normal 2 3 2 2 2 2 2 7 8 2" xfId="18971"/>
    <cellStyle name="Normal 2 3 2 2 2 2 2 7 9" xfId="18972"/>
    <cellStyle name="Normal 2 3 2 2 2 2 2 7 9 2" xfId="18973"/>
    <cellStyle name="Normal 2 3 2 2 2 2 2 8" xfId="18974"/>
    <cellStyle name="Normal 2 3 2 2 2 2 2 8 2" xfId="18975"/>
    <cellStyle name="Normal 2 3 2 2 2 2 2 9" xfId="18976"/>
    <cellStyle name="Normal 2 3 2 2 2 2 2 9 2" xfId="18977"/>
    <cellStyle name="Normal 2 3 2 2 2 2 3" xfId="18978"/>
    <cellStyle name="Normal 2 3 2 2 2 2 3 10" xfId="18979"/>
    <cellStyle name="Normal 2 3 2 2 2 2 3 10 2" xfId="18980"/>
    <cellStyle name="Normal 2 3 2 2 2 2 3 11" xfId="18981"/>
    <cellStyle name="Normal 2 3 2 2 2 2 3 11 2" xfId="18982"/>
    <cellStyle name="Normal 2 3 2 2 2 2 3 12" xfId="18983"/>
    <cellStyle name="Normal 2 3 2 2 2 2 3 12 2" xfId="18984"/>
    <cellStyle name="Normal 2 3 2 2 2 2 3 13" xfId="18985"/>
    <cellStyle name="Normal 2 3 2 2 2 2 3 2" xfId="18986"/>
    <cellStyle name="Normal 2 3 2 2 2 2 3 2 10" xfId="18987"/>
    <cellStyle name="Normal 2 3 2 2 2 2 3 2 10 2" xfId="18988"/>
    <cellStyle name="Normal 2 3 2 2 2 2 3 2 11" xfId="18989"/>
    <cellStyle name="Normal 2 3 2 2 2 2 3 2 11 2" xfId="18990"/>
    <cellStyle name="Normal 2 3 2 2 2 2 3 2 12" xfId="18991"/>
    <cellStyle name="Normal 2 3 2 2 2 2 3 2 2" xfId="18992"/>
    <cellStyle name="Normal 2 3 2 2 2 2 3 2 2 10" xfId="18993"/>
    <cellStyle name="Normal 2 3 2 2 2 2 3 2 2 10 2" xfId="18994"/>
    <cellStyle name="Normal 2 3 2 2 2 2 3 2 2 11" xfId="18995"/>
    <cellStyle name="Normal 2 3 2 2 2 2 3 2 2 2" xfId="18996"/>
    <cellStyle name="Normal 2 3 2 2 2 2 3 2 2 2 2" xfId="18997"/>
    <cellStyle name="Normal 2 3 2 2 2 2 3 2 2 3" xfId="18998"/>
    <cellStyle name="Normal 2 3 2 2 2 2 3 2 2 3 2" xfId="18999"/>
    <cellStyle name="Normal 2 3 2 2 2 2 3 2 2 4" xfId="19000"/>
    <cellStyle name="Normal 2 3 2 2 2 2 3 2 2 4 2" xfId="19001"/>
    <cellStyle name="Normal 2 3 2 2 2 2 3 2 2 5" xfId="19002"/>
    <cellStyle name="Normal 2 3 2 2 2 2 3 2 2 5 2" xfId="19003"/>
    <cellStyle name="Normal 2 3 2 2 2 2 3 2 2 6" xfId="19004"/>
    <cellStyle name="Normal 2 3 2 2 2 2 3 2 2 6 2" xfId="19005"/>
    <cellStyle name="Normal 2 3 2 2 2 2 3 2 2 7" xfId="19006"/>
    <cellStyle name="Normal 2 3 2 2 2 2 3 2 2 7 2" xfId="19007"/>
    <cellStyle name="Normal 2 3 2 2 2 2 3 2 2 8" xfId="19008"/>
    <cellStyle name="Normal 2 3 2 2 2 2 3 2 2 8 2" xfId="19009"/>
    <cellStyle name="Normal 2 3 2 2 2 2 3 2 2 9" xfId="19010"/>
    <cellStyle name="Normal 2 3 2 2 2 2 3 2 2 9 2" xfId="19011"/>
    <cellStyle name="Normal 2 3 2 2 2 2 3 2 3" xfId="19012"/>
    <cellStyle name="Normal 2 3 2 2 2 2 3 2 3 2" xfId="19013"/>
    <cellStyle name="Normal 2 3 2 2 2 2 3 2 4" xfId="19014"/>
    <cellStyle name="Normal 2 3 2 2 2 2 3 2 4 2" xfId="19015"/>
    <cellStyle name="Normal 2 3 2 2 2 2 3 2 5" xfId="19016"/>
    <cellStyle name="Normal 2 3 2 2 2 2 3 2 5 2" xfId="19017"/>
    <cellStyle name="Normal 2 3 2 2 2 2 3 2 6" xfId="19018"/>
    <cellStyle name="Normal 2 3 2 2 2 2 3 2 6 2" xfId="19019"/>
    <cellStyle name="Normal 2 3 2 2 2 2 3 2 7" xfId="19020"/>
    <cellStyle name="Normal 2 3 2 2 2 2 3 2 7 2" xfId="19021"/>
    <cellStyle name="Normal 2 3 2 2 2 2 3 2 8" xfId="19022"/>
    <cellStyle name="Normal 2 3 2 2 2 2 3 2 8 2" xfId="19023"/>
    <cellStyle name="Normal 2 3 2 2 2 2 3 2 9" xfId="19024"/>
    <cellStyle name="Normal 2 3 2 2 2 2 3 2 9 2" xfId="19025"/>
    <cellStyle name="Normal 2 3 2 2 2 2 3 3" xfId="19026"/>
    <cellStyle name="Normal 2 3 2 2 2 2 3 3 10" xfId="19027"/>
    <cellStyle name="Normal 2 3 2 2 2 2 3 3 10 2" xfId="19028"/>
    <cellStyle name="Normal 2 3 2 2 2 2 3 3 11" xfId="19029"/>
    <cellStyle name="Normal 2 3 2 2 2 2 3 3 2" xfId="19030"/>
    <cellStyle name="Normal 2 3 2 2 2 2 3 3 2 2" xfId="19031"/>
    <cellStyle name="Normal 2 3 2 2 2 2 3 3 3" xfId="19032"/>
    <cellStyle name="Normal 2 3 2 2 2 2 3 3 3 2" xfId="19033"/>
    <cellStyle name="Normal 2 3 2 2 2 2 3 3 4" xfId="19034"/>
    <cellStyle name="Normal 2 3 2 2 2 2 3 3 4 2" xfId="19035"/>
    <cellStyle name="Normal 2 3 2 2 2 2 3 3 5" xfId="19036"/>
    <cellStyle name="Normal 2 3 2 2 2 2 3 3 5 2" xfId="19037"/>
    <cellStyle name="Normal 2 3 2 2 2 2 3 3 6" xfId="19038"/>
    <cellStyle name="Normal 2 3 2 2 2 2 3 3 6 2" xfId="19039"/>
    <cellStyle name="Normal 2 3 2 2 2 2 3 3 7" xfId="19040"/>
    <cellStyle name="Normal 2 3 2 2 2 2 3 3 7 2" xfId="19041"/>
    <cellStyle name="Normal 2 3 2 2 2 2 3 3 8" xfId="19042"/>
    <cellStyle name="Normal 2 3 2 2 2 2 3 3 8 2" xfId="19043"/>
    <cellStyle name="Normal 2 3 2 2 2 2 3 3 9" xfId="19044"/>
    <cellStyle name="Normal 2 3 2 2 2 2 3 3 9 2" xfId="19045"/>
    <cellStyle name="Normal 2 3 2 2 2 2 3 4" xfId="19046"/>
    <cellStyle name="Normal 2 3 2 2 2 2 3 4 2" xfId="19047"/>
    <cellStyle name="Normal 2 3 2 2 2 2 3 5" xfId="19048"/>
    <cellStyle name="Normal 2 3 2 2 2 2 3 5 2" xfId="19049"/>
    <cellStyle name="Normal 2 3 2 2 2 2 3 6" xfId="19050"/>
    <cellStyle name="Normal 2 3 2 2 2 2 3 6 2" xfId="19051"/>
    <cellStyle name="Normal 2 3 2 2 2 2 3 7" xfId="19052"/>
    <cellStyle name="Normal 2 3 2 2 2 2 3 7 2" xfId="19053"/>
    <cellStyle name="Normal 2 3 2 2 2 2 3 8" xfId="19054"/>
    <cellStyle name="Normal 2 3 2 2 2 2 3 8 2" xfId="19055"/>
    <cellStyle name="Normal 2 3 2 2 2 2 3 9" xfId="19056"/>
    <cellStyle name="Normal 2 3 2 2 2 2 3 9 2" xfId="19057"/>
    <cellStyle name="Normal 2 3 2 2 2 2 4" xfId="19058"/>
    <cellStyle name="Normal 2 3 2 2 2 2 4 10" xfId="19059"/>
    <cellStyle name="Normal 2 3 2 2 2 2 4 10 2" xfId="19060"/>
    <cellStyle name="Normal 2 3 2 2 2 2 4 11" xfId="19061"/>
    <cellStyle name="Normal 2 3 2 2 2 2 4 11 2" xfId="19062"/>
    <cellStyle name="Normal 2 3 2 2 2 2 4 12" xfId="19063"/>
    <cellStyle name="Normal 2 3 2 2 2 2 4 12 2" xfId="19064"/>
    <cellStyle name="Normal 2 3 2 2 2 2 4 13" xfId="19065"/>
    <cellStyle name="Normal 2 3 2 2 2 2 4 2" xfId="19066"/>
    <cellStyle name="Normal 2 3 2 2 2 2 4 2 10" xfId="19067"/>
    <cellStyle name="Normal 2 3 2 2 2 2 4 2 10 2" xfId="19068"/>
    <cellStyle name="Normal 2 3 2 2 2 2 4 2 11" xfId="19069"/>
    <cellStyle name="Normal 2 3 2 2 2 2 4 2 11 2" xfId="19070"/>
    <cellStyle name="Normal 2 3 2 2 2 2 4 2 12" xfId="19071"/>
    <cellStyle name="Normal 2 3 2 2 2 2 4 2 2" xfId="19072"/>
    <cellStyle name="Normal 2 3 2 2 2 2 4 2 2 10" xfId="19073"/>
    <cellStyle name="Normal 2 3 2 2 2 2 4 2 2 10 2" xfId="19074"/>
    <cellStyle name="Normal 2 3 2 2 2 2 4 2 2 11" xfId="19075"/>
    <cellStyle name="Normal 2 3 2 2 2 2 4 2 2 2" xfId="19076"/>
    <cellStyle name="Normal 2 3 2 2 2 2 4 2 2 2 2" xfId="19077"/>
    <cellStyle name="Normal 2 3 2 2 2 2 4 2 2 3" xfId="19078"/>
    <cellStyle name="Normal 2 3 2 2 2 2 4 2 2 3 2" xfId="19079"/>
    <cellStyle name="Normal 2 3 2 2 2 2 4 2 2 4" xfId="19080"/>
    <cellStyle name="Normal 2 3 2 2 2 2 4 2 2 4 2" xfId="19081"/>
    <cellStyle name="Normal 2 3 2 2 2 2 4 2 2 5" xfId="19082"/>
    <cellStyle name="Normal 2 3 2 2 2 2 4 2 2 5 2" xfId="19083"/>
    <cellStyle name="Normal 2 3 2 2 2 2 4 2 2 6" xfId="19084"/>
    <cellStyle name="Normal 2 3 2 2 2 2 4 2 2 6 2" xfId="19085"/>
    <cellStyle name="Normal 2 3 2 2 2 2 4 2 2 7" xfId="19086"/>
    <cellStyle name="Normal 2 3 2 2 2 2 4 2 2 7 2" xfId="19087"/>
    <cellStyle name="Normal 2 3 2 2 2 2 4 2 2 8" xfId="19088"/>
    <cellStyle name="Normal 2 3 2 2 2 2 4 2 2 8 2" xfId="19089"/>
    <cellStyle name="Normal 2 3 2 2 2 2 4 2 2 9" xfId="19090"/>
    <cellStyle name="Normal 2 3 2 2 2 2 4 2 2 9 2" xfId="19091"/>
    <cellStyle name="Normal 2 3 2 2 2 2 4 2 3" xfId="19092"/>
    <cellStyle name="Normal 2 3 2 2 2 2 4 2 3 2" xfId="19093"/>
    <cellStyle name="Normal 2 3 2 2 2 2 4 2 4" xfId="19094"/>
    <cellStyle name="Normal 2 3 2 2 2 2 4 2 4 2" xfId="19095"/>
    <cellStyle name="Normal 2 3 2 2 2 2 4 2 5" xfId="19096"/>
    <cellStyle name="Normal 2 3 2 2 2 2 4 2 5 2" xfId="19097"/>
    <cellStyle name="Normal 2 3 2 2 2 2 4 2 6" xfId="19098"/>
    <cellStyle name="Normal 2 3 2 2 2 2 4 2 6 2" xfId="19099"/>
    <cellStyle name="Normal 2 3 2 2 2 2 4 2 7" xfId="19100"/>
    <cellStyle name="Normal 2 3 2 2 2 2 4 2 7 2" xfId="19101"/>
    <cellStyle name="Normal 2 3 2 2 2 2 4 2 8" xfId="19102"/>
    <cellStyle name="Normal 2 3 2 2 2 2 4 2 8 2" xfId="19103"/>
    <cellStyle name="Normal 2 3 2 2 2 2 4 2 9" xfId="19104"/>
    <cellStyle name="Normal 2 3 2 2 2 2 4 2 9 2" xfId="19105"/>
    <cellStyle name="Normal 2 3 2 2 2 2 4 3" xfId="19106"/>
    <cellStyle name="Normal 2 3 2 2 2 2 4 3 10" xfId="19107"/>
    <cellStyle name="Normal 2 3 2 2 2 2 4 3 10 2" xfId="19108"/>
    <cellStyle name="Normal 2 3 2 2 2 2 4 3 11" xfId="19109"/>
    <cellStyle name="Normal 2 3 2 2 2 2 4 3 2" xfId="19110"/>
    <cellStyle name="Normal 2 3 2 2 2 2 4 3 2 2" xfId="19111"/>
    <cellStyle name="Normal 2 3 2 2 2 2 4 3 3" xfId="19112"/>
    <cellStyle name="Normal 2 3 2 2 2 2 4 3 3 2" xfId="19113"/>
    <cellStyle name="Normal 2 3 2 2 2 2 4 3 4" xfId="19114"/>
    <cellStyle name="Normal 2 3 2 2 2 2 4 3 4 2" xfId="19115"/>
    <cellStyle name="Normal 2 3 2 2 2 2 4 3 5" xfId="19116"/>
    <cellStyle name="Normal 2 3 2 2 2 2 4 3 5 2" xfId="19117"/>
    <cellStyle name="Normal 2 3 2 2 2 2 4 3 6" xfId="19118"/>
    <cellStyle name="Normal 2 3 2 2 2 2 4 3 6 2" xfId="19119"/>
    <cellStyle name="Normal 2 3 2 2 2 2 4 3 7" xfId="19120"/>
    <cellStyle name="Normal 2 3 2 2 2 2 4 3 7 2" xfId="19121"/>
    <cellStyle name="Normal 2 3 2 2 2 2 4 3 8" xfId="19122"/>
    <cellStyle name="Normal 2 3 2 2 2 2 4 3 8 2" xfId="19123"/>
    <cellStyle name="Normal 2 3 2 2 2 2 4 3 9" xfId="19124"/>
    <cellStyle name="Normal 2 3 2 2 2 2 4 3 9 2" xfId="19125"/>
    <cellStyle name="Normal 2 3 2 2 2 2 4 4" xfId="19126"/>
    <cellStyle name="Normal 2 3 2 2 2 2 4 4 2" xfId="19127"/>
    <cellStyle name="Normal 2 3 2 2 2 2 4 5" xfId="19128"/>
    <cellStyle name="Normal 2 3 2 2 2 2 4 5 2" xfId="19129"/>
    <cellStyle name="Normal 2 3 2 2 2 2 4 6" xfId="19130"/>
    <cellStyle name="Normal 2 3 2 2 2 2 4 6 2" xfId="19131"/>
    <cellStyle name="Normal 2 3 2 2 2 2 4 7" xfId="19132"/>
    <cellStyle name="Normal 2 3 2 2 2 2 4 7 2" xfId="19133"/>
    <cellStyle name="Normal 2 3 2 2 2 2 4 8" xfId="19134"/>
    <cellStyle name="Normal 2 3 2 2 2 2 4 8 2" xfId="19135"/>
    <cellStyle name="Normal 2 3 2 2 2 2 4 9" xfId="19136"/>
    <cellStyle name="Normal 2 3 2 2 2 2 4 9 2" xfId="19137"/>
    <cellStyle name="Normal 2 3 2 2 2 2 5" xfId="19138"/>
    <cellStyle name="Normal 2 3 2 2 2 2 5 10" xfId="19139"/>
    <cellStyle name="Normal 2 3 2 2 2 2 5 10 2" xfId="19140"/>
    <cellStyle name="Normal 2 3 2 2 2 2 5 11" xfId="19141"/>
    <cellStyle name="Normal 2 3 2 2 2 2 5 11 2" xfId="19142"/>
    <cellStyle name="Normal 2 3 2 2 2 2 5 12" xfId="19143"/>
    <cellStyle name="Normal 2 3 2 2 2 2 5 12 2" xfId="19144"/>
    <cellStyle name="Normal 2 3 2 2 2 2 5 13" xfId="19145"/>
    <cellStyle name="Normal 2 3 2 2 2 2 5 2" xfId="19146"/>
    <cellStyle name="Normal 2 3 2 2 2 2 5 2 10" xfId="19147"/>
    <cellStyle name="Normal 2 3 2 2 2 2 5 2 10 2" xfId="19148"/>
    <cellStyle name="Normal 2 3 2 2 2 2 5 2 11" xfId="19149"/>
    <cellStyle name="Normal 2 3 2 2 2 2 5 2 11 2" xfId="19150"/>
    <cellStyle name="Normal 2 3 2 2 2 2 5 2 12" xfId="19151"/>
    <cellStyle name="Normal 2 3 2 2 2 2 5 2 2" xfId="19152"/>
    <cellStyle name="Normal 2 3 2 2 2 2 5 2 2 10" xfId="19153"/>
    <cellStyle name="Normal 2 3 2 2 2 2 5 2 2 10 2" xfId="19154"/>
    <cellStyle name="Normal 2 3 2 2 2 2 5 2 2 11" xfId="19155"/>
    <cellStyle name="Normal 2 3 2 2 2 2 5 2 2 2" xfId="19156"/>
    <cellStyle name="Normal 2 3 2 2 2 2 5 2 2 2 2" xfId="19157"/>
    <cellStyle name="Normal 2 3 2 2 2 2 5 2 2 3" xfId="19158"/>
    <cellStyle name="Normal 2 3 2 2 2 2 5 2 2 3 2" xfId="19159"/>
    <cellStyle name="Normal 2 3 2 2 2 2 5 2 2 4" xfId="19160"/>
    <cellStyle name="Normal 2 3 2 2 2 2 5 2 2 4 2" xfId="19161"/>
    <cellStyle name="Normal 2 3 2 2 2 2 5 2 2 5" xfId="19162"/>
    <cellStyle name="Normal 2 3 2 2 2 2 5 2 2 5 2" xfId="19163"/>
    <cellStyle name="Normal 2 3 2 2 2 2 5 2 2 6" xfId="19164"/>
    <cellStyle name="Normal 2 3 2 2 2 2 5 2 2 6 2" xfId="19165"/>
    <cellStyle name="Normal 2 3 2 2 2 2 5 2 2 7" xfId="19166"/>
    <cellStyle name="Normal 2 3 2 2 2 2 5 2 2 7 2" xfId="19167"/>
    <cellStyle name="Normal 2 3 2 2 2 2 5 2 2 8" xfId="19168"/>
    <cellStyle name="Normal 2 3 2 2 2 2 5 2 2 8 2" xfId="19169"/>
    <cellStyle name="Normal 2 3 2 2 2 2 5 2 2 9" xfId="19170"/>
    <cellStyle name="Normal 2 3 2 2 2 2 5 2 2 9 2" xfId="19171"/>
    <cellStyle name="Normal 2 3 2 2 2 2 5 2 3" xfId="19172"/>
    <cellStyle name="Normal 2 3 2 2 2 2 5 2 3 2" xfId="19173"/>
    <cellStyle name="Normal 2 3 2 2 2 2 5 2 4" xfId="19174"/>
    <cellStyle name="Normal 2 3 2 2 2 2 5 2 4 2" xfId="19175"/>
    <cellStyle name="Normal 2 3 2 2 2 2 5 2 5" xfId="19176"/>
    <cellStyle name="Normal 2 3 2 2 2 2 5 2 5 2" xfId="19177"/>
    <cellStyle name="Normal 2 3 2 2 2 2 5 2 6" xfId="19178"/>
    <cellStyle name="Normal 2 3 2 2 2 2 5 2 6 2" xfId="19179"/>
    <cellStyle name="Normal 2 3 2 2 2 2 5 2 7" xfId="19180"/>
    <cellStyle name="Normal 2 3 2 2 2 2 5 2 7 2" xfId="19181"/>
    <cellStyle name="Normal 2 3 2 2 2 2 5 2 8" xfId="19182"/>
    <cellStyle name="Normal 2 3 2 2 2 2 5 2 8 2" xfId="19183"/>
    <cellStyle name="Normal 2 3 2 2 2 2 5 2 9" xfId="19184"/>
    <cellStyle name="Normal 2 3 2 2 2 2 5 2 9 2" xfId="19185"/>
    <cellStyle name="Normal 2 3 2 2 2 2 5 3" xfId="19186"/>
    <cellStyle name="Normal 2 3 2 2 2 2 5 3 10" xfId="19187"/>
    <cellStyle name="Normal 2 3 2 2 2 2 5 3 10 2" xfId="19188"/>
    <cellStyle name="Normal 2 3 2 2 2 2 5 3 11" xfId="19189"/>
    <cellStyle name="Normal 2 3 2 2 2 2 5 3 2" xfId="19190"/>
    <cellStyle name="Normal 2 3 2 2 2 2 5 3 2 2" xfId="19191"/>
    <cellStyle name="Normal 2 3 2 2 2 2 5 3 3" xfId="19192"/>
    <cellStyle name="Normal 2 3 2 2 2 2 5 3 3 2" xfId="19193"/>
    <cellStyle name="Normal 2 3 2 2 2 2 5 3 4" xfId="19194"/>
    <cellStyle name="Normal 2 3 2 2 2 2 5 3 4 2" xfId="19195"/>
    <cellStyle name="Normal 2 3 2 2 2 2 5 3 5" xfId="19196"/>
    <cellStyle name="Normal 2 3 2 2 2 2 5 3 5 2" xfId="19197"/>
    <cellStyle name="Normal 2 3 2 2 2 2 5 3 6" xfId="19198"/>
    <cellStyle name="Normal 2 3 2 2 2 2 5 3 6 2" xfId="19199"/>
    <cellStyle name="Normal 2 3 2 2 2 2 5 3 7" xfId="19200"/>
    <cellStyle name="Normal 2 3 2 2 2 2 5 3 7 2" xfId="19201"/>
    <cellStyle name="Normal 2 3 2 2 2 2 5 3 8" xfId="19202"/>
    <cellStyle name="Normal 2 3 2 2 2 2 5 3 8 2" xfId="19203"/>
    <cellStyle name="Normal 2 3 2 2 2 2 5 3 9" xfId="19204"/>
    <cellStyle name="Normal 2 3 2 2 2 2 5 3 9 2" xfId="19205"/>
    <cellStyle name="Normal 2 3 2 2 2 2 5 4" xfId="19206"/>
    <cellStyle name="Normal 2 3 2 2 2 2 5 4 2" xfId="19207"/>
    <cellStyle name="Normal 2 3 2 2 2 2 5 5" xfId="19208"/>
    <cellStyle name="Normal 2 3 2 2 2 2 5 5 2" xfId="19209"/>
    <cellStyle name="Normal 2 3 2 2 2 2 5 6" xfId="19210"/>
    <cellStyle name="Normal 2 3 2 2 2 2 5 6 2" xfId="19211"/>
    <cellStyle name="Normal 2 3 2 2 2 2 5 7" xfId="19212"/>
    <cellStyle name="Normal 2 3 2 2 2 2 5 7 2" xfId="19213"/>
    <cellStyle name="Normal 2 3 2 2 2 2 5 8" xfId="19214"/>
    <cellStyle name="Normal 2 3 2 2 2 2 5 8 2" xfId="19215"/>
    <cellStyle name="Normal 2 3 2 2 2 2 5 9" xfId="19216"/>
    <cellStyle name="Normal 2 3 2 2 2 2 5 9 2" xfId="19217"/>
    <cellStyle name="Normal 2 3 2 2 2 2 6" xfId="19218"/>
    <cellStyle name="Normal 2 3 2 2 2 2 6 10" xfId="19219"/>
    <cellStyle name="Normal 2 3 2 2 2 2 6 10 2" xfId="19220"/>
    <cellStyle name="Normal 2 3 2 2 2 2 6 11" xfId="19221"/>
    <cellStyle name="Normal 2 3 2 2 2 2 6 11 2" xfId="19222"/>
    <cellStyle name="Normal 2 3 2 2 2 2 6 12" xfId="19223"/>
    <cellStyle name="Normal 2 3 2 2 2 2 6 12 2" xfId="19224"/>
    <cellStyle name="Normal 2 3 2 2 2 2 6 13" xfId="19225"/>
    <cellStyle name="Normal 2 3 2 2 2 2 6 2" xfId="19226"/>
    <cellStyle name="Normal 2 3 2 2 2 2 6 2 10" xfId="19227"/>
    <cellStyle name="Normal 2 3 2 2 2 2 6 2 10 2" xfId="19228"/>
    <cellStyle name="Normal 2 3 2 2 2 2 6 2 11" xfId="19229"/>
    <cellStyle name="Normal 2 3 2 2 2 2 6 2 11 2" xfId="19230"/>
    <cellStyle name="Normal 2 3 2 2 2 2 6 2 12" xfId="19231"/>
    <cellStyle name="Normal 2 3 2 2 2 2 6 2 2" xfId="19232"/>
    <cellStyle name="Normal 2 3 2 2 2 2 6 2 2 10" xfId="19233"/>
    <cellStyle name="Normal 2 3 2 2 2 2 6 2 2 10 2" xfId="19234"/>
    <cellStyle name="Normal 2 3 2 2 2 2 6 2 2 11" xfId="19235"/>
    <cellStyle name="Normal 2 3 2 2 2 2 6 2 2 2" xfId="19236"/>
    <cellStyle name="Normal 2 3 2 2 2 2 6 2 2 2 2" xfId="19237"/>
    <cellStyle name="Normal 2 3 2 2 2 2 6 2 2 3" xfId="19238"/>
    <cellStyle name="Normal 2 3 2 2 2 2 6 2 2 3 2" xfId="19239"/>
    <cellStyle name="Normal 2 3 2 2 2 2 6 2 2 4" xfId="19240"/>
    <cellStyle name="Normal 2 3 2 2 2 2 6 2 2 4 2" xfId="19241"/>
    <cellStyle name="Normal 2 3 2 2 2 2 6 2 2 5" xfId="19242"/>
    <cellStyle name="Normal 2 3 2 2 2 2 6 2 2 5 2" xfId="19243"/>
    <cellStyle name="Normal 2 3 2 2 2 2 6 2 2 6" xfId="19244"/>
    <cellStyle name="Normal 2 3 2 2 2 2 6 2 2 6 2" xfId="19245"/>
    <cellStyle name="Normal 2 3 2 2 2 2 6 2 2 7" xfId="19246"/>
    <cellStyle name="Normal 2 3 2 2 2 2 6 2 2 7 2" xfId="19247"/>
    <cellStyle name="Normal 2 3 2 2 2 2 6 2 2 8" xfId="19248"/>
    <cellStyle name="Normal 2 3 2 2 2 2 6 2 2 8 2" xfId="19249"/>
    <cellStyle name="Normal 2 3 2 2 2 2 6 2 2 9" xfId="19250"/>
    <cellStyle name="Normal 2 3 2 2 2 2 6 2 2 9 2" xfId="19251"/>
    <cellStyle name="Normal 2 3 2 2 2 2 6 2 3" xfId="19252"/>
    <cellStyle name="Normal 2 3 2 2 2 2 6 2 3 2" xfId="19253"/>
    <cellStyle name="Normal 2 3 2 2 2 2 6 2 4" xfId="19254"/>
    <cellStyle name="Normal 2 3 2 2 2 2 6 2 4 2" xfId="19255"/>
    <cellStyle name="Normal 2 3 2 2 2 2 6 2 5" xfId="19256"/>
    <cellStyle name="Normal 2 3 2 2 2 2 6 2 5 2" xfId="19257"/>
    <cellStyle name="Normal 2 3 2 2 2 2 6 2 6" xfId="19258"/>
    <cellStyle name="Normal 2 3 2 2 2 2 6 2 6 2" xfId="19259"/>
    <cellStyle name="Normal 2 3 2 2 2 2 6 2 7" xfId="19260"/>
    <cellStyle name="Normal 2 3 2 2 2 2 6 2 7 2" xfId="19261"/>
    <cellStyle name="Normal 2 3 2 2 2 2 6 2 8" xfId="19262"/>
    <cellStyle name="Normal 2 3 2 2 2 2 6 2 8 2" xfId="19263"/>
    <cellStyle name="Normal 2 3 2 2 2 2 6 2 9" xfId="19264"/>
    <cellStyle name="Normal 2 3 2 2 2 2 6 2 9 2" xfId="19265"/>
    <cellStyle name="Normal 2 3 2 2 2 2 6 3" xfId="19266"/>
    <cellStyle name="Normal 2 3 2 2 2 2 6 3 10" xfId="19267"/>
    <cellStyle name="Normal 2 3 2 2 2 2 6 3 10 2" xfId="19268"/>
    <cellStyle name="Normal 2 3 2 2 2 2 6 3 11" xfId="19269"/>
    <cellStyle name="Normal 2 3 2 2 2 2 6 3 2" xfId="19270"/>
    <cellStyle name="Normal 2 3 2 2 2 2 6 3 2 2" xfId="19271"/>
    <cellStyle name="Normal 2 3 2 2 2 2 6 3 3" xfId="19272"/>
    <cellStyle name="Normal 2 3 2 2 2 2 6 3 3 2" xfId="19273"/>
    <cellStyle name="Normal 2 3 2 2 2 2 6 3 4" xfId="19274"/>
    <cellStyle name="Normal 2 3 2 2 2 2 6 3 4 2" xfId="19275"/>
    <cellStyle name="Normal 2 3 2 2 2 2 6 3 5" xfId="19276"/>
    <cellStyle name="Normal 2 3 2 2 2 2 6 3 5 2" xfId="19277"/>
    <cellStyle name="Normal 2 3 2 2 2 2 6 3 6" xfId="19278"/>
    <cellStyle name="Normal 2 3 2 2 2 2 6 3 6 2" xfId="19279"/>
    <cellStyle name="Normal 2 3 2 2 2 2 6 3 7" xfId="19280"/>
    <cellStyle name="Normal 2 3 2 2 2 2 6 3 7 2" xfId="19281"/>
    <cellStyle name="Normal 2 3 2 2 2 2 6 3 8" xfId="19282"/>
    <cellStyle name="Normal 2 3 2 2 2 2 6 3 8 2" xfId="19283"/>
    <cellStyle name="Normal 2 3 2 2 2 2 6 3 9" xfId="19284"/>
    <cellStyle name="Normal 2 3 2 2 2 2 6 3 9 2" xfId="19285"/>
    <cellStyle name="Normal 2 3 2 2 2 2 6 4" xfId="19286"/>
    <cellStyle name="Normal 2 3 2 2 2 2 6 4 2" xfId="19287"/>
    <cellStyle name="Normal 2 3 2 2 2 2 6 5" xfId="19288"/>
    <cellStyle name="Normal 2 3 2 2 2 2 6 5 2" xfId="19289"/>
    <cellStyle name="Normal 2 3 2 2 2 2 6 6" xfId="19290"/>
    <cellStyle name="Normal 2 3 2 2 2 2 6 6 2" xfId="19291"/>
    <cellStyle name="Normal 2 3 2 2 2 2 6 7" xfId="19292"/>
    <cellStyle name="Normal 2 3 2 2 2 2 6 7 2" xfId="19293"/>
    <cellStyle name="Normal 2 3 2 2 2 2 6 8" xfId="19294"/>
    <cellStyle name="Normal 2 3 2 2 2 2 6 8 2" xfId="19295"/>
    <cellStyle name="Normal 2 3 2 2 2 2 6 9" xfId="19296"/>
    <cellStyle name="Normal 2 3 2 2 2 2 6 9 2" xfId="19297"/>
    <cellStyle name="Normal 2 3 2 2 2 2 7" xfId="19298"/>
    <cellStyle name="Normal 2 3 2 2 2 20" xfId="19299"/>
    <cellStyle name="Normal 2 3 2 2 2 20 2" xfId="19300"/>
    <cellStyle name="Normal 2 3 2 2 2 21" xfId="19301"/>
    <cellStyle name="Normal 2 3 2 2 2 3" xfId="19302"/>
    <cellStyle name="Normal 2 3 2 2 2 3 10" xfId="19303"/>
    <cellStyle name="Normal 2 3 2 2 2 3 10 2" xfId="19304"/>
    <cellStyle name="Normal 2 3 2 2 2 3 11" xfId="19305"/>
    <cellStyle name="Normal 2 3 2 2 2 3 11 2" xfId="19306"/>
    <cellStyle name="Normal 2 3 2 2 2 3 12" xfId="19307"/>
    <cellStyle name="Normal 2 3 2 2 2 3 12 2" xfId="19308"/>
    <cellStyle name="Normal 2 3 2 2 2 3 13" xfId="19309"/>
    <cellStyle name="Normal 2 3 2 2 2 3 2" xfId="19310"/>
    <cellStyle name="Normal 2 3 2 2 2 3 2 10" xfId="19311"/>
    <cellStyle name="Normal 2 3 2 2 2 3 2 10 2" xfId="19312"/>
    <cellStyle name="Normal 2 3 2 2 2 3 2 11" xfId="19313"/>
    <cellStyle name="Normal 2 3 2 2 2 3 2 11 2" xfId="19314"/>
    <cellStyle name="Normal 2 3 2 2 2 3 2 12" xfId="19315"/>
    <cellStyle name="Normal 2 3 2 2 2 3 2 2" xfId="19316"/>
    <cellStyle name="Normal 2 3 2 2 2 3 2 2 10" xfId="19317"/>
    <cellStyle name="Normal 2 3 2 2 2 3 2 2 10 2" xfId="19318"/>
    <cellStyle name="Normal 2 3 2 2 2 3 2 2 11" xfId="19319"/>
    <cellStyle name="Normal 2 3 2 2 2 3 2 2 2" xfId="19320"/>
    <cellStyle name="Normal 2 3 2 2 2 3 2 2 2 2" xfId="19321"/>
    <cellStyle name="Normal 2 3 2 2 2 3 2 2 3" xfId="19322"/>
    <cellStyle name="Normal 2 3 2 2 2 3 2 2 3 2" xfId="19323"/>
    <cellStyle name="Normal 2 3 2 2 2 3 2 2 4" xfId="19324"/>
    <cellStyle name="Normal 2 3 2 2 2 3 2 2 4 2" xfId="19325"/>
    <cellStyle name="Normal 2 3 2 2 2 3 2 2 5" xfId="19326"/>
    <cellStyle name="Normal 2 3 2 2 2 3 2 2 5 2" xfId="19327"/>
    <cellStyle name="Normal 2 3 2 2 2 3 2 2 6" xfId="19328"/>
    <cellStyle name="Normal 2 3 2 2 2 3 2 2 6 2" xfId="19329"/>
    <cellStyle name="Normal 2 3 2 2 2 3 2 2 7" xfId="19330"/>
    <cellStyle name="Normal 2 3 2 2 2 3 2 2 7 2" xfId="19331"/>
    <cellStyle name="Normal 2 3 2 2 2 3 2 2 8" xfId="19332"/>
    <cellStyle name="Normal 2 3 2 2 2 3 2 2 8 2" xfId="19333"/>
    <cellStyle name="Normal 2 3 2 2 2 3 2 2 9" xfId="19334"/>
    <cellStyle name="Normal 2 3 2 2 2 3 2 2 9 2" xfId="19335"/>
    <cellStyle name="Normal 2 3 2 2 2 3 2 3" xfId="19336"/>
    <cellStyle name="Normal 2 3 2 2 2 3 2 3 2" xfId="19337"/>
    <cellStyle name="Normal 2 3 2 2 2 3 2 4" xfId="19338"/>
    <cellStyle name="Normal 2 3 2 2 2 3 2 4 2" xfId="19339"/>
    <cellStyle name="Normal 2 3 2 2 2 3 2 5" xfId="19340"/>
    <cellStyle name="Normal 2 3 2 2 2 3 2 5 2" xfId="19341"/>
    <cellStyle name="Normal 2 3 2 2 2 3 2 6" xfId="19342"/>
    <cellStyle name="Normal 2 3 2 2 2 3 2 6 2" xfId="19343"/>
    <cellStyle name="Normal 2 3 2 2 2 3 2 7" xfId="19344"/>
    <cellStyle name="Normal 2 3 2 2 2 3 2 7 2" xfId="19345"/>
    <cellStyle name="Normal 2 3 2 2 2 3 2 8" xfId="19346"/>
    <cellStyle name="Normal 2 3 2 2 2 3 2 8 2" xfId="19347"/>
    <cellStyle name="Normal 2 3 2 2 2 3 2 9" xfId="19348"/>
    <cellStyle name="Normal 2 3 2 2 2 3 2 9 2" xfId="19349"/>
    <cellStyle name="Normal 2 3 2 2 2 3 3" xfId="19350"/>
    <cellStyle name="Normal 2 3 2 2 2 3 3 10" xfId="19351"/>
    <cellStyle name="Normal 2 3 2 2 2 3 3 10 2" xfId="19352"/>
    <cellStyle name="Normal 2 3 2 2 2 3 3 11" xfId="19353"/>
    <cellStyle name="Normal 2 3 2 2 2 3 3 2" xfId="19354"/>
    <cellStyle name="Normal 2 3 2 2 2 3 3 2 2" xfId="19355"/>
    <cellStyle name="Normal 2 3 2 2 2 3 3 3" xfId="19356"/>
    <cellStyle name="Normal 2 3 2 2 2 3 3 3 2" xfId="19357"/>
    <cellStyle name="Normal 2 3 2 2 2 3 3 4" xfId="19358"/>
    <cellStyle name="Normal 2 3 2 2 2 3 3 4 2" xfId="19359"/>
    <cellStyle name="Normal 2 3 2 2 2 3 3 5" xfId="19360"/>
    <cellStyle name="Normal 2 3 2 2 2 3 3 5 2" xfId="19361"/>
    <cellStyle name="Normal 2 3 2 2 2 3 3 6" xfId="19362"/>
    <cellStyle name="Normal 2 3 2 2 2 3 3 6 2" xfId="19363"/>
    <cellStyle name="Normal 2 3 2 2 2 3 3 7" xfId="19364"/>
    <cellStyle name="Normal 2 3 2 2 2 3 3 7 2" xfId="19365"/>
    <cellStyle name="Normal 2 3 2 2 2 3 3 8" xfId="19366"/>
    <cellStyle name="Normal 2 3 2 2 2 3 3 8 2" xfId="19367"/>
    <cellStyle name="Normal 2 3 2 2 2 3 3 9" xfId="19368"/>
    <cellStyle name="Normal 2 3 2 2 2 3 3 9 2" xfId="19369"/>
    <cellStyle name="Normal 2 3 2 2 2 3 4" xfId="19370"/>
    <cellStyle name="Normal 2 3 2 2 2 3 4 2" xfId="19371"/>
    <cellStyle name="Normal 2 3 2 2 2 3 5" xfId="19372"/>
    <cellStyle name="Normal 2 3 2 2 2 3 5 2" xfId="19373"/>
    <cellStyle name="Normal 2 3 2 2 2 3 6" xfId="19374"/>
    <cellStyle name="Normal 2 3 2 2 2 3 6 2" xfId="19375"/>
    <cellStyle name="Normal 2 3 2 2 2 3 7" xfId="19376"/>
    <cellStyle name="Normal 2 3 2 2 2 3 7 2" xfId="19377"/>
    <cellStyle name="Normal 2 3 2 2 2 3 8" xfId="19378"/>
    <cellStyle name="Normal 2 3 2 2 2 3 8 2" xfId="19379"/>
    <cellStyle name="Normal 2 3 2 2 2 3 9" xfId="19380"/>
    <cellStyle name="Normal 2 3 2 2 2 3 9 2" xfId="19381"/>
    <cellStyle name="Normal 2 3 2 2 2 4" xfId="19382"/>
    <cellStyle name="Normal 2 3 2 2 2 4 10" xfId="19383"/>
    <cellStyle name="Normal 2 3 2 2 2 4 10 2" xfId="19384"/>
    <cellStyle name="Normal 2 3 2 2 2 4 11" xfId="19385"/>
    <cellStyle name="Normal 2 3 2 2 2 4 11 2" xfId="19386"/>
    <cellStyle name="Normal 2 3 2 2 2 4 12" xfId="19387"/>
    <cellStyle name="Normal 2 3 2 2 2 4 12 2" xfId="19388"/>
    <cellStyle name="Normal 2 3 2 2 2 4 13" xfId="19389"/>
    <cellStyle name="Normal 2 3 2 2 2 4 2" xfId="19390"/>
    <cellStyle name="Normal 2 3 2 2 2 4 2 10" xfId="19391"/>
    <cellStyle name="Normal 2 3 2 2 2 4 2 10 2" xfId="19392"/>
    <cellStyle name="Normal 2 3 2 2 2 4 2 11" xfId="19393"/>
    <cellStyle name="Normal 2 3 2 2 2 4 2 11 2" xfId="19394"/>
    <cellStyle name="Normal 2 3 2 2 2 4 2 12" xfId="19395"/>
    <cellStyle name="Normal 2 3 2 2 2 4 2 2" xfId="19396"/>
    <cellStyle name="Normal 2 3 2 2 2 4 2 2 10" xfId="19397"/>
    <cellStyle name="Normal 2 3 2 2 2 4 2 2 10 2" xfId="19398"/>
    <cellStyle name="Normal 2 3 2 2 2 4 2 2 11" xfId="19399"/>
    <cellStyle name="Normal 2 3 2 2 2 4 2 2 2" xfId="19400"/>
    <cellStyle name="Normal 2 3 2 2 2 4 2 2 2 2" xfId="19401"/>
    <cellStyle name="Normal 2 3 2 2 2 4 2 2 3" xfId="19402"/>
    <cellStyle name="Normal 2 3 2 2 2 4 2 2 3 2" xfId="19403"/>
    <cellStyle name="Normal 2 3 2 2 2 4 2 2 4" xfId="19404"/>
    <cellStyle name="Normal 2 3 2 2 2 4 2 2 4 2" xfId="19405"/>
    <cellStyle name="Normal 2 3 2 2 2 4 2 2 5" xfId="19406"/>
    <cellStyle name="Normal 2 3 2 2 2 4 2 2 5 2" xfId="19407"/>
    <cellStyle name="Normal 2 3 2 2 2 4 2 2 6" xfId="19408"/>
    <cellStyle name="Normal 2 3 2 2 2 4 2 2 6 2" xfId="19409"/>
    <cellStyle name="Normal 2 3 2 2 2 4 2 2 7" xfId="19410"/>
    <cellStyle name="Normal 2 3 2 2 2 4 2 2 7 2" xfId="19411"/>
    <cellStyle name="Normal 2 3 2 2 2 4 2 2 8" xfId="19412"/>
    <cellStyle name="Normal 2 3 2 2 2 4 2 2 8 2" xfId="19413"/>
    <cellStyle name="Normal 2 3 2 2 2 4 2 2 9" xfId="19414"/>
    <cellStyle name="Normal 2 3 2 2 2 4 2 2 9 2" xfId="19415"/>
    <cellStyle name="Normal 2 3 2 2 2 4 2 3" xfId="19416"/>
    <cellStyle name="Normal 2 3 2 2 2 4 2 3 2" xfId="19417"/>
    <cellStyle name="Normal 2 3 2 2 2 4 2 4" xfId="19418"/>
    <cellStyle name="Normal 2 3 2 2 2 4 2 4 2" xfId="19419"/>
    <cellStyle name="Normal 2 3 2 2 2 4 2 5" xfId="19420"/>
    <cellStyle name="Normal 2 3 2 2 2 4 2 5 2" xfId="19421"/>
    <cellStyle name="Normal 2 3 2 2 2 4 2 6" xfId="19422"/>
    <cellStyle name="Normal 2 3 2 2 2 4 2 6 2" xfId="19423"/>
    <cellStyle name="Normal 2 3 2 2 2 4 2 7" xfId="19424"/>
    <cellStyle name="Normal 2 3 2 2 2 4 2 7 2" xfId="19425"/>
    <cellStyle name="Normal 2 3 2 2 2 4 2 8" xfId="19426"/>
    <cellStyle name="Normal 2 3 2 2 2 4 2 8 2" xfId="19427"/>
    <cellStyle name="Normal 2 3 2 2 2 4 2 9" xfId="19428"/>
    <cellStyle name="Normal 2 3 2 2 2 4 2 9 2" xfId="19429"/>
    <cellStyle name="Normal 2 3 2 2 2 4 3" xfId="19430"/>
    <cellStyle name="Normal 2 3 2 2 2 4 3 10" xfId="19431"/>
    <cellStyle name="Normal 2 3 2 2 2 4 3 10 2" xfId="19432"/>
    <cellStyle name="Normal 2 3 2 2 2 4 3 11" xfId="19433"/>
    <cellStyle name="Normal 2 3 2 2 2 4 3 2" xfId="19434"/>
    <cellStyle name="Normal 2 3 2 2 2 4 3 2 2" xfId="19435"/>
    <cellStyle name="Normal 2 3 2 2 2 4 3 3" xfId="19436"/>
    <cellStyle name="Normal 2 3 2 2 2 4 3 3 2" xfId="19437"/>
    <cellStyle name="Normal 2 3 2 2 2 4 3 4" xfId="19438"/>
    <cellStyle name="Normal 2 3 2 2 2 4 3 4 2" xfId="19439"/>
    <cellStyle name="Normal 2 3 2 2 2 4 3 5" xfId="19440"/>
    <cellStyle name="Normal 2 3 2 2 2 4 3 5 2" xfId="19441"/>
    <cellStyle name="Normal 2 3 2 2 2 4 3 6" xfId="19442"/>
    <cellStyle name="Normal 2 3 2 2 2 4 3 6 2" xfId="19443"/>
    <cellStyle name="Normal 2 3 2 2 2 4 3 7" xfId="19444"/>
    <cellStyle name="Normal 2 3 2 2 2 4 3 7 2" xfId="19445"/>
    <cellStyle name="Normal 2 3 2 2 2 4 3 8" xfId="19446"/>
    <cellStyle name="Normal 2 3 2 2 2 4 3 8 2" xfId="19447"/>
    <cellStyle name="Normal 2 3 2 2 2 4 3 9" xfId="19448"/>
    <cellStyle name="Normal 2 3 2 2 2 4 3 9 2" xfId="19449"/>
    <cellStyle name="Normal 2 3 2 2 2 4 4" xfId="19450"/>
    <cellStyle name="Normal 2 3 2 2 2 4 4 2" xfId="19451"/>
    <cellStyle name="Normal 2 3 2 2 2 4 5" xfId="19452"/>
    <cellStyle name="Normal 2 3 2 2 2 4 5 2" xfId="19453"/>
    <cellStyle name="Normal 2 3 2 2 2 4 6" xfId="19454"/>
    <cellStyle name="Normal 2 3 2 2 2 4 6 2" xfId="19455"/>
    <cellStyle name="Normal 2 3 2 2 2 4 7" xfId="19456"/>
    <cellStyle name="Normal 2 3 2 2 2 4 7 2" xfId="19457"/>
    <cellStyle name="Normal 2 3 2 2 2 4 8" xfId="19458"/>
    <cellStyle name="Normal 2 3 2 2 2 4 8 2" xfId="19459"/>
    <cellStyle name="Normal 2 3 2 2 2 4 9" xfId="19460"/>
    <cellStyle name="Normal 2 3 2 2 2 4 9 2" xfId="19461"/>
    <cellStyle name="Normal 2 3 2 2 2 5" xfId="19462"/>
    <cellStyle name="Normal 2 3 2 2 2 5 10" xfId="19463"/>
    <cellStyle name="Normal 2 3 2 2 2 5 10 2" xfId="19464"/>
    <cellStyle name="Normal 2 3 2 2 2 5 11" xfId="19465"/>
    <cellStyle name="Normal 2 3 2 2 2 5 11 2" xfId="19466"/>
    <cellStyle name="Normal 2 3 2 2 2 5 12" xfId="19467"/>
    <cellStyle name="Normal 2 3 2 2 2 5 12 2" xfId="19468"/>
    <cellStyle name="Normal 2 3 2 2 2 5 13" xfId="19469"/>
    <cellStyle name="Normal 2 3 2 2 2 5 2" xfId="19470"/>
    <cellStyle name="Normal 2 3 2 2 2 5 2 10" xfId="19471"/>
    <cellStyle name="Normal 2 3 2 2 2 5 2 10 2" xfId="19472"/>
    <cellStyle name="Normal 2 3 2 2 2 5 2 11" xfId="19473"/>
    <cellStyle name="Normal 2 3 2 2 2 5 2 11 2" xfId="19474"/>
    <cellStyle name="Normal 2 3 2 2 2 5 2 12" xfId="19475"/>
    <cellStyle name="Normal 2 3 2 2 2 5 2 2" xfId="19476"/>
    <cellStyle name="Normal 2 3 2 2 2 5 2 2 10" xfId="19477"/>
    <cellStyle name="Normal 2 3 2 2 2 5 2 2 10 2" xfId="19478"/>
    <cellStyle name="Normal 2 3 2 2 2 5 2 2 11" xfId="19479"/>
    <cellStyle name="Normal 2 3 2 2 2 5 2 2 2" xfId="19480"/>
    <cellStyle name="Normal 2 3 2 2 2 5 2 2 2 2" xfId="19481"/>
    <cellStyle name="Normal 2 3 2 2 2 5 2 2 3" xfId="19482"/>
    <cellStyle name="Normal 2 3 2 2 2 5 2 2 3 2" xfId="19483"/>
    <cellStyle name="Normal 2 3 2 2 2 5 2 2 4" xfId="19484"/>
    <cellStyle name="Normal 2 3 2 2 2 5 2 2 4 2" xfId="19485"/>
    <cellStyle name="Normal 2 3 2 2 2 5 2 2 5" xfId="19486"/>
    <cellStyle name="Normal 2 3 2 2 2 5 2 2 5 2" xfId="19487"/>
    <cellStyle name="Normal 2 3 2 2 2 5 2 2 6" xfId="19488"/>
    <cellStyle name="Normal 2 3 2 2 2 5 2 2 6 2" xfId="19489"/>
    <cellStyle name="Normal 2 3 2 2 2 5 2 2 7" xfId="19490"/>
    <cellStyle name="Normal 2 3 2 2 2 5 2 2 7 2" xfId="19491"/>
    <cellStyle name="Normal 2 3 2 2 2 5 2 2 8" xfId="19492"/>
    <cellStyle name="Normal 2 3 2 2 2 5 2 2 8 2" xfId="19493"/>
    <cellStyle name="Normal 2 3 2 2 2 5 2 2 9" xfId="19494"/>
    <cellStyle name="Normal 2 3 2 2 2 5 2 2 9 2" xfId="19495"/>
    <cellStyle name="Normal 2 3 2 2 2 5 2 3" xfId="19496"/>
    <cellStyle name="Normal 2 3 2 2 2 5 2 3 2" xfId="19497"/>
    <cellStyle name="Normal 2 3 2 2 2 5 2 4" xfId="19498"/>
    <cellStyle name="Normal 2 3 2 2 2 5 2 4 2" xfId="19499"/>
    <cellStyle name="Normal 2 3 2 2 2 5 2 5" xfId="19500"/>
    <cellStyle name="Normal 2 3 2 2 2 5 2 5 2" xfId="19501"/>
    <cellStyle name="Normal 2 3 2 2 2 5 2 6" xfId="19502"/>
    <cellStyle name="Normal 2 3 2 2 2 5 2 6 2" xfId="19503"/>
    <cellStyle name="Normal 2 3 2 2 2 5 2 7" xfId="19504"/>
    <cellStyle name="Normal 2 3 2 2 2 5 2 7 2" xfId="19505"/>
    <cellStyle name="Normal 2 3 2 2 2 5 2 8" xfId="19506"/>
    <cellStyle name="Normal 2 3 2 2 2 5 2 8 2" xfId="19507"/>
    <cellStyle name="Normal 2 3 2 2 2 5 2 9" xfId="19508"/>
    <cellStyle name="Normal 2 3 2 2 2 5 2 9 2" xfId="19509"/>
    <cellStyle name="Normal 2 3 2 2 2 5 3" xfId="19510"/>
    <cellStyle name="Normal 2 3 2 2 2 5 3 10" xfId="19511"/>
    <cellStyle name="Normal 2 3 2 2 2 5 3 10 2" xfId="19512"/>
    <cellStyle name="Normal 2 3 2 2 2 5 3 11" xfId="19513"/>
    <cellStyle name="Normal 2 3 2 2 2 5 3 2" xfId="19514"/>
    <cellStyle name="Normal 2 3 2 2 2 5 3 2 2" xfId="19515"/>
    <cellStyle name="Normal 2 3 2 2 2 5 3 3" xfId="19516"/>
    <cellStyle name="Normal 2 3 2 2 2 5 3 3 2" xfId="19517"/>
    <cellStyle name="Normal 2 3 2 2 2 5 3 4" xfId="19518"/>
    <cellStyle name="Normal 2 3 2 2 2 5 3 4 2" xfId="19519"/>
    <cellStyle name="Normal 2 3 2 2 2 5 3 5" xfId="19520"/>
    <cellStyle name="Normal 2 3 2 2 2 5 3 5 2" xfId="19521"/>
    <cellStyle name="Normal 2 3 2 2 2 5 3 6" xfId="19522"/>
    <cellStyle name="Normal 2 3 2 2 2 5 3 6 2" xfId="19523"/>
    <cellStyle name="Normal 2 3 2 2 2 5 3 7" xfId="19524"/>
    <cellStyle name="Normal 2 3 2 2 2 5 3 7 2" xfId="19525"/>
    <cellStyle name="Normal 2 3 2 2 2 5 3 8" xfId="19526"/>
    <cellStyle name="Normal 2 3 2 2 2 5 3 8 2" xfId="19527"/>
    <cellStyle name="Normal 2 3 2 2 2 5 3 9" xfId="19528"/>
    <cellStyle name="Normal 2 3 2 2 2 5 3 9 2" xfId="19529"/>
    <cellStyle name="Normal 2 3 2 2 2 5 4" xfId="19530"/>
    <cellStyle name="Normal 2 3 2 2 2 5 4 2" xfId="19531"/>
    <cellStyle name="Normal 2 3 2 2 2 5 5" xfId="19532"/>
    <cellStyle name="Normal 2 3 2 2 2 5 5 2" xfId="19533"/>
    <cellStyle name="Normal 2 3 2 2 2 5 6" xfId="19534"/>
    <cellStyle name="Normal 2 3 2 2 2 5 6 2" xfId="19535"/>
    <cellStyle name="Normal 2 3 2 2 2 5 7" xfId="19536"/>
    <cellStyle name="Normal 2 3 2 2 2 5 7 2" xfId="19537"/>
    <cellStyle name="Normal 2 3 2 2 2 5 8" xfId="19538"/>
    <cellStyle name="Normal 2 3 2 2 2 5 8 2" xfId="19539"/>
    <cellStyle name="Normal 2 3 2 2 2 5 9" xfId="19540"/>
    <cellStyle name="Normal 2 3 2 2 2 5 9 2" xfId="19541"/>
    <cellStyle name="Normal 2 3 2 2 2 6" xfId="19542"/>
    <cellStyle name="Normal 2 3 2 2 2 6 2" xfId="19543"/>
    <cellStyle name="Normal 2 3 2 2 2 6 2 10" xfId="19544"/>
    <cellStyle name="Normal 2 3 2 2 2 6 2 10 2" xfId="19545"/>
    <cellStyle name="Normal 2 3 2 2 2 6 2 11" xfId="19546"/>
    <cellStyle name="Normal 2 3 2 2 2 6 2 11 2" xfId="19547"/>
    <cellStyle name="Normal 2 3 2 2 2 6 2 12" xfId="19548"/>
    <cellStyle name="Normal 2 3 2 2 2 6 2 12 2" xfId="19549"/>
    <cellStyle name="Normal 2 3 2 2 2 6 2 13" xfId="19550"/>
    <cellStyle name="Normal 2 3 2 2 2 6 2 2" xfId="19551"/>
    <cellStyle name="Normal 2 3 2 2 2 6 2 2 10" xfId="19552"/>
    <cellStyle name="Normal 2 3 2 2 2 6 2 2 10 2" xfId="19553"/>
    <cellStyle name="Normal 2 3 2 2 2 6 2 2 11" xfId="19554"/>
    <cellStyle name="Normal 2 3 2 2 2 6 2 2 11 2" xfId="19555"/>
    <cellStyle name="Normal 2 3 2 2 2 6 2 2 12" xfId="19556"/>
    <cellStyle name="Normal 2 3 2 2 2 6 2 2 2" xfId="19557"/>
    <cellStyle name="Normal 2 3 2 2 2 6 2 2 2 10" xfId="19558"/>
    <cellStyle name="Normal 2 3 2 2 2 6 2 2 2 10 2" xfId="19559"/>
    <cellStyle name="Normal 2 3 2 2 2 6 2 2 2 11" xfId="19560"/>
    <cellStyle name="Normal 2 3 2 2 2 6 2 2 2 2" xfId="19561"/>
    <cellStyle name="Normal 2 3 2 2 2 6 2 2 2 2 2" xfId="19562"/>
    <cellStyle name="Normal 2 3 2 2 2 6 2 2 2 3" xfId="19563"/>
    <cellStyle name="Normal 2 3 2 2 2 6 2 2 2 3 2" xfId="19564"/>
    <cellStyle name="Normal 2 3 2 2 2 6 2 2 2 4" xfId="19565"/>
    <cellStyle name="Normal 2 3 2 2 2 6 2 2 2 4 2" xfId="19566"/>
    <cellStyle name="Normal 2 3 2 2 2 6 2 2 2 5" xfId="19567"/>
    <cellStyle name="Normal 2 3 2 2 2 6 2 2 2 5 2" xfId="19568"/>
    <cellStyle name="Normal 2 3 2 2 2 6 2 2 2 6" xfId="19569"/>
    <cellStyle name="Normal 2 3 2 2 2 6 2 2 2 6 2" xfId="19570"/>
    <cellStyle name="Normal 2 3 2 2 2 6 2 2 2 7" xfId="19571"/>
    <cellStyle name="Normal 2 3 2 2 2 6 2 2 2 7 2" xfId="19572"/>
    <cellStyle name="Normal 2 3 2 2 2 6 2 2 2 8" xfId="19573"/>
    <cellStyle name="Normal 2 3 2 2 2 6 2 2 2 8 2" xfId="19574"/>
    <cellStyle name="Normal 2 3 2 2 2 6 2 2 2 9" xfId="19575"/>
    <cellStyle name="Normal 2 3 2 2 2 6 2 2 2 9 2" xfId="19576"/>
    <cellStyle name="Normal 2 3 2 2 2 6 2 2 3" xfId="19577"/>
    <cellStyle name="Normal 2 3 2 2 2 6 2 2 3 2" xfId="19578"/>
    <cellStyle name="Normal 2 3 2 2 2 6 2 2 4" xfId="19579"/>
    <cellStyle name="Normal 2 3 2 2 2 6 2 2 4 2" xfId="19580"/>
    <cellStyle name="Normal 2 3 2 2 2 6 2 2 5" xfId="19581"/>
    <cellStyle name="Normal 2 3 2 2 2 6 2 2 5 2" xfId="19582"/>
    <cellStyle name="Normal 2 3 2 2 2 6 2 2 6" xfId="19583"/>
    <cellStyle name="Normal 2 3 2 2 2 6 2 2 6 2" xfId="19584"/>
    <cellStyle name="Normal 2 3 2 2 2 6 2 2 7" xfId="19585"/>
    <cellStyle name="Normal 2 3 2 2 2 6 2 2 7 2" xfId="19586"/>
    <cellStyle name="Normal 2 3 2 2 2 6 2 2 8" xfId="19587"/>
    <cellStyle name="Normal 2 3 2 2 2 6 2 2 8 2" xfId="19588"/>
    <cellStyle name="Normal 2 3 2 2 2 6 2 2 9" xfId="19589"/>
    <cellStyle name="Normal 2 3 2 2 2 6 2 2 9 2" xfId="19590"/>
    <cellStyle name="Normal 2 3 2 2 2 6 2 3" xfId="19591"/>
    <cellStyle name="Normal 2 3 2 2 2 6 2 3 10" xfId="19592"/>
    <cellStyle name="Normal 2 3 2 2 2 6 2 3 10 2" xfId="19593"/>
    <cellStyle name="Normal 2 3 2 2 2 6 2 3 11" xfId="19594"/>
    <cellStyle name="Normal 2 3 2 2 2 6 2 3 2" xfId="19595"/>
    <cellStyle name="Normal 2 3 2 2 2 6 2 3 2 2" xfId="19596"/>
    <cellStyle name="Normal 2 3 2 2 2 6 2 3 3" xfId="19597"/>
    <cellStyle name="Normal 2 3 2 2 2 6 2 3 3 2" xfId="19598"/>
    <cellStyle name="Normal 2 3 2 2 2 6 2 3 4" xfId="19599"/>
    <cellStyle name="Normal 2 3 2 2 2 6 2 3 4 2" xfId="19600"/>
    <cellStyle name="Normal 2 3 2 2 2 6 2 3 5" xfId="19601"/>
    <cellStyle name="Normal 2 3 2 2 2 6 2 3 5 2" xfId="19602"/>
    <cellStyle name="Normal 2 3 2 2 2 6 2 3 6" xfId="19603"/>
    <cellStyle name="Normal 2 3 2 2 2 6 2 3 6 2" xfId="19604"/>
    <cellStyle name="Normal 2 3 2 2 2 6 2 3 7" xfId="19605"/>
    <cellStyle name="Normal 2 3 2 2 2 6 2 3 7 2" xfId="19606"/>
    <cellStyle name="Normal 2 3 2 2 2 6 2 3 8" xfId="19607"/>
    <cellStyle name="Normal 2 3 2 2 2 6 2 3 8 2" xfId="19608"/>
    <cellStyle name="Normal 2 3 2 2 2 6 2 3 9" xfId="19609"/>
    <cellStyle name="Normal 2 3 2 2 2 6 2 3 9 2" xfId="19610"/>
    <cellStyle name="Normal 2 3 2 2 2 6 2 4" xfId="19611"/>
    <cellStyle name="Normal 2 3 2 2 2 6 2 4 2" xfId="19612"/>
    <cellStyle name="Normal 2 3 2 2 2 6 2 5" xfId="19613"/>
    <cellStyle name="Normal 2 3 2 2 2 6 2 5 2" xfId="19614"/>
    <cellStyle name="Normal 2 3 2 2 2 6 2 6" xfId="19615"/>
    <cellStyle name="Normal 2 3 2 2 2 6 2 6 2" xfId="19616"/>
    <cellStyle name="Normal 2 3 2 2 2 6 2 7" xfId="19617"/>
    <cellStyle name="Normal 2 3 2 2 2 6 2 7 2" xfId="19618"/>
    <cellStyle name="Normal 2 3 2 2 2 6 2 8" xfId="19619"/>
    <cellStyle name="Normal 2 3 2 2 2 6 2 8 2" xfId="19620"/>
    <cellStyle name="Normal 2 3 2 2 2 6 2 9" xfId="19621"/>
    <cellStyle name="Normal 2 3 2 2 2 6 2 9 2" xfId="19622"/>
    <cellStyle name="Normal 2 3 2 2 2 6 3" xfId="19623"/>
    <cellStyle name="Normal 2 3 2 2 2 6 3 10" xfId="19624"/>
    <cellStyle name="Normal 2 3 2 2 2 6 3 10 2" xfId="19625"/>
    <cellStyle name="Normal 2 3 2 2 2 6 3 11" xfId="19626"/>
    <cellStyle name="Normal 2 3 2 2 2 6 3 11 2" xfId="19627"/>
    <cellStyle name="Normal 2 3 2 2 2 6 3 12" xfId="19628"/>
    <cellStyle name="Normal 2 3 2 2 2 6 3 12 2" xfId="19629"/>
    <cellStyle name="Normal 2 3 2 2 2 6 3 13" xfId="19630"/>
    <cellStyle name="Normal 2 3 2 2 2 6 3 2" xfId="19631"/>
    <cellStyle name="Normal 2 3 2 2 2 6 3 2 10" xfId="19632"/>
    <cellStyle name="Normal 2 3 2 2 2 6 3 2 10 2" xfId="19633"/>
    <cellStyle name="Normal 2 3 2 2 2 6 3 2 11" xfId="19634"/>
    <cellStyle name="Normal 2 3 2 2 2 6 3 2 11 2" xfId="19635"/>
    <cellStyle name="Normal 2 3 2 2 2 6 3 2 12" xfId="19636"/>
    <cellStyle name="Normal 2 3 2 2 2 6 3 2 2" xfId="19637"/>
    <cellStyle name="Normal 2 3 2 2 2 6 3 2 2 10" xfId="19638"/>
    <cellStyle name="Normal 2 3 2 2 2 6 3 2 2 10 2" xfId="19639"/>
    <cellStyle name="Normal 2 3 2 2 2 6 3 2 2 11" xfId="19640"/>
    <cellStyle name="Normal 2 3 2 2 2 6 3 2 2 2" xfId="19641"/>
    <cellStyle name="Normal 2 3 2 2 2 6 3 2 2 2 2" xfId="19642"/>
    <cellStyle name="Normal 2 3 2 2 2 6 3 2 2 3" xfId="19643"/>
    <cellStyle name="Normal 2 3 2 2 2 6 3 2 2 3 2" xfId="19644"/>
    <cellStyle name="Normal 2 3 2 2 2 6 3 2 2 4" xfId="19645"/>
    <cellStyle name="Normal 2 3 2 2 2 6 3 2 2 4 2" xfId="19646"/>
    <cellStyle name="Normal 2 3 2 2 2 6 3 2 2 5" xfId="19647"/>
    <cellStyle name="Normal 2 3 2 2 2 6 3 2 2 5 2" xfId="19648"/>
    <cellStyle name="Normal 2 3 2 2 2 6 3 2 2 6" xfId="19649"/>
    <cellStyle name="Normal 2 3 2 2 2 6 3 2 2 6 2" xfId="19650"/>
    <cellStyle name="Normal 2 3 2 2 2 6 3 2 2 7" xfId="19651"/>
    <cellStyle name="Normal 2 3 2 2 2 6 3 2 2 7 2" xfId="19652"/>
    <cellStyle name="Normal 2 3 2 2 2 6 3 2 2 8" xfId="19653"/>
    <cellStyle name="Normal 2 3 2 2 2 6 3 2 2 8 2" xfId="19654"/>
    <cellStyle name="Normal 2 3 2 2 2 6 3 2 2 9" xfId="19655"/>
    <cellStyle name="Normal 2 3 2 2 2 6 3 2 2 9 2" xfId="19656"/>
    <cellStyle name="Normal 2 3 2 2 2 6 3 2 3" xfId="19657"/>
    <cellStyle name="Normal 2 3 2 2 2 6 3 2 3 2" xfId="19658"/>
    <cellStyle name="Normal 2 3 2 2 2 6 3 2 4" xfId="19659"/>
    <cellStyle name="Normal 2 3 2 2 2 6 3 2 4 2" xfId="19660"/>
    <cellStyle name="Normal 2 3 2 2 2 6 3 2 5" xfId="19661"/>
    <cellStyle name="Normal 2 3 2 2 2 6 3 2 5 2" xfId="19662"/>
    <cellStyle name="Normal 2 3 2 2 2 6 3 2 6" xfId="19663"/>
    <cellStyle name="Normal 2 3 2 2 2 6 3 2 6 2" xfId="19664"/>
    <cellStyle name="Normal 2 3 2 2 2 6 3 2 7" xfId="19665"/>
    <cellStyle name="Normal 2 3 2 2 2 6 3 2 7 2" xfId="19666"/>
    <cellStyle name="Normal 2 3 2 2 2 6 3 2 8" xfId="19667"/>
    <cellStyle name="Normal 2 3 2 2 2 6 3 2 8 2" xfId="19668"/>
    <cellStyle name="Normal 2 3 2 2 2 6 3 2 9" xfId="19669"/>
    <cellStyle name="Normal 2 3 2 2 2 6 3 2 9 2" xfId="19670"/>
    <cellStyle name="Normal 2 3 2 2 2 6 3 3" xfId="19671"/>
    <cellStyle name="Normal 2 3 2 2 2 6 3 3 10" xfId="19672"/>
    <cellStyle name="Normal 2 3 2 2 2 6 3 3 10 2" xfId="19673"/>
    <cellStyle name="Normal 2 3 2 2 2 6 3 3 11" xfId="19674"/>
    <cellStyle name="Normal 2 3 2 2 2 6 3 3 2" xfId="19675"/>
    <cellStyle name="Normal 2 3 2 2 2 6 3 3 2 2" xfId="19676"/>
    <cellStyle name="Normal 2 3 2 2 2 6 3 3 3" xfId="19677"/>
    <cellStyle name="Normal 2 3 2 2 2 6 3 3 3 2" xfId="19678"/>
    <cellStyle name="Normal 2 3 2 2 2 6 3 3 4" xfId="19679"/>
    <cellStyle name="Normal 2 3 2 2 2 6 3 3 4 2" xfId="19680"/>
    <cellStyle name="Normal 2 3 2 2 2 6 3 3 5" xfId="19681"/>
    <cellStyle name="Normal 2 3 2 2 2 6 3 3 5 2" xfId="19682"/>
    <cellStyle name="Normal 2 3 2 2 2 6 3 3 6" xfId="19683"/>
    <cellStyle name="Normal 2 3 2 2 2 6 3 3 6 2" xfId="19684"/>
    <cellStyle name="Normal 2 3 2 2 2 6 3 3 7" xfId="19685"/>
    <cellStyle name="Normal 2 3 2 2 2 6 3 3 7 2" xfId="19686"/>
    <cellStyle name="Normal 2 3 2 2 2 6 3 3 8" xfId="19687"/>
    <cellStyle name="Normal 2 3 2 2 2 6 3 3 8 2" xfId="19688"/>
    <cellStyle name="Normal 2 3 2 2 2 6 3 3 9" xfId="19689"/>
    <cellStyle name="Normal 2 3 2 2 2 6 3 3 9 2" xfId="19690"/>
    <cellStyle name="Normal 2 3 2 2 2 6 3 4" xfId="19691"/>
    <cellStyle name="Normal 2 3 2 2 2 6 3 4 2" xfId="19692"/>
    <cellStyle name="Normal 2 3 2 2 2 6 3 5" xfId="19693"/>
    <cellStyle name="Normal 2 3 2 2 2 6 3 5 2" xfId="19694"/>
    <cellStyle name="Normal 2 3 2 2 2 6 3 6" xfId="19695"/>
    <cellStyle name="Normal 2 3 2 2 2 6 3 6 2" xfId="19696"/>
    <cellStyle name="Normal 2 3 2 2 2 6 3 7" xfId="19697"/>
    <cellStyle name="Normal 2 3 2 2 2 6 3 7 2" xfId="19698"/>
    <cellStyle name="Normal 2 3 2 2 2 6 3 8" xfId="19699"/>
    <cellStyle name="Normal 2 3 2 2 2 6 3 8 2" xfId="19700"/>
    <cellStyle name="Normal 2 3 2 2 2 6 3 9" xfId="19701"/>
    <cellStyle name="Normal 2 3 2 2 2 6 3 9 2" xfId="19702"/>
    <cellStyle name="Normal 2 3 2 2 2 6 4" xfId="19703"/>
    <cellStyle name="Normal 2 3 2 2 2 6 4 10" xfId="19704"/>
    <cellStyle name="Normal 2 3 2 2 2 6 4 10 2" xfId="19705"/>
    <cellStyle name="Normal 2 3 2 2 2 6 4 11" xfId="19706"/>
    <cellStyle name="Normal 2 3 2 2 2 6 4 11 2" xfId="19707"/>
    <cellStyle name="Normal 2 3 2 2 2 6 4 12" xfId="19708"/>
    <cellStyle name="Normal 2 3 2 2 2 6 4 12 2" xfId="19709"/>
    <cellStyle name="Normal 2 3 2 2 2 6 4 13" xfId="19710"/>
    <cellStyle name="Normal 2 3 2 2 2 6 4 2" xfId="19711"/>
    <cellStyle name="Normal 2 3 2 2 2 6 4 2 10" xfId="19712"/>
    <cellStyle name="Normal 2 3 2 2 2 6 4 2 10 2" xfId="19713"/>
    <cellStyle name="Normal 2 3 2 2 2 6 4 2 11" xfId="19714"/>
    <cellStyle name="Normal 2 3 2 2 2 6 4 2 11 2" xfId="19715"/>
    <cellStyle name="Normal 2 3 2 2 2 6 4 2 12" xfId="19716"/>
    <cellStyle name="Normal 2 3 2 2 2 6 4 2 2" xfId="19717"/>
    <cellStyle name="Normal 2 3 2 2 2 6 4 2 2 10" xfId="19718"/>
    <cellStyle name="Normal 2 3 2 2 2 6 4 2 2 10 2" xfId="19719"/>
    <cellStyle name="Normal 2 3 2 2 2 6 4 2 2 11" xfId="19720"/>
    <cellStyle name="Normal 2 3 2 2 2 6 4 2 2 2" xfId="19721"/>
    <cellStyle name="Normal 2 3 2 2 2 6 4 2 2 2 2" xfId="19722"/>
    <cellStyle name="Normal 2 3 2 2 2 6 4 2 2 3" xfId="19723"/>
    <cellStyle name="Normal 2 3 2 2 2 6 4 2 2 3 2" xfId="19724"/>
    <cellStyle name="Normal 2 3 2 2 2 6 4 2 2 4" xfId="19725"/>
    <cellStyle name="Normal 2 3 2 2 2 6 4 2 2 4 2" xfId="19726"/>
    <cellStyle name="Normal 2 3 2 2 2 6 4 2 2 5" xfId="19727"/>
    <cellStyle name="Normal 2 3 2 2 2 6 4 2 2 5 2" xfId="19728"/>
    <cellStyle name="Normal 2 3 2 2 2 6 4 2 2 6" xfId="19729"/>
    <cellStyle name="Normal 2 3 2 2 2 6 4 2 2 6 2" xfId="19730"/>
    <cellStyle name="Normal 2 3 2 2 2 6 4 2 2 7" xfId="19731"/>
    <cellStyle name="Normal 2 3 2 2 2 6 4 2 2 7 2" xfId="19732"/>
    <cellStyle name="Normal 2 3 2 2 2 6 4 2 2 8" xfId="19733"/>
    <cellStyle name="Normal 2 3 2 2 2 6 4 2 2 8 2" xfId="19734"/>
    <cellStyle name="Normal 2 3 2 2 2 6 4 2 2 9" xfId="19735"/>
    <cellStyle name="Normal 2 3 2 2 2 6 4 2 2 9 2" xfId="19736"/>
    <cellStyle name="Normal 2 3 2 2 2 6 4 2 3" xfId="19737"/>
    <cellStyle name="Normal 2 3 2 2 2 6 4 2 3 2" xfId="19738"/>
    <cellStyle name="Normal 2 3 2 2 2 6 4 2 4" xfId="19739"/>
    <cellStyle name="Normal 2 3 2 2 2 6 4 2 4 2" xfId="19740"/>
    <cellStyle name="Normal 2 3 2 2 2 6 4 2 5" xfId="19741"/>
    <cellStyle name="Normal 2 3 2 2 2 6 4 2 5 2" xfId="19742"/>
    <cellStyle name="Normal 2 3 2 2 2 6 4 2 6" xfId="19743"/>
    <cellStyle name="Normal 2 3 2 2 2 6 4 2 6 2" xfId="19744"/>
    <cellStyle name="Normal 2 3 2 2 2 6 4 2 7" xfId="19745"/>
    <cellStyle name="Normal 2 3 2 2 2 6 4 2 7 2" xfId="19746"/>
    <cellStyle name="Normal 2 3 2 2 2 6 4 2 8" xfId="19747"/>
    <cellStyle name="Normal 2 3 2 2 2 6 4 2 8 2" xfId="19748"/>
    <cellStyle name="Normal 2 3 2 2 2 6 4 2 9" xfId="19749"/>
    <cellStyle name="Normal 2 3 2 2 2 6 4 2 9 2" xfId="19750"/>
    <cellStyle name="Normal 2 3 2 2 2 6 4 3" xfId="19751"/>
    <cellStyle name="Normal 2 3 2 2 2 6 4 3 10" xfId="19752"/>
    <cellStyle name="Normal 2 3 2 2 2 6 4 3 10 2" xfId="19753"/>
    <cellStyle name="Normal 2 3 2 2 2 6 4 3 11" xfId="19754"/>
    <cellStyle name="Normal 2 3 2 2 2 6 4 3 2" xfId="19755"/>
    <cellStyle name="Normal 2 3 2 2 2 6 4 3 2 2" xfId="19756"/>
    <cellStyle name="Normal 2 3 2 2 2 6 4 3 3" xfId="19757"/>
    <cellStyle name="Normal 2 3 2 2 2 6 4 3 3 2" xfId="19758"/>
    <cellStyle name="Normal 2 3 2 2 2 6 4 3 4" xfId="19759"/>
    <cellStyle name="Normal 2 3 2 2 2 6 4 3 4 2" xfId="19760"/>
    <cellStyle name="Normal 2 3 2 2 2 6 4 3 5" xfId="19761"/>
    <cellStyle name="Normal 2 3 2 2 2 6 4 3 5 2" xfId="19762"/>
    <cellStyle name="Normal 2 3 2 2 2 6 4 3 6" xfId="19763"/>
    <cellStyle name="Normal 2 3 2 2 2 6 4 3 6 2" xfId="19764"/>
    <cellStyle name="Normal 2 3 2 2 2 6 4 3 7" xfId="19765"/>
    <cellStyle name="Normal 2 3 2 2 2 6 4 3 7 2" xfId="19766"/>
    <cellStyle name="Normal 2 3 2 2 2 6 4 3 8" xfId="19767"/>
    <cellStyle name="Normal 2 3 2 2 2 6 4 3 8 2" xfId="19768"/>
    <cellStyle name="Normal 2 3 2 2 2 6 4 3 9" xfId="19769"/>
    <cellStyle name="Normal 2 3 2 2 2 6 4 3 9 2" xfId="19770"/>
    <cellStyle name="Normal 2 3 2 2 2 6 4 4" xfId="19771"/>
    <cellStyle name="Normal 2 3 2 2 2 6 4 4 2" xfId="19772"/>
    <cellStyle name="Normal 2 3 2 2 2 6 4 5" xfId="19773"/>
    <cellStyle name="Normal 2 3 2 2 2 6 4 5 2" xfId="19774"/>
    <cellStyle name="Normal 2 3 2 2 2 6 4 6" xfId="19775"/>
    <cellStyle name="Normal 2 3 2 2 2 6 4 6 2" xfId="19776"/>
    <cellStyle name="Normal 2 3 2 2 2 6 4 7" xfId="19777"/>
    <cellStyle name="Normal 2 3 2 2 2 6 4 7 2" xfId="19778"/>
    <cellStyle name="Normal 2 3 2 2 2 6 4 8" xfId="19779"/>
    <cellStyle name="Normal 2 3 2 2 2 6 4 8 2" xfId="19780"/>
    <cellStyle name="Normal 2 3 2 2 2 6 4 9" xfId="19781"/>
    <cellStyle name="Normal 2 3 2 2 2 6 4 9 2" xfId="19782"/>
    <cellStyle name="Normal 2 3 2 2 2 6 5" xfId="19783"/>
    <cellStyle name="Normal 2 3 2 2 2 6 5 10" xfId="19784"/>
    <cellStyle name="Normal 2 3 2 2 2 6 5 10 2" xfId="19785"/>
    <cellStyle name="Normal 2 3 2 2 2 6 5 11" xfId="19786"/>
    <cellStyle name="Normal 2 3 2 2 2 6 5 11 2" xfId="19787"/>
    <cellStyle name="Normal 2 3 2 2 2 6 5 12" xfId="19788"/>
    <cellStyle name="Normal 2 3 2 2 2 6 5 12 2" xfId="19789"/>
    <cellStyle name="Normal 2 3 2 2 2 6 5 13" xfId="19790"/>
    <cellStyle name="Normal 2 3 2 2 2 6 5 2" xfId="19791"/>
    <cellStyle name="Normal 2 3 2 2 2 6 5 2 10" xfId="19792"/>
    <cellStyle name="Normal 2 3 2 2 2 6 5 2 10 2" xfId="19793"/>
    <cellStyle name="Normal 2 3 2 2 2 6 5 2 11" xfId="19794"/>
    <cellStyle name="Normal 2 3 2 2 2 6 5 2 11 2" xfId="19795"/>
    <cellStyle name="Normal 2 3 2 2 2 6 5 2 12" xfId="19796"/>
    <cellStyle name="Normal 2 3 2 2 2 6 5 2 2" xfId="19797"/>
    <cellStyle name="Normal 2 3 2 2 2 6 5 2 2 10" xfId="19798"/>
    <cellStyle name="Normal 2 3 2 2 2 6 5 2 2 10 2" xfId="19799"/>
    <cellStyle name="Normal 2 3 2 2 2 6 5 2 2 11" xfId="19800"/>
    <cellStyle name="Normal 2 3 2 2 2 6 5 2 2 2" xfId="19801"/>
    <cellStyle name="Normal 2 3 2 2 2 6 5 2 2 2 2" xfId="19802"/>
    <cellStyle name="Normal 2 3 2 2 2 6 5 2 2 3" xfId="19803"/>
    <cellStyle name="Normal 2 3 2 2 2 6 5 2 2 3 2" xfId="19804"/>
    <cellStyle name="Normal 2 3 2 2 2 6 5 2 2 4" xfId="19805"/>
    <cellStyle name="Normal 2 3 2 2 2 6 5 2 2 4 2" xfId="19806"/>
    <cellStyle name="Normal 2 3 2 2 2 6 5 2 2 5" xfId="19807"/>
    <cellStyle name="Normal 2 3 2 2 2 6 5 2 2 5 2" xfId="19808"/>
    <cellStyle name="Normal 2 3 2 2 2 6 5 2 2 6" xfId="19809"/>
    <cellStyle name="Normal 2 3 2 2 2 6 5 2 2 6 2" xfId="19810"/>
    <cellStyle name="Normal 2 3 2 2 2 6 5 2 2 7" xfId="19811"/>
    <cellStyle name="Normal 2 3 2 2 2 6 5 2 2 7 2" xfId="19812"/>
    <cellStyle name="Normal 2 3 2 2 2 6 5 2 2 8" xfId="19813"/>
    <cellStyle name="Normal 2 3 2 2 2 6 5 2 2 8 2" xfId="19814"/>
    <cellStyle name="Normal 2 3 2 2 2 6 5 2 2 9" xfId="19815"/>
    <cellStyle name="Normal 2 3 2 2 2 6 5 2 2 9 2" xfId="19816"/>
    <cellStyle name="Normal 2 3 2 2 2 6 5 2 3" xfId="19817"/>
    <cellStyle name="Normal 2 3 2 2 2 6 5 2 3 2" xfId="19818"/>
    <cellStyle name="Normal 2 3 2 2 2 6 5 2 4" xfId="19819"/>
    <cellStyle name="Normal 2 3 2 2 2 6 5 2 4 2" xfId="19820"/>
    <cellStyle name="Normal 2 3 2 2 2 6 5 2 5" xfId="19821"/>
    <cellStyle name="Normal 2 3 2 2 2 6 5 2 5 2" xfId="19822"/>
    <cellStyle name="Normal 2 3 2 2 2 6 5 2 6" xfId="19823"/>
    <cellStyle name="Normal 2 3 2 2 2 6 5 2 6 2" xfId="19824"/>
    <cellStyle name="Normal 2 3 2 2 2 6 5 2 7" xfId="19825"/>
    <cellStyle name="Normal 2 3 2 2 2 6 5 2 7 2" xfId="19826"/>
    <cellStyle name="Normal 2 3 2 2 2 6 5 2 8" xfId="19827"/>
    <cellStyle name="Normal 2 3 2 2 2 6 5 2 8 2" xfId="19828"/>
    <cellStyle name="Normal 2 3 2 2 2 6 5 2 9" xfId="19829"/>
    <cellStyle name="Normal 2 3 2 2 2 6 5 2 9 2" xfId="19830"/>
    <cellStyle name="Normal 2 3 2 2 2 6 5 3" xfId="19831"/>
    <cellStyle name="Normal 2 3 2 2 2 6 5 3 10" xfId="19832"/>
    <cellStyle name="Normal 2 3 2 2 2 6 5 3 10 2" xfId="19833"/>
    <cellStyle name="Normal 2 3 2 2 2 6 5 3 11" xfId="19834"/>
    <cellStyle name="Normal 2 3 2 2 2 6 5 3 2" xfId="19835"/>
    <cellStyle name="Normal 2 3 2 2 2 6 5 3 2 2" xfId="19836"/>
    <cellStyle name="Normal 2 3 2 2 2 6 5 3 3" xfId="19837"/>
    <cellStyle name="Normal 2 3 2 2 2 6 5 3 3 2" xfId="19838"/>
    <cellStyle name="Normal 2 3 2 2 2 6 5 3 4" xfId="19839"/>
    <cellStyle name="Normal 2 3 2 2 2 6 5 3 4 2" xfId="19840"/>
    <cellStyle name="Normal 2 3 2 2 2 6 5 3 5" xfId="19841"/>
    <cellStyle name="Normal 2 3 2 2 2 6 5 3 5 2" xfId="19842"/>
    <cellStyle name="Normal 2 3 2 2 2 6 5 3 6" xfId="19843"/>
    <cellStyle name="Normal 2 3 2 2 2 6 5 3 6 2" xfId="19844"/>
    <cellStyle name="Normal 2 3 2 2 2 6 5 3 7" xfId="19845"/>
    <cellStyle name="Normal 2 3 2 2 2 6 5 3 7 2" xfId="19846"/>
    <cellStyle name="Normal 2 3 2 2 2 6 5 3 8" xfId="19847"/>
    <cellStyle name="Normal 2 3 2 2 2 6 5 3 8 2" xfId="19848"/>
    <cellStyle name="Normal 2 3 2 2 2 6 5 3 9" xfId="19849"/>
    <cellStyle name="Normal 2 3 2 2 2 6 5 3 9 2" xfId="19850"/>
    <cellStyle name="Normal 2 3 2 2 2 6 5 4" xfId="19851"/>
    <cellStyle name="Normal 2 3 2 2 2 6 5 4 2" xfId="19852"/>
    <cellStyle name="Normal 2 3 2 2 2 6 5 5" xfId="19853"/>
    <cellStyle name="Normal 2 3 2 2 2 6 5 5 2" xfId="19854"/>
    <cellStyle name="Normal 2 3 2 2 2 6 5 6" xfId="19855"/>
    <cellStyle name="Normal 2 3 2 2 2 6 5 6 2" xfId="19856"/>
    <cellStyle name="Normal 2 3 2 2 2 6 5 7" xfId="19857"/>
    <cellStyle name="Normal 2 3 2 2 2 6 5 7 2" xfId="19858"/>
    <cellStyle name="Normal 2 3 2 2 2 6 5 8" xfId="19859"/>
    <cellStyle name="Normal 2 3 2 2 2 6 5 8 2" xfId="19860"/>
    <cellStyle name="Normal 2 3 2 2 2 6 5 9" xfId="19861"/>
    <cellStyle name="Normal 2 3 2 2 2 6 5 9 2" xfId="19862"/>
    <cellStyle name="Normal 2 3 2 2 2 6 6" xfId="19863"/>
    <cellStyle name="Normal 2 3 2 2 2 7" xfId="19864"/>
    <cellStyle name="Normal 2 3 2 2 2 7 2" xfId="19865"/>
    <cellStyle name="Normal 2 3 2 2 2 8" xfId="19866"/>
    <cellStyle name="Normal 2 3 2 2 2 8 2" xfId="19867"/>
    <cellStyle name="Normal 2 3 2 2 2 9" xfId="19868"/>
    <cellStyle name="Normal 2 3 2 2 2 9 2" xfId="19869"/>
    <cellStyle name="Normal 2 3 2 2 3" xfId="19870"/>
    <cellStyle name="Normal 2 3 2 2 3 10" xfId="19871"/>
    <cellStyle name="Normal 2 3 2 2 3 10 2" xfId="19872"/>
    <cellStyle name="Normal 2 3 2 2 3 11" xfId="19873"/>
    <cellStyle name="Normal 2 3 2 2 3 11 2" xfId="19874"/>
    <cellStyle name="Normal 2 3 2 2 3 12" xfId="19875"/>
    <cellStyle name="Normal 2 3 2 2 3 12 2" xfId="19876"/>
    <cellStyle name="Normal 2 3 2 2 3 13" xfId="19877"/>
    <cellStyle name="Normal 2 3 2 2 3 13 2" xfId="19878"/>
    <cellStyle name="Normal 2 3 2 2 3 14" xfId="19879"/>
    <cellStyle name="Normal 2 3 2 2 3 14 2" xfId="19880"/>
    <cellStyle name="Normal 2 3 2 2 3 15" xfId="19881"/>
    <cellStyle name="Normal 2 3 2 2 3 15 2" xfId="19882"/>
    <cellStyle name="Normal 2 3 2 2 3 16" xfId="19883"/>
    <cellStyle name="Normal 2 3 2 2 3 16 2" xfId="19884"/>
    <cellStyle name="Normal 2 3 2 2 3 17" xfId="19885"/>
    <cellStyle name="Normal 2 3 2 2 3 17 2" xfId="19886"/>
    <cellStyle name="Normal 2 3 2 2 3 18" xfId="19887"/>
    <cellStyle name="Normal 2 3 2 2 3 2" xfId="19888"/>
    <cellStyle name="Normal 2 3 2 2 3 2 2" xfId="19889"/>
    <cellStyle name="Normal 2 3 2 2 3 2 2 10" xfId="19890"/>
    <cellStyle name="Normal 2 3 2 2 3 2 2 10 2" xfId="19891"/>
    <cellStyle name="Normal 2 3 2 2 3 2 2 11" xfId="19892"/>
    <cellStyle name="Normal 2 3 2 2 3 2 2 11 2" xfId="19893"/>
    <cellStyle name="Normal 2 3 2 2 3 2 2 12" xfId="19894"/>
    <cellStyle name="Normal 2 3 2 2 3 2 2 12 2" xfId="19895"/>
    <cellStyle name="Normal 2 3 2 2 3 2 2 13" xfId="19896"/>
    <cellStyle name="Normal 2 3 2 2 3 2 2 13 2" xfId="19897"/>
    <cellStyle name="Normal 2 3 2 2 3 2 2 14" xfId="19898"/>
    <cellStyle name="Normal 2 3 2 2 3 2 2 14 2" xfId="19899"/>
    <cellStyle name="Normal 2 3 2 2 3 2 2 15" xfId="19900"/>
    <cellStyle name="Normal 2 3 2 2 3 2 2 15 2" xfId="19901"/>
    <cellStyle name="Normal 2 3 2 2 3 2 2 16" xfId="19902"/>
    <cellStyle name="Normal 2 3 2 2 3 2 2 16 2" xfId="19903"/>
    <cellStyle name="Normal 2 3 2 2 3 2 2 17" xfId="19904"/>
    <cellStyle name="Normal 2 3 2 2 3 2 2 2" xfId="19905"/>
    <cellStyle name="Normal 2 3 2 2 3 2 2 2 2" xfId="19906"/>
    <cellStyle name="Normal 2 3 2 2 3 2 2 3" xfId="19907"/>
    <cellStyle name="Normal 2 3 2 2 3 2 2 3 2" xfId="19908"/>
    <cellStyle name="Normal 2 3 2 2 3 2 2 4" xfId="19909"/>
    <cellStyle name="Normal 2 3 2 2 3 2 2 4 2" xfId="19910"/>
    <cellStyle name="Normal 2 3 2 2 3 2 2 5" xfId="19911"/>
    <cellStyle name="Normal 2 3 2 2 3 2 2 5 2" xfId="19912"/>
    <cellStyle name="Normal 2 3 2 2 3 2 2 6" xfId="19913"/>
    <cellStyle name="Normal 2 3 2 2 3 2 2 6 10" xfId="19914"/>
    <cellStyle name="Normal 2 3 2 2 3 2 2 6 10 2" xfId="19915"/>
    <cellStyle name="Normal 2 3 2 2 3 2 2 6 11" xfId="19916"/>
    <cellStyle name="Normal 2 3 2 2 3 2 2 6 11 2" xfId="19917"/>
    <cellStyle name="Normal 2 3 2 2 3 2 2 6 12" xfId="19918"/>
    <cellStyle name="Normal 2 3 2 2 3 2 2 6 2" xfId="19919"/>
    <cellStyle name="Normal 2 3 2 2 3 2 2 6 2 10" xfId="19920"/>
    <cellStyle name="Normal 2 3 2 2 3 2 2 6 2 10 2" xfId="19921"/>
    <cellStyle name="Normal 2 3 2 2 3 2 2 6 2 11" xfId="19922"/>
    <cellStyle name="Normal 2 3 2 2 3 2 2 6 2 2" xfId="19923"/>
    <cellStyle name="Normal 2 3 2 2 3 2 2 6 2 2 2" xfId="19924"/>
    <cellStyle name="Normal 2 3 2 2 3 2 2 6 2 3" xfId="19925"/>
    <cellStyle name="Normal 2 3 2 2 3 2 2 6 2 3 2" xfId="19926"/>
    <cellStyle name="Normal 2 3 2 2 3 2 2 6 2 4" xfId="19927"/>
    <cellStyle name="Normal 2 3 2 2 3 2 2 6 2 4 2" xfId="19928"/>
    <cellStyle name="Normal 2 3 2 2 3 2 2 6 2 5" xfId="19929"/>
    <cellStyle name="Normal 2 3 2 2 3 2 2 6 2 5 2" xfId="19930"/>
    <cellStyle name="Normal 2 3 2 2 3 2 2 6 2 6" xfId="19931"/>
    <cellStyle name="Normal 2 3 2 2 3 2 2 6 2 6 2" xfId="19932"/>
    <cellStyle name="Normal 2 3 2 2 3 2 2 6 2 7" xfId="19933"/>
    <cellStyle name="Normal 2 3 2 2 3 2 2 6 2 7 2" xfId="19934"/>
    <cellStyle name="Normal 2 3 2 2 3 2 2 6 2 8" xfId="19935"/>
    <cellStyle name="Normal 2 3 2 2 3 2 2 6 2 8 2" xfId="19936"/>
    <cellStyle name="Normal 2 3 2 2 3 2 2 6 2 9" xfId="19937"/>
    <cellStyle name="Normal 2 3 2 2 3 2 2 6 2 9 2" xfId="19938"/>
    <cellStyle name="Normal 2 3 2 2 3 2 2 6 3" xfId="19939"/>
    <cellStyle name="Normal 2 3 2 2 3 2 2 6 3 2" xfId="19940"/>
    <cellStyle name="Normal 2 3 2 2 3 2 2 6 4" xfId="19941"/>
    <cellStyle name="Normal 2 3 2 2 3 2 2 6 4 2" xfId="19942"/>
    <cellStyle name="Normal 2 3 2 2 3 2 2 6 5" xfId="19943"/>
    <cellStyle name="Normal 2 3 2 2 3 2 2 6 5 2" xfId="19944"/>
    <cellStyle name="Normal 2 3 2 2 3 2 2 6 6" xfId="19945"/>
    <cellStyle name="Normal 2 3 2 2 3 2 2 6 6 2" xfId="19946"/>
    <cellStyle name="Normal 2 3 2 2 3 2 2 6 7" xfId="19947"/>
    <cellStyle name="Normal 2 3 2 2 3 2 2 6 7 2" xfId="19948"/>
    <cellStyle name="Normal 2 3 2 2 3 2 2 6 8" xfId="19949"/>
    <cellStyle name="Normal 2 3 2 2 3 2 2 6 8 2" xfId="19950"/>
    <cellStyle name="Normal 2 3 2 2 3 2 2 6 9" xfId="19951"/>
    <cellStyle name="Normal 2 3 2 2 3 2 2 6 9 2" xfId="19952"/>
    <cellStyle name="Normal 2 3 2 2 3 2 2 7" xfId="19953"/>
    <cellStyle name="Normal 2 3 2 2 3 2 2 7 10" xfId="19954"/>
    <cellStyle name="Normal 2 3 2 2 3 2 2 7 10 2" xfId="19955"/>
    <cellStyle name="Normal 2 3 2 2 3 2 2 7 11" xfId="19956"/>
    <cellStyle name="Normal 2 3 2 2 3 2 2 7 2" xfId="19957"/>
    <cellStyle name="Normal 2 3 2 2 3 2 2 7 2 2" xfId="19958"/>
    <cellStyle name="Normal 2 3 2 2 3 2 2 7 3" xfId="19959"/>
    <cellStyle name="Normal 2 3 2 2 3 2 2 7 3 2" xfId="19960"/>
    <cellStyle name="Normal 2 3 2 2 3 2 2 7 4" xfId="19961"/>
    <cellStyle name="Normal 2 3 2 2 3 2 2 7 4 2" xfId="19962"/>
    <cellStyle name="Normal 2 3 2 2 3 2 2 7 5" xfId="19963"/>
    <cellStyle name="Normal 2 3 2 2 3 2 2 7 5 2" xfId="19964"/>
    <cellStyle name="Normal 2 3 2 2 3 2 2 7 6" xfId="19965"/>
    <cellStyle name="Normal 2 3 2 2 3 2 2 7 6 2" xfId="19966"/>
    <cellStyle name="Normal 2 3 2 2 3 2 2 7 7" xfId="19967"/>
    <cellStyle name="Normal 2 3 2 2 3 2 2 7 7 2" xfId="19968"/>
    <cellStyle name="Normal 2 3 2 2 3 2 2 7 8" xfId="19969"/>
    <cellStyle name="Normal 2 3 2 2 3 2 2 7 8 2" xfId="19970"/>
    <cellStyle name="Normal 2 3 2 2 3 2 2 7 9" xfId="19971"/>
    <cellStyle name="Normal 2 3 2 2 3 2 2 7 9 2" xfId="19972"/>
    <cellStyle name="Normal 2 3 2 2 3 2 2 8" xfId="19973"/>
    <cellStyle name="Normal 2 3 2 2 3 2 2 8 2" xfId="19974"/>
    <cellStyle name="Normal 2 3 2 2 3 2 2 9" xfId="19975"/>
    <cellStyle name="Normal 2 3 2 2 3 2 2 9 2" xfId="19976"/>
    <cellStyle name="Normal 2 3 2 2 3 2 3" xfId="19977"/>
    <cellStyle name="Normal 2 3 2 2 3 2 3 10" xfId="19978"/>
    <cellStyle name="Normal 2 3 2 2 3 2 3 10 2" xfId="19979"/>
    <cellStyle name="Normal 2 3 2 2 3 2 3 11" xfId="19980"/>
    <cellStyle name="Normal 2 3 2 2 3 2 3 11 2" xfId="19981"/>
    <cellStyle name="Normal 2 3 2 2 3 2 3 12" xfId="19982"/>
    <cellStyle name="Normal 2 3 2 2 3 2 3 12 2" xfId="19983"/>
    <cellStyle name="Normal 2 3 2 2 3 2 3 13" xfId="19984"/>
    <cellStyle name="Normal 2 3 2 2 3 2 3 2" xfId="19985"/>
    <cellStyle name="Normal 2 3 2 2 3 2 3 2 10" xfId="19986"/>
    <cellStyle name="Normal 2 3 2 2 3 2 3 2 10 2" xfId="19987"/>
    <cellStyle name="Normal 2 3 2 2 3 2 3 2 11" xfId="19988"/>
    <cellStyle name="Normal 2 3 2 2 3 2 3 2 11 2" xfId="19989"/>
    <cellStyle name="Normal 2 3 2 2 3 2 3 2 12" xfId="19990"/>
    <cellStyle name="Normal 2 3 2 2 3 2 3 2 2" xfId="19991"/>
    <cellStyle name="Normal 2 3 2 2 3 2 3 2 2 10" xfId="19992"/>
    <cellStyle name="Normal 2 3 2 2 3 2 3 2 2 10 2" xfId="19993"/>
    <cellStyle name="Normal 2 3 2 2 3 2 3 2 2 11" xfId="19994"/>
    <cellStyle name="Normal 2 3 2 2 3 2 3 2 2 2" xfId="19995"/>
    <cellStyle name="Normal 2 3 2 2 3 2 3 2 2 2 2" xfId="19996"/>
    <cellStyle name="Normal 2 3 2 2 3 2 3 2 2 3" xfId="19997"/>
    <cellStyle name="Normal 2 3 2 2 3 2 3 2 2 3 2" xfId="19998"/>
    <cellStyle name="Normal 2 3 2 2 3 2 3 2 2 4" xfId="19999"/>
    <cellStyle name="Normal 2 3 2 2 3 2 3 2 2 4 2" xfId="20000"/>
    <cellStyle name="Normal 2 3 2 2 3 2 3 2 2 5" xfId="20001"/>
    <cellStyle name="Normal 2 3 2 2 3 2 3 2 2 5 2" xfId="20002"/>
    <cellStyle name="Normal 2 3 2 2 3 2 3 2 2 6" xfId="20003"/>
    <cellStyle name="Normal 2 3 2 2 3 2 3 2 2 6 2" xfId="20004"/>
    <cellStyle name="Normal 2 3 2 2 3 2 3 2 2 7" xfId="20005"/>
    <cellStyle name="Normal 2 3 2 2 3 2 3 2 2 7 2" xfId="20006"/>
    <cellStyle name="Normal 2 3 2 2 3 2 3 2 2 8" xfId="20007"/>
    <cellStyle name="Normal 2 3 2 2 3 2 3 2 2 8 2" xfId="20008"/>
    <cellStyle name="Normal 2 3 2 2 3 2 3 2 2 9" xfId="20009"/>
    <cellStyle name="Normal 2 3 2 2 3 2 3 2 2 9 2" xfId="20010"/>
    <cellStyle name="Normal 2 3 2 2 3 2 3 2 3" xfId="20011"/>
    <cellStyle name="Normal 2 3 2 2 3 2 3 2 3 2" xfId="20012"/>
    <cellStyle name="Normal 2 3 2 2 3 2 3 2 4" xfId="20013"/>
    <cellStyle name="Normal 2 3 2 2 3 2 3 2 4 2" xfId="20014"/>
    <cellStyle name="Normal 2 3 2 2 3 2 3 2 5" xfId="20015"/>
    <cellStyle name="Normal 2 3 2 2 3 2 3 2 5 2" xfId="20016"/>
    <cellStyle name="Normal 2 3 2 2 3 2 3 2 6" xfId="20017"/>
    <cellStyle name="Normal 2 3 2 2 3 2 3 2 6 2" xfId="20018"/>
    <cellStyle name="Normal 2 3 2 2 3 2 3 2 7" xfId="20019"/>
    <cellStyle name="Normal 2 3 2 2 3 2 3 2 7 2" xfId="20020"/>
    <cellStyle name="Normal 2 3 2 2 3 2 3 2 8" xfId="20021"/>
    <cellStyle name="Normal 2 3 2 2 3 2 3 2 8 2" xfId="20022"/>
    <cellStyle name="Normal 2 3 2 2 3 2 3 2 9" xfId="20023"/>
    <cellStyle name="Normal 2 3 2 2 3 2 3 2 9 2" xfId="20024"/>
    <cellStyle name="Normal 2 3 2 2 3 2 3 3" xfId="20025"/>
    <cellStyle name="Normal 2 3 2 2 3 2 3 3 10" xfId="20026"/>
    <cellStyle name="Normal 2 3 2 2 3 2 3 3 10 2" xfId="20027"/>
    <cellStyle name="Normal 2 3 2 2 3 2 3 3 11" xfId="20028"/>
    <cellStyle name="Normal 2 3 2 2 3 2 3 3 2" xfId="20029"/>
    <cellStyle name="Normal 2 3 2 2 3 2 3 3 2 2" xfId="20030"/>
    <cellStyle name="Normal 2 3 2 2 3 2 3 3 3" xfId="20031"/>
    <cellStyle name="Normal 2 3 2 2 3 2 3 3 3 2" xfId="20032"/>
    <cellStyle name="Normal 2 3 2 2 3 2 3 3 4" xfId="20033"/>
    <cellStyle name="Normal 2 3 2 2 3 2 3 3 4 2" xfId="20034"/>
    <cellStyle name="Normal 2 3 2 2 3 2 3 3 5" xfId="20035"/>
    <cellStyle name="Normal 2 3 2 2 3 2 3 3 5 2" xfId="20036"/>
    <cellStyle name="Normal 2 3 2 2 3 2 3 3 6" xfId="20037"/>
    <cellStyle name="Normal 2 3 2 2 3 2 3 3 6 2" xfId="20038"/>
    <cellStyle name="Normal 2 3 2 2 3 2 3 3 7" xfId="20039"/>
    <cellStyle name="Normal 2 3 2 2 3 2 3 3 7 2" xfId="20040"/>
    <cellStyle name="Normal 2 3 2 2 3 2 3 3 8" xfId="20041"/>
    <cellStyle name="Normal 2 3 2 2 3 2 3 3 8 2" xfId="20042"/>
    <cellStyle name="Normal 2 3 2 2 3 2 3 3 9" xfId="20043"/>
    <cellStyle name="Normal 2 3 2 2 3 2 3 3 9 2" xfId="20044"/>
    <cellStyle name="Normal 2 3 2 2 3 2 3 4" xfId="20045"/>
    <cellStyle name="Normal 2 3 2 2 3 2 3 4 2" xfId="20046"/>
    <cellStyle name="Normal 2 3 2 2 3 2 3 5" xfId="20047"/>
    <cellStyle name="Normal 2 3 2 2 3 2 3 5 2" xfId="20048"/>
    <cellStyle name="Normal 2 3 2 2 3 2 3 6" xfId="20049"/>
    <cellStyle name="Normal 2 3 2 2 3 2 3 6 2" xfId="20050"/>
    <cellStyle name="Normal 2 3 2 2 3 2 3 7" xfId="20051"/>
    <cellStyle name="Normal 2 3 2 2 3 2 3 7 2" xfId="20052"/>
    <cellStyle name="Normal 2 3 2 2 3 2 3 8" xfId="20053"/>
    <cellStyle name="Normal 2 3 2 2 3 2 3 8 2" xfId="20054"/>
    <cellStyle name="Normal 2 3 2 2 3 2 3 9" xfId="20055"/>
    <cellStyle name="Normal 2 3 2 2 3 2 3 9 2" xfId="20056"/>
    <cellStyle name="Normal 2 3 2 2 3 2 4" xfId="20057"/>
    <cellStyle name="Normal 2 3 2 2 3 2 4 10" xfId="20058"/>
    <cellStyle name="Normal 2 3 2 2 3 2 4 10 2" xfId="20059"/>
    <cellStyle name="Normal 2 3 2 2 3 2 4 11" xfId="20060"/>
    <cellStyle name="Normal 2 3 2 2 3 2 4 11 2" xfId="20061"/>
    <cellStyle name="Normal 2 3 2 2 3 2 4 12" xfId="20062"/>
    <cellStyle name="Normal 2 3 2 2 3 2 4 12 2" xfId="20063"/>
    <cellStyle name="Normal 2 3 2 2 3 2 4 13" xfId="20064"/>
    <cellStyle name="Normal 2 3 2 2 3 2 4 2" xfId="20065"/>
    <cellStyle name="Normal 2 3 2 2 3 2 4 2 10" xfId="20066"/>
    <cellStyle name="Normal 2 3 2 2 3 2 4 2 10 2" xfId="20067"/>
    <cellStyle name="Normal 2 3 2 2 3 2 4 2 11" xfId="20068"/>
    <cellStyle name="Normal 2 3 2 2 3 2 4 2 11 2" xfId="20069"/>
    <cellStyle name="Normal 2 3 2 2 3 2 4 2 12" xfId="20070"/>
    <cellStyle name="Normal 2 3 2 2 3 2 4 2 2" xfId="20071"/>
    <cellStyle name="Normal 2 3 2 2 3 2 4 2 2 10" xfId="20072"/>
    <cellStyle name="Normal 2 3 2 2 3 2 4 2 2 10 2" xfId="20073"/>
    <cellStyle name="Normal 2 3 2 2 3 2 4 2 2 11" xfId="20074"/>
    <cellStyle name="Normal 2 3 2 2 3 2 4 2 2 2" xfId="20075"/>
    <cellStyle name="Normal 2 3 2 2 3 2 4 2 2 2 2" xfId="20076"/>
    <cellStyle name="Normal 2 3 2 2 3 2 4 2 2 3" xfId="20077"/>
    <cellStyle name="Normal 2 3 2 2 3 2 4 2 2 3 2" xfId="20078"/>
    <cellStyle name="Normal 2 3 2 2 3 2 4 2 2 4" xfId="20079"/>
    <cellStyle name="Normal 2 3 2 2 3 2 4 2 2 4 2" xfId="20080"/>
    <cellStyle name="Normal 2 3 2 2 3 2 4 2 2 5" xfId="20081"/>
    <cellStyle name="Normal 2 3 2 2 3 2 4 2 2 5 2" xfId="20082"/>
    <cellStyle name="Normal 2 3 2 2 3 2 4 2 2 6" xfId="20083"/>
    <cellStyle name="Normal 2 3 2 2 3 2 4 2 2 6 2" xfId="20084"/>
    <cellStyle name="Normal 2 3 2 2 3 2 4 2 2 7" xfId="20085"/>
    <cellStyle name="Normal 2 3 2 2 3 2 4 2 2 7 2" xfId="20086"/>
    <cellStyle name="Normal 2 3 2 2 3 2 4 2 2 8" xfId="20087"/>
    <cellStyle name="Normal 2 3 2 2 3 2 4 2 2 8 2" xfId="20088"/>
    <cellStyle name="Normal 2 3 2 2 3 2 4 2 2 9" xfId="20089"/>
    <cellStyle name="Normal 2 3 2 2 3 2 4 2 2 9 2" xfId="20090"/>
    <cellStyle name="Normal 2 3 2 2 3 2 4 2 3" xfId="20091"/>
    <cellStyle name="Normal 2 3 2 2 3 2 4 2 3 2" xfId="20092"/>
    <cellStyle name="Normal 2 3 2 2 3 2 4 2 4" xfId="20093"/>
    <cellStyle name="Normal 2 3 2 2 3 2 4 2 4 2" xfId="20094"/>
    <cellStyle name="Normal 2 3 2 2 3 2 4 2 5" xfId="20095"/>
    <cellStyle name="Normal 2 3 2 2 3 2 4 2 5 2" xfId="20096"/>
    <cellStyle name="Normal 2 3 2 2 3 2 4 2 6" xfId="20097"/>
    <cellStyle name="Normal 2 3 2 2 3 2 4 2 6 2" xfId="20098"/>
    <cellStyle name="Normal 2 3 2 2 3 2 4 2 7" xfId="20099"/>
    <cellStyle name="Normal 2 3 2 2 3 2 4 2 7 2" xfId="20100"/>
    <cellStyle name="Normal 2 3 2 2 3 2 4 2 8" xfId="20101"/>
    <cellStyle name="Normal 2 3 2 2 3 2 4 2 8 2" xfId="20102"/>
    <cellStyle name="Normal 2 3 2 2 3 2 4 2 9" xfId="20103"/>
    <cellStyle name="Normal 2 3 2 2 3 2 4 2 9 2" xfId="20104"/>
    <cellStyle name="Normal 2 3 2 2 3 2 4 3" xfId="20105"/>
    <cellStyle name="Normal 2 3 2 2 3 2 4 3 10" xfId="20106"/>
    <cellStyle name="Normal 2 3 2 2 3 2 4 3 10 2" xfId="20107"/>
    <cellStyle name="Normal 2 3 2 2 3 2 4 3 11" xfId="20108"/>
    <cellStyle name="Normal 2 3 2 2 3 2 4 3 2" xfId="20109"/>
    <cellStyle name="Normal 2 3 2 2 3 2 4 3 2 2" xfId="20110"/>
    <cellStyle name="Normal 2 3 2 2 3 2 4 3 3" xfId="20111"/>
    <cellStyle name="Normal 2 3 2 2 3 2 4 3 3 2" xfId="20112"/>
    <cellStyle name="Normal 2 3 2 2 3 2 4 3 4" xfId="20113"/>
    <cellStyle name="Normal 2 3 2 2 3 2 4 3 4 2" xfId="20114"/>
    <cellStyle name="Normal 2 3 2 2 3 2 4 3 5" xfId="20115"/>
    <cellStyle name="Normal 2 3 2 2 3 2 4 3 5 2" xfId="20116"/>
    <cellStyle name="Normal 2 3 2 2 3 2 4 3 6" xfId="20117"/>
    <cellStyle name="Normal 2 3 2 2 3 2 4 3 6 2" xfId="20118"/>
    <cellStyle name="Normal 2 3 2 2 3 2 4 3 7" xfId="20119"/>
    <cellStyle name="Normal 2 3 2 2 3 2 4 3 7 2" xfId="20120"/>
    <cellStyle name="Normal 2 3 2 2 3 2 4 3 8" xfId="20121"/>
    <cellStyle name="Normal 2 3 2 2 3 2 4 3 8 2" xfId="20122"/>
    <cellStyle name="Normal 2 3 2 2 3 2 4 3 9" xfId="20123"/>
    <cellStyle name="Normal 2 3 2 2 3 2 4 3 9 2" xfId="20124"/>
    <cellStyle name="Normal 2 3 2 2 3 2 4 4" xfId="20125"/>
    <cellStyle name="Normal 2 3 2 2 3 2 4 4 2" xfId="20126"/>
    <cellStyle name="Normal 2 3 2 2 3 2 4 5" xfId="20127"/>
    <cellStyle name="Normal 2 3 2 2 3 2 4 5 2" xfId="20128"/>
    <cellStyle name="Normal 2 3 2 2 3 2 4 6" xfId="20129"/>
    <cellStyle name="Normal 2 3 2 2 3 2 4 6 2" xfId="20130"/>
    <cellStyle name="Normal 2 3 2 2 3 2 4 7" xfId="20131"/>
    <cellStyle name="Normal 2 3 2 2 3 2 4 7 2" xfId="20132"/>
    <cellStyle name="Normal 2 3 2 2 3 2 4 8" xfId="20133"/>
    <cellStyle name="Normal 2 3 2 2 3 2 4 8 2" xfId="20134"/>
    <cellStyle name="Normal 2 3 2 2 3 2 4 9" xfId="20135"/>
    <cellStyle name="Normal 2 3 2 2 3 2 4 9 2" xfId="20136"/>
    <cellStyle name="Normal 2 3 2 2 3 2 5" xfId="20137"/>
    <cellStyle name="Normal 2 3 2 2 3 2 5 10" xfId="20138"/>
    <cellStyle name="Normal 2 3 2 2 3 2 5 10 2" xfId="20139"/>
    <cellStyle name="Normal 2 3 2 2 3 2 5 11" xfId="20140"/>
    <cellStyle name="Normal 2 3 2 2 3 2 5 11 2" xfId="20141"/>
    <cellStyle name="Normal 2 3 2 2 3 2 5 12" xfId="20142"/>
    <cellStyle name="Normal 2 3 2 2 3 2 5 12 2" xfId="20143"/>
    <cellStyle name="Normal 2 3 2 2 3 2 5 13" xfId="20144"/>
    <cellStyle name="Normal 2 3 2 2 3 2 5 2" xfId="20145"/>
    <cellStyle name="Normal 2 3 2 2 3 2 5 2 10" xfId="20146"/>
    <cellStyle name="Normal 2 3 2 2 3 2 5 2 10 2" xfId="20147"/>
    <cellStyle name="Normal 2 3 2 2 3 2 5 2 11" xfId="20148"/>
    <cellStyle name="Normal 2 3 2 2 3 2 5 2 11 2" xfId="20149"/>
    <cellStyle name="Normal 2 3 2 2 3 2 5 2 12" xfId="20150"/>
    <cellStyle name="Normal 2 3 2 2 3 2 5 2 2" xfId="20151"/>
    <cellStyle name="Normal 2 3 2 2 3 2 5 2 2 10" xfId="20152"/>
    <cellStyle name="Normal 2 3 2 2 3 2 5 2 2 10 2" xfId="20153"/>
    <cellStyle name="Normal 2 3 2 2 3 2 5 2 2 11" xfId="20154"/>
    <cellStyle name="Normal 2 3 2 2 3 2 5 2 2 2" xfId="20155"/>
    <cellStyle name="Normal 2 3 2 2 3 2 5 2 2 2 2" xfId="20156"/>
    <cellStyle name="Normal 2 3 2 2 3 2 5 2 2 3" xfId="20157"/>
    <cellStyle name="Normal 2 3 2 2 3 2 5 2 2 3 2" xfId="20158"/>
    <cellStyle name="Normal 2 3 2 2 3 2 5 2 2 4" xfId="20159"/>
    <cellStyle name="Normal 2 3 2 2 3 2 5 2 2 4 2" xfId="20160"/>
    <cellStyle name="Normal 2 3 2 2 3 2 5 2 2 5" xfId="20161"/>
    <cellStyle name="Normal 2 3 2 2 3 2 5 2 2 5 2" xfId="20162"/>
    <cellStyle name="Normal 2 3 2 2 3 2 5 2 2 6" xfId="20163"/>
    <cellStyle name="Normal 2 3 2 2 3 2 5 2 2 6 2" xfId="20164"/>
    <cellStyle name="Normal 2 3 2 2 3 2 5 2 2 7" xfId="20165"/>
    <cellStyle name="Normal 2 3 2 2 3 2 5 2 2 7 2" xfId="20166"/>
    <cellStyle name="Normal 2 3 2 2 3 2 5 2 2 8" xfId="20167"/>
    <cellStyle name="Normal 2 3 2 2 3 2 5 2 2 8 2" xfId="20168"/>
    <cellStyle name="Normal 2 3 2 2 3 2 5 2 2 9" xfId="20169"/>
    <cellStyle name="Normal 2 3 2 2 3 2 5 2 2 9 2" xfId="20170"/>
    <cellStyle name="Normal 2 3 2 2 3 2 5 2 3" xfId="20171"/>
    <cellStyle name="Normal 2 3 2 2 3 2 5 2 3 2" xfId="20172"/>
    <cellStyle name="Normal 2 3 2 2 3 2 5 2 4" xfId="20173"/>
    <cellStyle name="Normal 2 3 2 2 3 2 5 2 4 2" xfId="20174"/>
    <cellStyle name="Normal 2 3 2 2 3 2 5 2 5" xfId="20175"/>
    <cellStyle name="Normal 2 3 2 2 3 2 5 2 5 2" xfId="20176"/>
    <cellStyle name="Normal 2 3 2 2 3 2 5 2 6" xfId="20177"/>
    <cellStyle name="Normal 2 3 2 2 3 2 5 2 6 2" xfId="20178"/>
    <cellStyle name="Normal 2 3 2 2 3 2 5 2 7" xfId="20179"/>
    <cellStyle name="Normal 2 3 2 2 3 2 5 2 7 2" xfId="20180"/>
    <cellStyle name="Normal 2 3 2 2 3 2 5 2 8" xfId="20181"/>
    <cellStyle name="Normal 2 3 2 2 3 2 5 2 8 2" xfId="20182"/>
    <cellStyle name="Normal 2 3 2 2 3 2 5 2 9" xfId="20183"/>
    <cellStyle name="Normal 2 3 2 2 3 2 5 2 9 2" xfId="20184"/>
    <cellStyle name="Normal 2 3 2 2 3 2 5 3" xfId="20185"/>
    <cellStyle name="Normal 2 3 2 2 3 2 5 3 10" xfId="20186"/>
    <cellStyle name="Normal 2 3 2 2 3 2 5 3 10 2" xfId="20187"/>
    <cellStyle name="Normal 2 3 2 2 3 2 5 3 11" xfId="20188"/>
    <cellStyle name="Normal 2 3 2 2 3 2 5 3 2" xfId="20189"/>
    <cellStyle name="Normal 2 3 2 2 3 2 5 3 2 2" xfId="20190"/>
    <cellStyle name="Normal 2 3 2 2 3 2 5 3 3" xfId="20191"/>
    <cellStyle name="Normal 2 3 2 2 3 2 5 3 3 2" xfId="20192"/>
    <cellStyle name="Normal 2 3 2 2 3 2 5 3 4" xfId="20193"/>
    <cellStyle name="Normal 2 3 2 2 3 2 5 3 4 2" xfId="20194"/>
    <cellStyle name="Normal 2 3 2 2 3 2 5 3 5" xfId="20195"/>
    <cellStyle name="Normal 2 3 2 2 3 2 5 3 5 2" xfId="20196"/>
    <cellStyle name="Normal 2 3 2 2 3 2 5 3 6" xfId="20197"/>
    <cellStyle name="Normal 2 3 2 2 3 2 5 3 6 2" xfId="20198"/>
    <cellStyle name="Normal 2 3 2 2 3 2 5 3 7" xfId="20199"/>
    <cellStyle name="Normal 2 3 2 2 3 2 5 3 7 2" xfId="20200"/>
    <cellStyle name="Normal 2 3 2 2 3 2 5 3 8" xfId="20201"/>
    <cellStyle name="Normal 2 3 2 2 3 2 5 3 8 2" xfId="20202"/>
    <cellStyle name="Normal 2 3 2 2 3 2 5 3 9" xfId="20203"/>
    <cellStyle name="Normal 2 3 2 2 3 2 5 3 9 2" xfId="20204"/>
    <cellStyle name="Normal 2 3 2 2 3 2 5 4" xfId="20205"/>
    <cellStyle name="Normal 2 3 2 2 3 2 5 4 2" xfId="20206"/>
    <cellStyle name="Normal 2 3 2 2 3 2 5 5" xfId="20207"/>
    <cellStyle name="Normal 2 3 2 2 3 2 5 5 2" xfId="20208"/>
    <cellStyle name="Normal 2 3 2 2 3 2 5 6" xfId="20209"/>
    <cellStyle name="Normal 2 3 2 2 3 2 5 6 2" xfId="20210"/>
    <cellStyle name="Normal 2 3 2 2 3 2 5 7" xfId="20211"/>
    <cellStyle name="Normal 2 3 2 2 3 2 5 7 2" xfId="20212"/>
    <cellStyle name="Normal 2 3 2 2 3 2 5 8" xfId="20213"/>
    <cellStyle name="Normal 2 3 2 2 3 2 5 8 2" xfId="20214"/>
    <cellStyle name="Normal 2 3 2 2 3 2 5 9" xfId="20215"/>
    <cellStyle name="Normal 2 3 2 2 3 2 5 9 2" xfId="20216"/>
    <cellStyle name="Normal 2 3 2 2 3 2 6" xfId="20217"/>
    <cellStyle name="Normal 2 3 2 2 3 3" xfId="20218"/>
    <cellStyle name="Normal 2 3 2 2 3 3 2" xfId="20219"/>
    <cellStyle name="Normal 2 3 2 2 3 4" xfId="20220"/>
    <cellStyle name="Normal 2 3 2 2 3 4 2" xfId="20221"/>
    <cellStyle name="Normal 2 3 2 2 3 5" xfId="20222"/>
    <cellStyle name="Normal 2 3 2 2 3 5 2" xfId="20223"/>
    <cellStyle name="Normal 2 3 2 2 3 6" xfId="20224"/>
    <cellStyle name="Normal 2 3 2 2 3 6 2" xfId="20225"/>
    <cellStyle name="Normal 2 3 2 2 3 7" xfId="20226"/>
    <cellStyle name="Normal 2 3 2 2 3 7 10" xfId="20227"/>
    <cellStyle name="Normal 2 3 2 2 3 7 10 2" xfId="20228"/>
    <cellStyle name="Normal 2 3 2 2 3 7 11" xfId="20229"/>
    <cellStyle name="Normal 2 3 2 2 3 7 11 2" xfId="20230"/>
    <cellStyle name="Normal 2 3 2 2 3 7 12" xfId="20231"/>
    <cellStyle name="Normal 2 3 2 2 3 7 2" xfId="20232"/>
    <cellStyle name="Normal 2 3 2 2 3 7 2 10" xfId="20233"/>
    <cellStyle name="Normal 2 3 2 2 3 7 2 10 2" xfId="20234"/>
    <cellStyle name="Normal 2 3 2 2 3 7 2 11" xfId="20235"/>
    <cellStyle name="Normal 2 3 2 2 3 7 2 2" xfId="20236"/>
    <cellStyle name="Normal 2 3 2 2 3 7 2 2 2" xfId="20237"/>
    <cellStyle name="Normal 2 3 2 2 3 7 2 3" xfId="20238"/>
    <cellStyle name="Normal 2 3 2 2 3 7 2 3 2" xfId="20239"/>
    <cellStyle name="Normal 2 3 2 2 3 7 2 4" xfId="20240"/>
    <cellStyle name="Normal 2 3 2 2 3 7 2 4 2" xfId="20241"/>
    <cellStyle name="Normal 2 3 2 2 3 7 2 5" xfId="20242"/>
    <cellStyle name="Normal 2 3 2 2 3 7 2 5 2" xfId="20243"/>
    <cellStyle name="Normal 2 3 2 2 3 7 2 6" xfId="20244"/>
    <cellStyle name="Normal 2 3 2 2 3 7 2 6 2" xfId="20245"/>
    <cellStyle name="Normal 2 3 2 2 3 7 2 7" xfId="20246"/>
    <cellStyle name="Normal 2 3 2 2 3 7 2 7 2" xfId="20247"/>
    <cellStyle name="Normal 2 3 2 2 3 7 2 8" xfId="20248"/>
    <cellStyle name="Normal 2 3 2 2 3 7 2 8 2" xfId="20249"/>
    <cellStyle name="Normal 2 3 2 2 3 7 2 9" xfId="20250"/>
    <cellStyle name="Normal 2 3 2 2 3 7 2 9 2" xfId="20251"/>
    <cellStyle name="Normal 2 3 2 2 3 7 3" xfId="20252"/>
    <cellStyle name="Normal 2 3 2 2 3 7 3 2" xfId="20253"/>
    <cellStyle name="Normal 2 3 2 2 3 7 4" xfId="20254"/>
    <cellStyle name="Normal 2 3 2 2 3 7 4 2" xfId="20255"/>
    <cellStyle name="Normal 2 3 2 2 3 7 5" xfId="20256"/>
    <cellStyle name="Normal 2 3 2 2 3 7 5 2" xfId="20257"/>
    <cellStyle name="Normal 2 3 2 2 3 7 6" xfId="20258"/>
    <cellStyle name="Normal 2 3 2 2 3 7 6 2" xfId="20259"/>
    <cellStyle name="Normal 2 3 2 2 3 7 7" xfId="20260"/>
    <cellStyle name="Normal 2 3 2 2 3 7 7 2" xfId="20261"/>
    <cellStyle name="Normal 2 3 2 2 3 7 8" xfId="20262"/>
    <cellStyle name="Normal 2 3 2 2 3 7 8 2" xfId="20263"/>
    <cellStyle name="Normal 2 3 2 2 3 7 9" xfId="20264"/>
    <cellStyle name="Normal 2 3 2 2 3 7 9 2" xfId="20265"/>
    <cellStyle name="Normal 2 3 2 2 3 8" xfId="20266"/>
    <cellStyle name="Normal 2 3 2 2 3 8 10" xfId="20267"/>
    <cellStyle name="Normal 2 3 2 2 3 8 10 2" xfId="20268"/>
    <cellStyle name="Normal 2 3 2 2 3 8 11" xfId="20269"/>
    <cellStyle name="Normal 2 3 2 2 3 8 2" xfId="20270"/>
    <cellStyle name="Normal 2 3 2 2 3 8 2 2" xfId="20271"/>
    <cellStyle name="Normal 2 3 2 2 3 8 3" xfId="20272"/>
    <cellStyle name="Normal 2 3 2 2 3 8 3 2" xfId="20273"/>
    <cellStyle name="Normal 2 3 2 2 3 8 4" xfId="20274"/>
    <cellStyle name="Normal 2 3 2 2 3 8 4 2" xfId="20275"/>
    <cellStyle name="Normal 2 3 2 2 3 8 5" xfId="20276"/>
    <cellStyle name="Normal 2 3 2 2 3 8 5 2" xfId="20277"/>
    <cellStyle name="Normal 2 3 2 2 3 8 6" xfId="20278"/>
    <cellStyle name="Normal 2 3 2 2 3 8 6 2" xfId="20279"/>
    <cellStyle name="Normal 2 3 2 2 3 8 7" xfId="20280"/>
    <cellStyle name="Normal 2 3 2 2 3 8 7 2" xfId="20281"/>
    <cellStyle name="Normal 2 3 2 2 3 8 8" xfId="20282"/>
    <cellStyle name="Normal 2 3 2 2 3 8 8 2" xfId="20283"/>
    <cellStyle name="Normal 2 3 2 2 3 8 9" xfId="20284"/>
    <cellStyle name="Normal 2 3 2 2 3 8 9 2" xfId="20285"/>
    <cellStyle name="Normal 2 3 2 2 3 9" xfId="20286"/>
    <cellStyle name="Normal 2 3 2 2 3 9 2" xfId="20287"/>
    <cellStyle name="Normal 2 3 2 2 4" xfId="20288"/>
    <cellStyle name="Normal 2 3 2 2 4 2" xfId="20289"/>
    <cellStyle name="Normal 2 3 2 2 5" xfId="20290"/>
    <cellStyle name="Normal 2 3 2 2 5 2" xfId="20291"/>
    <cellStyle name="Normal 2 3 2 2 6" xfId="20292"/>
    <cellStyle name="Normal 2 3 2 2 6 10" xfId="20293"/>
    <cellStyle name="Normal 2 3 2 2 6 10 2" xfId="20294"/>
    <cellStyle name="Normal 2 3 2 2 6 11" xfId="20295"/>
    <cellStyle name="Normal 2 3 2 2 6 11 2" xfId="20296"/>
    <cellStyle name="Normal 2 3 2 2 6 12" xfId="20297"/>
    <cellStyle name="Normal 2 3 2 2 6 12 2" xfId="20298"/>
    <cellStyle name="Normal 2 3 2 2 6 13" xfId="20299"/>
    <cellStyle name="Normal 2 3 2 2 6 13 2" xfId="20300"/>
    <cellStyle name="Normal 2 3 2 2 6 14" xfId="20301"/>
    <cellStyle name="Normal 2 3 2 2 6 14 2" xfId="20302"/>
    <cellStyle name="Normal 2 3 2 2 6 15" xfId="20303"/>
    <cellStyle name="Normal 2 3 2 2 6 15 2" xfId="20304"/>
    <cellStyle name="Normal 2 3 2 2 6 16" xfId="20305"/>
    <cellStyle name="Normal 2 3 2 2 6 16 2" xfId="20306"/>
    <cellStyle name="Normal 2 3 2 2 6 17" xfId="20307"/>
    <cellStyle name="Normal 2 3 2 2 6 2" xfId="20308"/>
    <cellStyle name="Normal 2 3 2 2 6 2 2" xfId="20309"/>
    <cellStyle name="Normal 2 3 2 2 6 3" xfId="20310"/>
    <cellStyle name="Normal 2 3 2 2 6 3 2" xfId="20311"/>
    <cellStyle name="Normal 2 3 2 2 6 4" xfId="20312"/>
    <cellStyle name="Normal 2 3 2 2 6 4 2" xfId="20313"/>
    <cellStyle name="Normal 2 3 2 2 6 5" xfId="20314"/>
    <cellStyle name="Normal 2 3 2 2 6 5 2" xfId="20315"/>
    <cellStyle name="Normal 2 3 2 2 6 6" xfId="20316"/>
    <cellStyle name="Normal 2 3 2 2 6 6 10" xfId="20317"/>
    <cellStyle name="Normal 2 3 2 2 6 6 10 2" xfId="20318"/>
    <cellStyle name="Normal 2 3 2 2 6 6 11" xfId="20319"/>
    <cellStyle name="Normal 2 3 2 2 6 6 11 2" xfId="20320"/>
    <cellStyle name="Normal 2 3 2 2 6 6 12" xfId="20321"/>
    <cellStyle name="Normal 2 3 2 2 6 6 2" xfId="20322"/>
    <cellStyle name="Normal 2 3 2 2 6 6 2 10" xfId="20323"/>
    <cellStyle name="Normal 2 3 2 2 6 6 2 10 2" xfId="20324"/>
    <cellStyle name="Normal 2 3 2 2 6 6 2 11" xfId="20325"/>
    <cellStyle name="Normal 2 3 2 2 6 6 2 2" xfId="20326"/>
    <cellStyle name="Normal 2 3 2 2 6 6 2 2 2" xfId="20327"/>
    <cellStyle name="Normal 2 3 2 2 6 6 2 3" xfId="20328"/>
    <cellStyle name="Normal 2 3 2 2 6 6 2 3 2" xfId="20329"/>
    <cellStyle name="Normal 2 3 2 2 6 6 2 4" xfId="20330"/>
    <cellStyle name="Normal 2 3 2 2 6 6 2 4 2" xfId="20331"/>
    <cellStyle name="Normal 2 3 2 2 6 6 2 5" xfId="20332"/>
    <cellStyle name="Normal 2 3 2 2 6 6 2 5 2" xfId="20333"/>
    <cellStyle name="Normal 2 3 2 2 6 6 2 6" xfId="20334"/>
    <cellStyle name="Normal 2 3 2 2 6 6 2 6 2" xfId="20335"/>
    <cellStyle name="Normal 2 3 2 2 6 6 2 7" xfId="20336"/>
    <cellStyle name="Normal 2 3 2 2 6 6 2 7 2" xfId="20337"/>
    <cellStyle name="Normal 2 3 2 2 6 6 2 8" xfId="20338"/>
    <cellStyle name="Normal 2 3 2 2 6 6 2 8 2" xfId="20339"/>
    <cellStyle name="Normal 2 3 2 2 6 6 2 9" xfId="20340"/>
    <cellStyle name="Normal 2 3 2 2 6 6 2 9 2" xfId="20341"/>
    <cellStyle name="Normal 2 3 2 2 6 6 3" xfId="20342"/>
    <cellStyle name="Normal 2 3 2 2 6 6 3 2" xfId="20343"/>
    <cellStyle name="Normal 2 3 2 2 6 6 4" xfId="20344"/>
    <cellStyle name="Normal 2 3 2 2 6 6 4 2" xfId="20345"/>
    <cellStyle name="Normal 2 3 2 2 6 6 5" xfId="20346"/>
    <cellStyle name="Normal 2 3 2 2 6 6 5 2" xfId="20347"/>
    <cellStyle name="Normal 2 3 2 2 6 6 6" xfId="20348"/>
    <cellStyle name="Normal 2 3 2 2 6 6 6 2" xfId="20349"/>
    <cellStyle name="Normal 2 3 2 2 6 6 7" xfId="20350"/>
    <cellStyle name="Normal 2 3 2 2 6 6 7 2" xfId="20351"/>
    <cellStyle name="Normal 2 3 2 2 6 6 8" xfId="20352"/>
    <cellStyle name="Normal 2 3 2 2 6 6 8 2" xfId="20353"/>
    <cellStyle name="Normal 2 3 2 2 6 6 9" xfId="20354"/>
    <cellStyle name="Normal 2 3 2 2 6 6 9 2" xfId="20355"/>
    <cellStyle name="Normal 2 3 2 2 6 7" xfId="20356"/>
    <cellStyle name="Normal 2 3 2 2 6 7 10" xfId="20357"/>
    <cellStyle name="Normal 2 3 2 2 6 7 10 2" xfId="20358"/>
    <cellStyle name="Normal 2 3 2 2 6 7 11" xfId="20359"/>
    <cellStyle name="Normal 2 3 2 2 6 7 2" xfId="20360"/>
    <cellStyle name="Normal 2 3 2 2 6 7 2 2" xfId="20361"/>
    <cellStyle name="Normal 2 3 2 2 6 7 3" xfId="20362"/>
    <cellStyle name="Normal 2 3 2 2 6 7 3 2" xfId="20363"/>
    <cellStyle name="Normal 2 3 2 2 6 7 4" xfId="20364"/>
    <cellStyle name="Normal 2 3 2 2 6 7 4 2" xfId="20365"/>
    <cellStyle name="Normal 2 3 2 2 6 7 5" xfId="20366"/>
    <cellStyle name="Normal 2 3 2 2 6 7 5 2" xfId="20367"/>
    <cellStyle name="Normal 2 3 2 2 6 7 6" xfId="20368"/>
    <cellStyle name="Normal 2 3 2 2 6 7 6 2" xfId="20369"/>
    <cellStyle name="Normal 2 3 2 2 6 7 7" xfId="20370"/>
    <cellStyle name="Normal 2 3 2 2 6 7 7 2" xfId="20371"/>
    <cellStyle name="Normal 2 3 2 2 6 7 8" xfId="20372"/>
    <cellStyle name="Normal 2 3 2 2 6 7 8 2" xfId="20373"/>
    <cellStyle name="Normal 2 3 2 2 6 7 9" xfId="20374"/>
    <cellStyle name="Normal 2 3 2 2 6 7 9 2" xfId="20375"/>
    <cellStyle name="Normal 2 3 2 2 6 8" xfId="20376"/>
    <cellStyle name="Normal 2 3 2 2 6 8 2" xfId="20377"/>
    <cellStyle name="Normal 2 3 2 2 6 9" xfId="20378"/>
    <cellStyle name="Normal 2 3 2 2 6 9 2" xfId="20379"/>
    <cellStyle name="Normal 2 3 2 2 7" xfId="20380"/>
    <cellStyle name="Normal 2 3 2 2 7 10" xfId="20381"/>
    <cellStyle name="Normal 2 3 2 2 7 10 2" xfId="20382"/>
    <cellStyle name="Normal 2 3 2 2 7 11" xfId="20383"/>
    <cellStyle name="Normal 2 3 2 2 7 11 2" xfId="20384"/>
    <cellStyle name="Normal 2 3 2 2 7 12" xfId="20385"/>
    <cellStyle name="Normal 2 3 2 2 7 12 2" xfId="20386"/>
    <cellStyle name="Normal 2 3 2 2 7 13" xfId="20387"/>
    <cellStyle name="Normal 2 3 2 2 7 2" xfId="20388"/>
    <cellStyle name="Normal 2 3 2 2 7 2 10" xfId="20389"/>
    <cellStyle name="Normal 2 3 2 2 7 2 10 2" xfId="20390"/>
    <cellStyle name="Normal 2 3 2 2 7 2 11" xfId="20391"/>
    <cellStyle name="Normal 2 3 2 2 7 2 11 2" xfId="20392"/>
    <cellStyle name="Normal 2 3 2 2 7 2 12" xfId="20393"/>
    <cellStyle name="Normal 2 3 2 2 7 2 2" xfId="20394"/>
    <cellStyle name="Normal 2 3 2 2 7 2 2 10" xfId="20395"/>
    <cellStyle name="Normal 2 3 2 2 7 2 2 10 2" xfId="20396"/>
    <cellStyle name="Normal 2 3 2 2 7 2 2 11" xfId="20397"/>
    <cellStyle name="Normal 2 3 2 2 7 2 2 2" xfId="20398"/>
    <cellStyle name="Normal 2 3 2 2 7 2 2 2 2" xfId="20399"/>
    <cellStyle name="Normal 2 3 2 2 7 2 2 3" xfId="20400"/>
    <cellStyle name="Normal 2 3 2 2 7 2 2 3 2" xfId="20401"/>
    <cellStyle name="Normal 2 3 2 2 7 2 2 4" xfId="20402"/>
    <cellStyle name="Normal 2 3 2 2 7 2 2 4 2" xfId="20403"/>
    <cellStyle name="Normal 2 3 2 2 7 2 2 5" xfId="20404"/>
    <cellStyle name="Normal 2 3 2 2 7 2 2 5 2" xfId="20405"/>
    <cellStyle name="Normal 2 3 2 2 7 2 2 6" xfId="20406"/>
    <cellStyle name="Normal 2 3 2 2 7 2 2 6 2" xfId="20407"/>
    <cellStyle name="Normal 2 3 2 2 7 2 2 7" xfId="20408"/>
    <cellStyle name="Normal 2 3 2 2 7 2 2 7 2" xfId="20409"/>
    <cellStyle name="Normal 2 3 2 2 7 2 2 8" xfId="20410"/>
    <cellStyle name="Normal 2 3 2 2 7 2 2 8 2" xfId="20411"/>
    <cellStyle name="Normal 2 3 2 2 7 2 2 9" xfId="20412"/>
    <cellStyle name="Normal 2 3 2 2 7 2 2 9 2" xfId="20413"/>
    <cellStyle name="Normal 2 3 2 2 7 2 3" xfId="20414"/>
    <cellStyle name="Normal 2 3 2 2 7 2 3 2" xfId="20415"/>
    <cellStyle name="Normal 2 3 2 2 7 2 4" xfId="20416"/>
    <cellStyle name="Normal 2 3 2 2 7 2 4 2" xfId="20417"/>
    <cellStyle name="Normal 2 3 2 2 7 2 5" xfId="20418"/>
    <cellStyle name="Normal 2 3 2 2 7 2 5 2" xfId="20419"/>
    <cellStyle name="Normal 2 3 2 2 7 2 6" xfId="20420"/>
    <cellStyle name="Normal 2 3 2 2 7 2 6 2" xfId="20421"/>
    <cellStyle name="Normal 2 3 2 2 7 2 7" xfId="20422"/>
    <cellStyle name="Normal 2 3 2 2 7 2 7 2" xfId="20423"/>
    <cellStyle name="Normal 2 3 2 2 7 2 8" xfId="20424"/>
    <cellStyle name="Normal 2 3 2 2 7 2 8 2" xfId="20425"/>
    <cellStyle name="Normal 2 3 2 2 7 2 9" xfId="20426"/>
    <cellStyle name="Normal 2 3 2 2 7 2 9 2" xfId="20427"/>
    <cellStyle name="Normal 2 3 2 2 7 3" xfId="20428"/>
    <cellStyle name="Normal 2 3 2 2 7 3 10" xfId="20429"/>
    <cellStyle name="Normal 2 3 2 2 7 3 10 2" xfId="20430"/>
    <cellStyle name="Normal 2 3 2 2 7 3 11" xfId="20431"/>
    <cellStyle name="Normal 2 3 2 2 7 3 2" xfId="20432"/>
    <cellStyle name="Normal 2 3 2 2 7 3 2 2" xfId="20433"/>
    <cellStyle name="Normal 2 3 2 2 7 3 3" xfId="20434"/>
    <cellStyle name="Normal 2 3 2 2 7 3 3 2" xfId="20435"/>
    <cellStyle name="Normal 2 3 2 2 7 3 4" xfId="20436"/>
    <cellStyle name="Normal 2 3 2 2 7 3 4 2" xfId="20437"/>
    <cellStyle name="Normal 2 3 2 2 7 3 5" xfId="20438"/>
    <cellStyle name="Normal 2 3 2 2 7 3 5 2" xfId="20439"/>
    <cellStyle name="Normal 2 3 2 2 7 3 6" xfId="20440"/>
    <cellStyle name="Normal 2 3 2 2 7 3 6 2" xfId="20441"/>
    <cellStyle name="Normal 2 3 2 2 7 3 7" xfId="20442"/>
    <cellStyle name="Normal 2 3 2 2 7 3 7 2" xfId="20443"/>
    <cellStyle name="Normal 2 3 2 2 7 3 8" xfId="20444"/>
    <cellStyle name="Normal 2 3 2 2 7 3 8 2" xfId="20445"/>
    <cellStyle name="Normal 2 3 2 2 7 3 9" xfId="20446"/>
    <cellStyle name="Normal 2 3 2 2 7 3 9 2" xfId="20447"/>
    <cellStyle name="Normal 2 3 2 2 7 4" xfId="20448"/>
    <cellStyle name="Normal 2 3 2 2 7 4 2" xfId="20449"/>
    <cellStyle name="Normal 2 3 2 2 7 5" xfId="20450"/>
    <cellStyle name="Normal 2 3 2 2 7 5 2" xfId="20451"/>
    <cellStyle name="Normal 2 3 2 2 7 6" xfId="20452"/>
    <cellStyle name="Normal 2 3 2 2 7 6 2" xfId="20453"/>
    <cellStyle name="Normal 2 3 2 2 7 7" xfId="20454"/>
    <cellStyle name="Normal 2 3 2 2 7 7 2" xfId="20455"/>
    <cellStyle name="Normal 2 3 2 2 7 8" xfId="20456"/>
    <cellStyle name="Normal 2 3 2 2 7 8 2" xfId="20457"/>
    <cellStyle name="Normal 2 3 2 2 7 9" xfId="20458"/>
    <cellStyle name="Normal 2 3 2 2 7 9 2" xfId="20459"/>
    <cellStyle name="Normal 2 3 2 2 8" xfId="20460"/>
    <cellStyle name="Normal 2 3 2 2 8 10" xfId="20461"/>
    <cellStyle name="Normal 2 3 2 2 8 10 2" xfId="20462"/>
    <cellStyle name="Normal 2 3 2 2 8 11" xfId="20463"/>
    <cellStyle name="Normal 2 3 2 2 8 11 2" xfId="20464"/>
    <cellStyle name="Normal 2 3 2 2 8 12" xfId="20465"/>
    <cellStyle name="Normal 2 3 2 2 8 12 2" xfId="20466"/>
    <cellStyle name="Normal 2 3 2 2 8 13" xfId="20467"/>
    <cellStyle name="Normal 2 3 2 2 8 2" xfId="20468"/>
    <cellStyle name="Normal 2 3 2 2 8 2 10" xfId="20469"/>
    <cellStyle name="Normal 2 3 2 2 8 2 10 2" xfId="20470"/>
    <cellStyle name="Normal 2 3 2 2 8 2 11" xfId="20471"/>
    <cellStyle name="Normal 2 3 2 2 8 2 11 2" xfId="20472"/>
    <cellStyle name="Normal 2 3 2 2 8 2 12" xfId="20473"/>
    <cellStyle name="Normal 2 3 2 2 8 2 2" xfId="20474"/>
    <cellStyle name="Normal 2 3 2 2 8 2 2 10" xfId="20475"/>
    <cellStyle name="Normal 2 3 2 2 8 2 2 10 2" xfId="20476"/>
    <cellStyle name="Normal 2 3 2 2 8 2 2 11" xfId="20477"/>
    <cellStyle name="Normal 2 3 2 2 8 2 2 2" xfId="20478"/>
    <cellStyle name="Normal 2 3 2 2 8 2 2 2 2" xfId="20479"/>
    <cellStyle name="Normal 2 3 2 2 8 2 2 3" xfId="20480"/>
    <cellStyle name="Normal 2 3 2 2 8 2 2 3 2" xfId="20481"/>
    <cellStyle name="Normal 2 3 2 2 8 2 2 4" xfId="20482"/>
    <cellStyle name="Normal 2 3 2 2 8 2 2 4 2" xfId="20483"/>
    <cellStyle name="Normal 2 3 2 2 8 2 2 5" xfId="20484"/>
    <cellStyle name="Normal 2 3 2 2 8 2 2 5 2" xfId="20485"/>
    <cellStyle name="Normal 2 3 2 2 8 2 2 6" xfId="20486"/>
    <cellStyle name="Normal 2 3 2 2 8 2 2 6 2" xfId="20487"/>
    <cellStyle name="Normal 2 3 2 2 8 2 2 7" xfId="20488"/>
    <cellStyle name="Normal 2 3 2 2 8 2 2 7 2" xfId="20489"/>
    <cellStyle name="Normal 2 3 2 2 8 2 2 8" xfId="20490"/>
    <cellStyle name="Normal 2 3 2 2 8 2 2 8 2" xfId="20491"/>
    <cellStyle name="Normal 2 3 2 2 8 2 2 9" xfId="20492"/>
    <cellStyle name="Normal 2 3 2 2 8 2 2 9 2" xfId="20493"/>
    <cellStyle name="Normal 2 3 2 2 8 2 3" xfId="20494"/>
    <cellStyle name="Normal 2 3 2 2 8 2 3 2" xfId="20495"/>
    <cellStyle name="Normal 2 3 2 2 8 2 4" xfId="20496"/>
    <cellStyle name="Normal 2 3 2 2 8 2 4 2" xfId="20497"/>
    <cellStyle name="Normal 2 3 2 2 8 2 5" xfId="20498"/>
    <cellStyle name="Normal 2 3 2 2 8 2 5 2" xfId="20499"/>
    <cellStyle name="Normal 2 3 2 2 8 2 6" xfId="20500"/>
    <cellStyle name="Normal 2 3 2 2 8 2 6 2" xfId="20501"/>
    <cellStyle name="Normal 2 3 2 2 8 2 7" xfId="20502"/>
    <cellStyle name="Normal 2 3 2 2 8 2 7 2" xfId="20503"/>
    <cellStyle name="Normal 2 3 2 2 8 2 8" xfId="20504"/>
    <cellStyle name="Normal 2 3 2 2 8 2 8 2" xfId="20505"/>
    <cellStyle name="Normal 2 3 2 2 8 2 9" xfId="20506"/>
    <cellStyle name="Normal 2 3 2 2 8 2 9 2" xfId="20507"/>
    <cellStyle name="Normal 2 3 2 2 8 3" xfId="20508"/>
    <cellStyle name="Normal 2 3 2 2 8 3 10" xfId="20509"/>
    <cellStyle name="Normal 2 3 2 2 8 3 10 2" xfId="20510"/>
    <cellStyle name="Normal 2 3 2 2 8 3 11" xfId="20511"/>
    <cellStyle name="Normal 2 3 2 2 8 3 2" xfId="20512"/>
    <cellStyle name="Normal 2 3 2 2 8 3 2 2" xfId="20513"/>
    <cellStyle name="Normal 2 3 2 2 8 3 3" xfId="20514"/>
    <cellStyle name="Normal 2 3 2 2 8 3 3 2" xfId="20515"/>
    <cellStyle name="Normal 2 3 2 2 8 3 4" xfId="20516"/>
    <cellStyle name="Normal 2 3 2 2 8 3 4 2" xfId="20517"/>
    <cellStyle name="Normal 2 3 2 2 8 3 5" xfId="20518"/>
    <cellStyle name="Normal 2 3 2 2 8 3 5 2" xfId="20519"/>
    <cellStyle name="Normal 2 3 2 2 8 3 6" xfId="20520"/>
    <cellStyle name="Normal 2 3 2 2 8 3 6 2" xfId="20521"/>
    <cellStyle name="Normal 2 3 2 2 8 3 7" xfId="20522"/>
    <cellStyle name="Normal 2 3 2 2 8 3 7 2" xfId="20523"/>
    <cellStyle name="Normal 2 3 2 2 8 3 8" xfId="20524"/>
    <cellStyle name="Normal 2 3 2 2 8 3 8 2" xfId="20525"/>
    <cellStyle name="Normal 2 3 2 2 8 3 9" xfId="20526"/>
    <cellStyle name="Normal 2 3 2 2 8 3 9 2" xfId="20527"/>
    <cellStyle name="Normal 2 3 2 2 8 4" xfId="20528"/>
    <cellStyle name="Normal 2 3 2 2 8 4 2" xfId="20529"/>
    <cellStyle name="Normal 2 3 2 2 8 5" xfId="20530"/>
    <cellStyle name="Normal 2 3 2 2 8 5 2" xfId="20531"/>
    <cellStyle name="Normal 2 3 2 2 8 6" xfId="20532"/>
    <cellStyle name="Normal 2 3 2 2 8 6 2" xfId="20533"/>
    <cellStyle name="Normal 2 3 2 2 8 7" xfId="20534"/>
    <cellStyle name="Normal 2 3 2 2 8 7 2" xfId="20535"/>
    <cellStyle name="Normal 2 3 2 2 8 8" xfId="20536"/>
    <cellStyle name="Normal 2 3 2 2 8 8 2" xfId="20537"/>
    <cellStyle name="Normal 2 3 2 2 8 9" xfId="20538"/>
    <cellStyle name="Normal 2 3 2 2 8 9 2" xfId="20539"/>
    <cellStyle name="Normal 2 3 2 2 9" xfId="20540"/>
    <cellStyle name="Normal 2 3 2 2 9 10" xfId="20541"/>
    <cellStyle name="Normal 2 3 2 2 9 10 2" xfId="20542"/>
    <cellStyle name="Normal 2 3 2 2 9 11" xfId="20543"/>
    <cellStyle name="Normal 2 3 2 2 9 11 2" xfId="20544"/>
    <cellStyle name="Normal 2 3 2 2 9 12" xfId="20545"/>
    <cellStyle name="Normal 2 3 2 2 9 12 2" xfId="20546"/>
    <cellStyle name="Normal 2 3 2 2 9 13" xfId="20547"/>
    <cellStyle name="Normal 2 3 2 2 9 2" xfId="20548"/>
    <cellStyle name="Normal 2 3 2 2 9 2 10" xfId="20549"/>
    <cellStyle name="Normal 2 3 2 2 9 2 10 2" xfId="20550"/>
    <cellStyle name="Normal 2 3 2 2 9 2 11" xfId="20551"/>
    <cellStyle name="Normal 2 3 2 2 9 2 11 2" xfId="20552"/>
    <cellStyle name="Normal 2 3 2 2 9 2 12" xfId="20553"/>
    <cellStyle name="Normal 2 3 2 2 9 2 2" xfId="20554"/>
    <cellStyle name="Normal 2 3 2 2 9 2 2 10" xfId="20555"/>
    <cellStyle name="Normal 2 3 2 2 9 2 2 10 2" xfId="20556"/>
    <cellStyle name="Normal 2 3 2 2 9 2 2 11" xfId="20557"/>
    <cellStyle name="Normal 2 3 2 2 9 2 2 2" xfId="20558"/>
    <cellStyle name="Normal 2 3 2 2 9 2 2 2 2" xfId="20559"/>
    <cellStyle name="Normal 2 3 2 2 9 2 2 3" xfId="20560"/>
    <cellStyle name="Normal 2 3 2 2 9 2 2 3 2" xfId="20561"/>
    <cellStyle name="Normal 2 3 2 2 9 2 2 4" xfId="20562"/>
    <cellStyle name="Normal 2 3 2 2 9 2 2 4 2" xfId="20563"/>
    <cellStyle name="Normal 2 3 2 2 9 2 2 5" xfId="20564"/>
    <cellStyle name="Normal 2 3 2 2 9 2 2 5 2" xfId="20565"/>
    <cellStyle name="Normal 2 3 2 2 9 2 2 6" xfId="20566"/>
    <cellStyle name="Normal 2 3 2 2 9 2 2 6 2" xfId="20567"/>
    <cellStyle name="Normal 2 3 2 2 9 2 2 7" xfId="20568"/>
    <cellStyle name="Normal 2 3 2 2 9 2 2 7 2" xfId="20569"/>
    <cellStyle name="Normal 2 3 2 2 9 2 2 8" xfId="20570"/>
    <cellStyle name="Normal 2 3 2 2 9 2 2 8 2" xfId="20571"/>
    <cellStyle name="Normal 2 3 2 2 9 2 2 9" xfId="20572"/>
    <cellStyle name="Normal 2 3 2 2 9 2 2 9 2" xfId="20573"/>
    <cellStyle name="Normal 2 3 2 2 9 2 3" xfId="20574"/>
    <cellStyle name="Normal 2 3 2 2 9 2 3 2" xfId="20575"/>
    <cellStyle name="Normal 2 3 2 2 9 2 4" xfId="20576"/>
    <cellStyle name="Normal 2 3 2 2 9 2 4 2" xfId="20577"/>
    <cellStyle name="Normal 2 3 2 2 9 2 5" xfId="20578"/>
    <cellStyle name="Normal 2 3 2 2 9 2 5 2" xfId="20579"/>
    <cellStyle name="Normal 2 3 2 2 9 2 6" xfId="20580"/>
    <cellStyle name="Normal 2 3 2 2 9 2 6 2" xfId="20581"/>
    <cellStyle name="Normal 2 3 2 2 9 2 7" xfId="20582"/>
    <cellStyle name="Normal 2 3 2 2 9 2 7 2" xfId="20583"/>
    <cellStyle name="Normal 2 3 2 2 9 2 8" xfId="20584"/>
    <cellStyle name="Normal 2 3 2 2 9 2 8 2" xfId="20585"/>
    <cellStyle name="Normal 2 3 2 2 9 2 9" xfId="20586"/>
    <cellStyle name="Normal 2 3 2 2 9 2 9 2" xfId="20587"/>
    <cellStyle name="Normal 2 3 2 2 9 3" xfId="20588"/>
    <cellStyle name="Normal 2 3 2 2 9 3 10" xfId="20589"/>
    <cellStyle name="Normal 2 3 2 2 9 3 10 2" xfId="20590"/>
    <cellStyle name="Normal 2 3 2 2 9 3 11" xfId="20591"/>
    <cellStyle name="Normal 2 3 2 2 9 3 2" xfId="20592"/>
    <cellStyle name="Normal 2 3 2 2 9 3 2 2" xfId="20593"/>
    <cellStyle name="Normal 2 3 2 2 9 3 3" xfId="20594"/>
    <cellStyle name="Normal 2 3 2 2 9 3 3 2" xfId="20595"/>
    <cellStyle name="Normal 2 3 2 2 9 3 4" xfId="20596"/>
    <cellStyle name="Normal 2 3 2 2 9 3 4 2" xfId="20597"/>
    <cellStyle name="Normal 2 3 2 2 9 3 5" xfId="20598"/>
    <cellStyle name="Normal 2 3 2 2 9 3 5 2" xfId="20599"/>
    <cellStyle name="Normal 2 3 2 2 9 3 6" xfId="20600"/>
    <cellStyle name="Normal 2 3 2 2 9 3 6 2" xfId="20601"/>
    <cellStyle name="Normal 2 3 2 2 9 3 7" xfId="20602"/>
    <cellStyle name="Normal 2 3 2 2 9 3 7 2" xfId="20603"/>
    <cellStyle name="Normal 2 3 2 2 9 3 8" xfId="20604"/>
    <cellStyle name="Normal 2 3 2 2 9 3 8 2" xfId="20605"/>
    <cellStyle name="Normal 2 3 2 2 9 3 9" xfId="20606"/>
    <cellStyle name="Normal 2 3 2 2 9 3 9 2" xfId="20607"/>
    <cellStyle name="Normal 2 3 2 2 9 4" xfId="20608"/>
    <cellStyle name="Normal 2 3 2 2 9 4 2" xfId="20609"/>
    <cellStyle name="Normal 2 3 2 2 9 5" xfId="20610"/>
    <cellStyle name="Normal 2 3 2 2 9 5 2" xfId="20611"/>
    <cellStyle name="Normal 2 3 2 2 9 6" xfId="20612"/>
    <cellStyle name="Normal 2 3 2 2 9 6 2" xfId="20613"/>
    <cellStyle name="Normal 2 3 2 2 9 7" xfId="20614"/>
    <cellStyle name="Normal 2 3 2 2 9 7 2" xfId="20615"/>
    <cellStyle name="Normal 2 3 2 2 9 8" xfId="20616"/>
    <cellStyle name="Normal 2 3 2 2 9 8 2" xfId="20617"/>
    <cellStyle name="Normal 2 3 2 2 9 9" xfId="20618"/>
    <cellStyle name="Normal 2 3 2 2 9 9 2" xfId="20619"/>
    <cellStyle name="Normal 2 3 2 20" xfId="20620"/>
    <cellStyle name="Normal 2 3 2 21" xfId="20621"/>
    <cellStyle name="Normal 2 3 2 22" xfId="20622"/>
    <cellStyle name="Normal 2 3 2 23" xfId="20623"/>
    <cellStyle name="Normal 2 3 2 24" xfId="20624"/>
    <cellStyle name="Normal 2 3 2 25" xfId="20625"/>
    <cellStyle name="Normal 2 3 2 26" xfId="20626"/>
    <cellStyle name="Normal 2 3 2 27" xfId="20627"/>
    <cellStyle name="Normal 2 3 2 28" xfId="20628"/>
    <cellStyle name="Normal 2 3 2 29" xfId="20629"/>
    <cellStyle name="Normal 2 3 2 3" xfId="20630"/>
    <cellStyle name="Normal 2 3 2 3 10" xfId="20631"/>
    <cellStyle name="Normal 2 3 2 3 10 2" xfId="20632"/>
    <cellStyle name="Normal 2 3 2 3 11" xfId="20633"/>
    <cellStyle name="Normal 2 3 2 3 11 2" xfId="20634"/>
    <cellStyle name="Normal 2 3 2 3 12" xfId="20635"/>
    <cellStyle name="Normal 2 3 2 3 12 2" xfId="20636"/>
    <cellStyle name="Normal 2 3 2 3 13" xfId="20637"/>
    <cellStyle name="Normal 2 3 2 3 2" xfId="20638"/>
    <cellStyle name="Normal 2 3 2 3 2 10" xfId="20639"/>
    <cellStyle name="Normal 2 3 2 3 2 10 2" xfId="20640"/>
    <cellStyle name="Normal 2 3 2 3 2 11" xfId="20641"/>
    <cellStyle name="Normal 2 3 2 3 2 11 2" xfId="20642"/>
    <cellStyle name="Normal 2 3 2 3 2 12" xfId="20643"/>
    <cellStyle name="Normal 2 3 2 3 2 2" xfId="20644"/>
    <cellStyle name="Normal 2 3 2 3 2 2 10" xfId="20645"/>
    <cellStyle name="Normal 2 3 2 3 2 2 10 2" xfId="20646"/>
    <cellStyle name="Normal 2 3 2 3 2 2 11" xfId="20647"/>
    <cellStyle name="Normal 2 3 2 3 2 2 2" xfId="20648"/>
    <cellStyle name="Normal 2 3 2 3 2 2 2 2" xfId="20649"/>
    <cellStyle name="Normal 2 3 2 3 2 2 3" xfId="20650"/>
    <cellStyle name="Normal 2 3 2 3 2 2 3 2" xfId="20651"/>
    <cellStyle name="Normal 2 3 2 3 2 2 4" xfId="20652"/>
    <cellStyle name="Normal 2 3 2 3 2 2 4 2" xfId="20653"/>
    <cellStyle name="Normal 2 3 2 3 2 2 5" xfId="20654"/>
    <cellStyle name="Normal 2 3 2 3 2 2 5 2" xfId="20655"/>
    <cellStyle name="Normal 2 3 2 3 2 2 6" xfId="20656"/>
    <cellStyle name="Normal 2 3 2 3 2 2 6 2" xfId="20657"/>
    <cellStyle name="Normal 2 3 2 3 2 2 7" xfId="20658"/>
    <cellStyle name="Normal 2 3 2 3 2 2 7 2" xfId="20659"/>
    <cellStyle name="Normal 2 3 2 3 2 2 8" xfId="20660"/>
    <cellStyle name="Normal 2 3 2 3 2 2 8 2" xfId="20661"/>
    <cellStyle name="Normal 2 3 2 3 2 2 9" xfId="20662"/>
    <cellStyle name="Normal 2 3 2 3 2 2 9 2" xfId="20663"/>
    <cellStyle name="Normal 2 3 2 3 2 3" xfId="20664"/>
    <cellStyle name="Normal 2 3 2 3 2 3 2" xfId="20665"/>
    <cellStyle name="Normal 2 3 2 3 2 4" xfId="20666"/>
    <cellStyle name="Normal 2 3 2 3 2 4 2" xfId="20667"/>
    <cellStyle name="Normal 2 3 2 3 2 5" xfId="20668"/>
    <cellStyle name="Normal 2 3 2 3 2 5 2" xfId="20669"/>
    <cellStyle name="Normal 2 3 2 3 2 6" xfId="20670"/>
    <cellStyle name="Normal 2 3 2 3 2 6 2" xfId="20671"/>
    <cellStyle name="Normal 2 3 2 3 2 7" xfId="20672"/>
    <cellStyle name="Normal 2 3 2 3 2 7 2" xfId="20673"/>
    <cellStyle name="Normal 2 3 2 3 2 8" xfId="20674"/>
    <cellStyle name="Normal 2 3 2 3 2 8 2" xfId="20675"/>
    <cellStyle name="Normal 2 3 2 3 2 9" xfId="20676"/>
    <cellStyle name="Normal 2 3 2 3 2 9 2" xfId="20677"/>
    <cellStyle name="Normal 2 3 2 3 3" xfId="20678"/>
    <cellStyle name="Normal 2 3 2 3 3 10" xfId="20679"/>
    <cellStyle name="Normal 2 3 2 3 3 10 2" xfId="20680"/>
    <cellStyle name="Normal 2 3 2 3 3 11" xfId="20681"/>
    <cellStyle name="Normal 2 3 2 3 3 2" xfId="20682"/>
    <cellStyle name="Normal 2 3 2 3 3 2 2" xfId="20683"/>
    <cellStyle name="Normal 2 3 2 3 3 3" xfId="20684"/>
    <cellStyle name="Normal 2 3 2 3 3 3 2" xfId="20685"/>
    <cellStyle name="Normal 2 3 2 3 3 4" xfId="20686"/>
    <cellStyle name="Normal 2 3 2 3 3 4 2" xfId="20687"/>
    <cellStyle name="Normal 2 3 2 3 3 5" xfId="20688"/>
    <cellStyle name="Normal 2 3 2 3 3 5 2" xfId="20689"/>
    <cellStyle name="Normal 2 3 2 3 3 6" xfId="20690"/>
    <cellStyle name="Normal 2 3 2 3 3 6 2" xfId="20691"/>
    <cellStyle name="Normal 2 3 2 3 3 7" xfId="20692"/>
    <cellStyle name="Normal 2 3 2 3 3 7 2" xfId="20693"/>
    <cellStyle name="Normal 2 3 2 3 3 8" xfId="20694"/>
    <cellStyle name="Normal 2 3 2 3 3 8 2" xfId="20695"/>
    <cellStyle name="Normal 2 3 2 3 3 9" xfId="20696"/>
    <cellStyle name="Normal 2 3 2 3 3 9 2" xfId="20697"/>
    <cellStyle name="Normal 2 3 2 3 4" xfId="20698"/>
    <cellStyle name="Normal 2 3 2 3 4 2" xfId="20699"/>
    <cellStyle name="Normal 2 3 2 3 5" xfId="20700"/>
    <cellStyle name="Normal 2 3 2 3 5 2" xfId="20701"/>
    <cellStyle name="Normal 2 3 2 3 6" xfId="20702"/>
    <cellStyle name="Normal 2 3 2 3 6 2" xfId="20703"/>
    <cellStyle name="Normal 2 3 2 3 7" xfId="20704"/>
    <cellStyle name="Normal 2 3 2 3 7 2" xfId="20705"/>
    <cellStyle name="Normal 2 3 2 3 8" xfId="20706"/>
    <cellStyle name="Normal 2 3 2 3 8 2" xfId="20707"/>
    <cellStyle name="Normal 2 3 2 3 9" xfId="20708"/>
    <cellStyle name="Normal 2 3 2 3 9 2" xfId="20709"/>
    <cellStyle name="Normal 2 3 2 4" xfId="20710"/>
    <cellStyle name="Normal 2 3 2 4 10" xfId="20711"/>
    <cellStyle name="Normal 2 3 2 4 10 2" xfId="20712"/>
    <cellStyle name="Normal 2 3 2 4 11" xfId="20713"/>
    <cellStyle name="Normal 2 3 2 4 11 2" xfId="20714"/>
    <cellStyle name="Normal 2 3 2 4 12" xfId="20715"/>
    <cellStyle name="Normal 2 3 2 4 12 2" xfId="20716"/>
    <cellStyle name="Normal 2 3 2 4 13" xfId="20717"/>
    <cellStyle name="Normal 2 3 2 4 2" xfId="20718"/>
    <cellStyle name="Normal 2 3 2 4 2 10" xfId="20719"/>
    <cellStyle name="Normal 2 3 2 4 2 10 2" xfId="20720"/>
    <cellStyle name="Normal 2 3 2 4 2 11" xfId="20721"/>
    <cellStyle name="Normal 2 3 2 4 2 11 2" xfId="20722"/>
    <cellStyle name="Normal 2 3 2 4 2 12" xfId="20723"/>
    <cellStyle name="Normal 2 3 2 4 2 2" xfId="20724"/>
    <cellStyle name="Normal 2 3 2 4 2 2 10" xfId="20725"/>
    <cellStyle name="Normal 2 3 2 4 2 2 10 2" xfId="20726"/>
    <cellStyle name="Normal 2 3 2 4 2 2 11" xfId="20727"/>
    <cellStyle name="Normal 2 3 2 4 2 2 2" xfId="20728"/>
    <cellStyle name="Normal 2 3 2 4 2 2 2 2" xfId="20729"/>
    <cellStyle name="Normal 2 3 2 4 2 2 3" xfId="20730"/>
    <cellStyle name="Normal 2 3 2 4 2 2 3 2" xfId="20731"/>
    <cellStyle name="Normal 2 3 2 4 2 2 4" xfId="20732"/>
    <cellStyle name="Normal 2 3 2 4 2 2 4 2" xfId="20733"/>
    <cellStyle name="Normal 2 3 2 4 2 2 5" xfId="20734"/>
    <cellStyle name="Normal 2 3 2 4 2 2 5 2" xfId="20735"/>
    <cellStyle name="Normal 2 3 2 4 2 2 6" xfId="20736"/>
    <cellStyle name="Normal 2 3 2 4 2 2 6 2" xfId="20737"/>
    <cellStyle name="Normal 2 3 2 4 2 2 7" xfId="20738"/>
    <cellStyle name="Normal 2 3 2 4 2 2 7 2" xfId="20739"/>
    <cellStyle name="Normal 2 3 2 4 2 2 8" xfId="20740"/>
    <cellStyle name="Normal 2 3 2 4 2 2 8 2" xfId="20741"/>
    <cellStyle name="Normal 2 3 2 4 2 2 9" xfId="20742"/>
    <cellStyle name="Normal 2 3 2 4 2 2 9 2" xfId="20743"/>
    <cellStyle name="Normal 2 3 2 4 2 3" xfId="20744"/>
    <cellStyle name="Normal 2 3 2 4 2 3 2" xfId="20745"/>
    <cellStyle name="Normal 2 3 2 4 2 4" xfId="20746"/>
    <cellStyle name="Normal 2 3 2 4 2 4 2" xfId="20747"/>
    <cellStyle name="Normal 2 3 2 4 2 5" xfId="20748"/>
    <cellStyle name="Normal 2 3 2 4 2 5 2" xfId="20749"/>
    <cellStyle name="Normal 2 3 2 4 2 6" xfId="20750"/>
    <cellStyle name="Normal 2 3 2 4 2 6 2" xfId="20751"/>
    <cellStyle name="Normal 2 3 2 4 2 7" xfId="20752"/>
    <cellStyle name="Normal 2 3 2 4 2 7 2" xfId="20753"/>
    <cellStyle name="Normal 2 3 2 4 2 8" xfId="20754"/>
    <cellStyle name="Normal 2 3 2 4 2 8 2" xfId="20755"/>
    <cellStyle name="Normal 2 3 2 4 2 9" xfId="20756"/>
    <cellStyle name="Normal 2 3 2 4 2 9 2" xfId="20757"/>
    <cellStyle name="Normal 2 3 2 4 3" xfId="20758"/>
    <cellStyle name="Normal 2 3 2 4 3 10" xfId="20759"/>
    <cellStyle name="Normal 2 3 2 4 3 10 2" xfId="20760"/>
    <cellStyle name="Normal 2 3 2 4 3 11" xfId="20761"/>
    <cellStyle name="Normal 2 3 2 4 3 2" xfId="20762"/>
    <cellStyle name="Normal 2 3 2 4 3 2 2" xfId="20763"/>
    <cellStyle name="Normal 2 3 2 4 3 3" xfId="20764"/>
    <cellStyle name="Normal 2 3 2 4 3 3 2" xfId="20765"/>
    <cellStyle name="Normal 2 3 2 4 3 4" xfId="20766"/>
    <cellStyle name="Normal 2 3 2 4 3 4 2" xfId="20767"/>
    <cellStyle name="Normal 2 3 2 4 3 5" xfId="20768"/>
    <cellStyle name="Normal 2 3 2 4 3 5 2" xfId="20769"/>
    <cellStyle name="Normal 2 3 2 4 3 6" xfId="20770"/>
    <cellStyle name="Normal 2 3 2 4 3 6 2" xfId="20771"/>
    <cellStyle name="Normal 2 3 2 4 3 7" xfId="20772"/>
    <cellStyle name="Normal 2 3 2 4 3 7 2" xfId="20773"/>
    <cellStyle name="Normal 2 3 2 4 3 8" xfId="20774"/>
    <cellStyle name="Normal 2 3 2 4 3 8 2" xfId="20775"/>
    <cellStyle name="Normal 2 3 2 4 3 9" xfId="20776"/>
    <cellStyle name="Normal 2 3 2 4 3 9 2" xfId="20777"/>
    <cellStyle name="Normal 2 3 2 4 4" xfId="20778"/>
    <cellStyle name="Normal 2 3 2 4 4 2" xfId="20779"/>
    <cellStyle name="Normal 2 3 2 4 5" xfId="20780"/>
    <cellStyle name="Normal 2 3 2 4 5 2" xfId="20781"/>
    <cellStyle name="Normal 2 3 2 4 6" xfId="20782"/>
    <cellStyle name="Normal 2 3 2 4 6 2" xfId="20783"/>
    <cellStyle name="Normal 2 3 2 4 7" xfId="20784"/>
    <cellStyle name="Normal 2 3 2 4 7 2" xfId="20785"/>
    <cellStyle name="Normal 2 3 2 4 8" xfId="20786"/>
    <cellStyle name="Normal 2 3 2 4 8 2" xfId="20787"/>
    <cellStyle name="Normal 2 3 2 4 9" xfId="20788"/>
    <cellStyle name="Normal 2 3 2 4 9 2" xfId="20789"/>
    <cellStyle name="Normal 2 3 2 5" xfId="20790"/>
    <cellStyle name="Normal 2 3 2 5 10" xfId="20791"/>
    <cellStyle name="Normal 2 3 2 5 10 2" xfId="20792"/>
    <cellStyle name="Normal 2 3 2 5 11" xfId="20793"/>
    <cellStyle name="Normal 2 3 2 5 11 2" xfId="20794"/>
    <cellStyle name="Normal 2 3 2 5 12" xfId="20795"/>
    <cellStyle name="Normal 2 3 2 5 12 2" xfId="20796"/>
    <cellStyle name="Normal 2 3 2 5 13" xfId="20797"/>
    <cellStyle name="Normal 2 3 2 5 2" xfId="20798"/>
    <cellStyle name="Normal 2 3 2 5 2 10" xfId="20799"/>
    <cellStyle name="Normal 2 3 2 5 2 10 2" xfId="20800"/>
    <cellStyle name="Normal 2 3 2 5 2 11" xfId="20801"/>
    <cellStyle name="Normal 2 3 2 5 2 11 2" xfId="20802"/>
    <cellStyle name="Normal 2 3 2 5 2 12" xfId="20803"/>
    <cellStyle name="Normal 2 3 2 5 2 2" xfId="20804"/>
    <cellStyle name="Normal 2 3 2 5 2 2 10" xfId="20805"/>
    <cellStyle name="Normal 2 3 2 5 2 2 10 2" xfId="20806"/>
    <cellStyle name="Normal 2 3 2 5 2 2 11" xfId="20807"/>
    <cellStyle name="Normal 2 3 2 5 2 2 2" xfId="20808"/>
    <cellStyle name="Normal 2 3 2 5 2 2 2 2" xfId="20809"/>
    <cellStyle name="Normal 2 3 2 5 2 2 3" xfId="20810"/>
    <cellStyle name="Normal 2 3 2 5 2 2 3 2" xfId="20811"/>
    <cellStyle name="Normal 2 3 2 5 2 2 4" xfId="20812"/>
    <cellStyle name="Normal 2 3 2 5 2 2 4 2" xfId="20813"/>
    <cellStyle name="Normal 2 3 2 5 2 2 5" xfId="20814"/>
    <cellStyle name="Normal 2 3 2 5 2 2 5 2" xfId="20815"/>
    <cellStyle name="Normal 2 3 2 5 2 2 6" xfId="20816"/>
    <cellStyle name="Normal 2 3 2 5 2 2 6 2" xfId="20817"/>
    <cellStyle name="Normal 2 3 2 5 2 2 7" xfId="20818"/>
    <cellStyle name="Normal 2 3 2 5 2 2 7 2" xfId="20819"/>
    <cellStyle name="Normal 2 3 2 5 2 2 8" xfId="20820"/>
    <cellStyle name="Normal 2 3 2 5 2 2 8 2" xfId="20821"/>
    <cellStyle name="Normal 2 3 2 5 2 2 9" xfId="20822"/>
    <cellStyle name="Normal 2 3 2 5 2 2 9 2" xfId="20823"/>
    <cellStyle name="Normal 2 3 2 5 2 3" xfId="20824"/>
    <cellStyle name="Normal 2 3 2 5 2 3 2" xfId="20825"/>
    <cellStyle name="Normal 2 3 2 5 2 4" xfId="20826"/>
    <cellStyle name="Normal 2 3 2 5 2 4 2" xfId="20827"/>
    <cellStyle name="Normal 2 3 2 5 2 5" xfId="20828"/>
    <cellStyle name="Normal 2 3 2 5 2 5 2" xfId="20829"/>
    <cellStyle name="Normal 2 3 2 5 2 6" xfId="20830"/>
    <cellStyle name="Normal 2 3 2 5 2 6 2" xfId="20831"/>
    <cellStyle name="Normal 2 3 2 5 2 7" xfId="20832"/>
    <cellStyle name="Normal 2 3 2 5 2 7 2" xfId="20833"/>
    <cellStyle name="Normal 2 3 2 5 2 8" xfId="20834"/>
    <cellStyle name="Normal 2 3 2 5 2 8 2" xfId="20835"/>
    <cellStyle name="Normal 2 3 2 5 2 9" xfId="20836"/>
    <cellStyle name="Normal 2 3 2 5 2 9 2" xfId="20837"/>
    <cellStyle name="Normal 2 3 2 5 3" xfId="20838"/>
    <cellStyle name="Normal 2 3 2 5 3 10" xfId="20839"/>
    <cellStyle name="Normal 2 3 2 5 3 10 2" xfId="20840"/>
    <cellStyle name="Normal 2 3 2 5 3 11" xfId="20841"/>
    <cellStyle name="Normal 2 3 2 5 3 2" xfId="20842"/>
    <cellStyle name="Normal 2 3 2 5 3 2 2" xfId="20843"/>
    <cellStyle name="Normal 2 3 2 5 3 3" xfId="20844"/>
    <cellStyle name="Normal 2 3 2 5 3 3 2" xfId="20845"/>
    <cellStyle name="Normal 2 3 2 5 3 4" xfId="20846"/>
    <cellStyle name="Normal 2 3 2 5 3 4 2" xfId="20847"/>
    <cellStyle name="Normal 2 3 2 5 3 5" xfId="20848"/>
    <cellStyle name="Normal 2 3 2 5 3 5 2" xfId="20849"/>
    <cellStyle name="Normal 2 3 2 5 3 6" xfId="20850"/>
    <cellStyle name="Normal 2 3 2 5 3 6 2" xfId="20851"/>
    <cellStyle name="Normal 2 3 2 5 3 7" xfId="20852"/>
    <cellStyle name="Normal 2 3 2 5 3 7 2" xfId="20853"/>
    <cellStyle name="Normal 2 3 2 5 3 8" xfId="20854"/>
    <cellStyle name="Normal 2 3 2 5 3 8 2" xfId="20855"/>
    <cellStyle name="Normal 2 3 2 5 3 9" xfId="20856"/>
    <cellStyle name="Normal 2 3 2 5 3 9 2" xfId="20857"/>
    <cellStyle name="Normal 2 3 2 5 4" xfId="20858"/>
    <cellStyle name="Normal 2 3 2 5 4 2" xfId="20859"/>
    <cellStyle name="Normal 2 3 2 5 5" xfId="20860"/>
    <cellStyle name="Normal 2 3 2 5 5 2" xfId="20861"/>
    <cellStyle name="Normal 2 3 2 5 6" xfId="20862"/>
    <cellStyle name="Normal 2 3 2 5 6 2" xfId="20863"/>
    <cellStyle name="Normal 2 3 2 5 7" xfId="20864"/>
    <cellStyle name="Normal 2 3 2 5 7 2" xfId="20865"/>
    <cellStyle name="Normal 2 3 2 5 8" xfId="20866"/>
    <cellStyle name="Normal 2 3 2 5 8 2" xfId="20867"/>
    <cellStyle name="Normal 2 3 2 5 9" xfId="20868"/>
    <cellStyle name="Normal 2 3 2 5 9 2" xfId="20869"/>
    <cellStyle name="Normal 2 3 2 6" xfId="20870"/>
    <cellStyle name="Normal 2 3 2 6 10" xfId="20871"/>
    <cellStyle name="Normal 2 3 2 6 10 2" xfId="20872"/>
    <cellStyle name="Normal 2 3 2 6 11" xfId="20873"/>
    <cellStyle name="Normal 2 3 2 6 11 2" xfId="20874"/>
    <cellStyle name="Normal 2 3 2 6 12" xfId="20875"/>
    <cellStyle name="Normal 2 3 2 6 12 2" xfId="20876"/>
    <cellStyle name="Normal 2 3 2 6 13" xfId="20877"/>
    <cellStyle name="Normal 2 3 2 6 2" xfId="20878"/>
    <cellStyle name="Normal 2 3 2 6 2 10" xfId="20879"/>
    <cellStyle name="Normal 2 3 2 6 2 10 2" xfId="20880"/>
    <cellStyle name="Normal 2 3 2 6 2 11" xfId="20881"/>
    <cellStyle name="Normal 2 3 2 6 2 11 2" xfId="20882"/>
    <cellStyle name="Normal 2 3 2 6 2 12" xfId="20883"/>
    <cellStyle name="Normal 2 3 2 6 2 2" xfId="20884"/>
    <cellStyle name="Normal 2 3 2 6 2 2 10" xfId="20885"/>
    <cellStyle name="Normal 2 3 2 6 2 2 10 2" xfId="20886"/>
    <cellStyle name="Normal 2 3 2 6 2 2 11" xfId="20887"/>
    <cellStyle name="Normal 2 3 2 6 2 2 2" xfId="20888"/>
    <cellStyle name="Normal 2 3 2 6 2 2 2 2" xfId="20889"/>
    <cellStyle name="Normal 2 3 2 6 2 2 3" xfId="20890"/>
    <cellStyle name="Normal 2 3 2 6 2 2 3 2" xfId="20891"/>
    <cellStyle name="Normal 2 3 2 6 2 2 4" xfId="20892"/>
    <cellStyle name="Normal 2 3 2 6 2 2 4 2" xfId="20893"/>
    <cellStyle name="Normal 2 3 2 6 2 2 5" xfId="20894"/>
    <cellStyle name="Normal 2 3 2 6 2 2 5 2" xfId="20895"/>
    <cellStyle name="Normal 2 3 2 6 2 2 6" xfId="20896"/>
    <cellStyle name="Normal 2 3 2 6 2 2 6 2" xfId="20897"/>
    <cellStyle name="Normal 2 3 2 6 2 2 7" xfId="20898"/>
    <cellStyle name="Normal 2 3 2 6 2 2 7 2" xfId="20899"/>
    <cellStyle name="Normal 2 3 2 6 2 2 8" xfId="20900"/>
    <cellStyle name="Normal 2 3 2 6 2 2 8 2" xfId="20901"/>
    <cellStyle name="Normal 2 3 2 6 2 2 9" xfId="20902"/>
    <cellStyle name="Normal 2 3 2 6 2 2 9 2" xfId="20903"/>
    <cellStyle name="Normal 2 3 2 6 2 3" xfId="20904"/>
    <cellStyle name="Normal 2 3 2 6 2 3 2" xfId="20905"/>
    <cellStyle name="Normal 2 3 2 6 2 4" xfId="20906"/>
    <cellStyle name="Normal 2 3 2 6 2 4 2" xfId="20907"/>
    <cellStyle name="Normal 2 3 2 6 2 5" xfId="20908"/>
    <cellStyle name="Normal 2 3 2 6 2 5 2" xfId="20909"/>
    <cellStyle name="Normal 2 3 2 6 2 6" xfId="20910"/>
    <cellStyle name="Normal 2 3 2 6 2 6 2" xfId="20911"/>
    <cellStyle name="Normal 2 3 2 6 2 7" xfId="20912"/>
    <cellStyle name="Normal 2 3 2 6 2 7 2" xfId="20913"/>
    <cellStyle name="Normal 2 3 2 6 2 8" xfId="20914"/>
    <cellStyle name="Normal 2 3 2 6 2 8 2" xfId="20915"/>
    <cellStyle name="Normal 2 3 2 6 2 9" xfId="20916"/>
    <cellStyle name="Normal 2 3 2 6 2 9 2" xfId="20917"/>
    <cellStyle name="Normal 2 3 2 6 3" xfId="20918"/>
    <cellStyle name="Normal 2 3 2 6 3 10" xfId="20919"/>
    <cellStyle name="Normal 2 3 2 6 3 10 2" xfId="20920"/>
    <cellStyle name="Normal 2 3 2 6 3 11" xfId="20921"/>
    <cellStyle name="Normal 2 3 2 6 3 2" xfId="20922"/>
    <cellStyle name="Normal 2 3 2 6 3 2 2" xfId="20923"/>
    <cellStyle name="Normal 2 3 2 6 3 3" xfId="20924"/>
    <cellStyle name="Normal 2 3 2 6 3 3 2" xfId="20925"/>
    <cellStyle name="Normal 2 3 2 6 3 4" xfId="20926"/>
    <cellStyle name="Normal 2 3 2 6 3 4 2" xfId="20927"/>
    <cellStyle name="Normal 2 3 2 6 3 5" xfId="20928"/>
    <cellStyle name="Normal 2 3 2 6 3 5 2" xfId="20929"/>
    <cellStyle name="Normal 2 3 2 6 3 6" xfId="20930"/>
    <cellStyle name="Normal 2 3 2 6 3 6 2" xfId="20931"/>
    <cellStyle name="Normal 2 3 2 6 3 7" xfId="20932"/>
    <cellStyle name="Normal 2 3 2 6 3 7 2" xfId="20933"/>
    <cellStyle name="Normal 2 3 2 6 3 8" xfId="20934"/>
    <cellStyle name="Normal 2 3 2 6 3 8 2" xfId="20935"/>
    <cellStyle name="Normal 2 3 2 6 3 9" xfId="20936"/>
    <cellStyle name="Normal 2 3 2 6 3 9 2" xfId="20937"/>
    <cellStyle name="Normal 2 3 2 6 4" xfId="20938"/>
    <cellStyle name="Normal 2 3 2 6 4 2" xfId="20939"/>
    <cellStyle name="Normal 2 3 2 6 5" xfId="20940"/>
    <cellStyle name="Normal 2 3 2 6 5 2" xfId="20941"/>
    <cellStyle name="Normal 2 3 2 6 6" xfId="20942"/>
    <cellStyle name="Normal 2 3 2 6 6 2" xfId="20943"/>
    <cellStyle name="Normal 2 3 2 6 7" xfId="20944"/>
    <cellStyle name="Normal 2 3 2 6 7 2" xfId="20945"/>
    <cellStyle name="Normal 2 3 2 6 8" xfId="20946"/>
    <cellStyle name="Normal 2 3 2 6 8 2" xfId="20947"/>
    <cellStyle name="Normal 2 3 2 6 9" xfId="20948"/>
    <cellStyle name="Normal 2 3 2 6 9 2" xfId="20949"/>
    <cellStyle name="Normal 2 3 2 7" xfId="20950"/>
    <cellStyle name="Normal 2 3 2 7 10" xfId="20951"/>
    <cellStyle name="Normal 2 3 2 7 10 2" xfId="20952"/>
    <cellStyle name="Normal 2 3 2 7 11" xfId="20953"/>
    <cellStyle name="Normal 2 3 2 7 11 2" xfId="20954"/>
    <cellStyle name="Normal 2 3 2 7 12" xfId="20955"/>
    <cellStyle name="Normal 2 3 2 7 12 2" xfId="20956"/>
    <cellStyle name="Normal 2 3 2 7 13" xfId="20957"/>
    <cellStyle name="Normal 2 3 2 7 2" xfId="20958"/>
    <cellStyle name="Normal 2 3 2 7 2 10" xfId="20959"/>
    <cellStyle name="Normal 2 3 2 7 2 10 2" xfId="20960"/>
    <cellStyle name="Normal 2 3 2 7 2 11" xfId="20961"/>
    <cellStyle name="Normal 2 3 2 7 2 11 2" xfId="20962"/>
    <cellStyle name="Normal 2 3 2 7 2 12" xfId="20963"/>
    <cellStyle name="Normal 2 3 2 7 2 2" xfId="20964"/>
    <cellStyle name="Normal 2 3 2 7 2 2 10" xfId="20965"/>
    <cellStyle name="Normal 2 3 2 7 2 2 10 2" xfId="20966"/>
    <cellStyle name="Normal 2 3 2 7 2 2 11" xfId="20967"/>
    <cellStyle name="Normal 2 3 2 7 2 2 2" xfId="20968"/>
    <cellStyle name="Normal 2 3 2 7 2 2 2 2" xfId="20969"/>
    <cellStyle name="Normal 2 3 2 7 2 2 3" xfId="20970"/>
    <cellStyle name="Normal 2 3 2 7 2 2 3 2" xfId="20971"/>
    <cellStyle name="Normal 2 3 2 7 2 2 4" xfId="20972"/>
    <cellStyle name="Normal 2 3 2 7 2 2 4 2" xfId="20973"/>
    <cellStyle name="Normal 2 3 2 7 2 2 5" xfId="20974"/>
    <cellStyle name="Normal 2 3 2 7 2 2 5 2" xfId="20975"/>
    <cellStyle name="Normal 2 3 2 7 2 2 6" xfId="20976"/>
    <cellStyle name="Normal 2 3 2 7 2 2 6 2" xfId="20977"/>
    <cellStyle name="Normal 2 3 2 7 2 2 7" xfId="20978"/>
    <cellStyle name="Normal 2 3 2 7 2 2 7 2" xfId="20979"/>
    <cellStyle name="Normal 2 3 2 7 2 2 8" xfId="20980"/>
    <cellStyle name="Normal 2 3 2 7 2 2 8 2" xfId="20981"/>
    <cellStyle name="Normal 2 3 2 7 2 2 9" xfId="20982"/>
    <cellStyle name="Normal 2 3 2 7 2 2 9 2" xfId="20983"/>
    <cellStyle name="Normal 2 3 2 7 2 3" xfId="20984"/>
    <cellStyle name="Normal 2 3 2 7 2 3 2" xfId="20985"/>
    <cellStyle name="Normal 2 3 2 7 2 4" xfId="20986"/>
    <cellStyle name="Normal 2 3 2 7 2 4 2" xfId="20987"/>
    <cellStyle name="Normal 2 3 2 7 2 5" xfId="20988"/>
    <cellStyle name="Normal 2 3 2 7 2 5 2" xfId="20989"/>
    <cellStyle name="Normal 2 3 2 7 2 6" xfId="20990"/>
    <cellStyle name="Normal 2 3 2 7 2 6 2" xfId="20991"/>
    <cellStyle name="Normal 2 3 2 7 2 7" xfId="20992"/>
    <cellStyle name="Normal 2 3 2 7 2 7 2" xfId="20993"/>
    <cellStyle name="Normal 2 3 2 7 2 8" xfId="20994"/>
    <cellStyle name="Normal 2 3 2 7 2 8 2" xfId="20995"/>
    <cellStyle name="Normal 2 3 2 7 2 9" xfId="20996"/>
    <cellStyle name="Normal 2 3 2 7 2 9 2" xfId="20997"/>
    <cellStyle name="Normal 2 3 2 7 3" xfId="20998"/>
    <cellStyle name="Normal 2 3 2 7 3 10" xfId="20999"/>
    <cellStyle name="Normal 2 3 2 7 3 10 2" xfId="21000"/>
    <cellStyle name="Normal 2 3 2 7 3 11" xfId="21001"/>
    <cellStyle name="Normal 2 3 2 7 3 2" xfId="21002"/>
    <cellStyle name="Normal 2 3 2 7 3 2 2" xfId="21003"/>
    <cellStyle name="Normal 2 3 2 7 3 3" xfId="21004"/>
    <cellStyle name="Normal 2 3 2 7 3 3 2" xfId="21005"/>
    <cellStyle name="Normal 2 3 2 7 3 4" xfId="21006"/>
    <cellStyle name="Normal 2 3 2 7 3 4 2" xfId="21007"/>
    <cellStyle name="Normal 2 3 2 7 3 5" xfId="21008"/>
    <cellStyle name="Normal 2 3 2 7 3 5 2" xfId="21009"/>
    <cellStyle name="Normal 2 3 2 7 3 6" xfId="21010"/>
    <cellStyle name="Normal 2 3 2 7 3 6 2" xfId="21011"/>
    <cellStyle name="Normal 2 3 2 7 3 7" xfId="21012"/>
    <cellStyle name="Normal 2 3 2 7 3 7 2" xfId="21013"/>
    <cellStyle name="Normal 2 3 2 7 3 8" xfId="21014"/>
    <cellStyle name="Normal 2 3 2 7 3 8 2" xfId="21015"/>
    <cellStyle name="Normal 2 3 2 7 3 9" xfId="21016"/>
    <cellStyle name="Normal 2 3 2 7 3 9 2" xfId="21017"/>
    <cellStyle name="Normal 2 3 2 7 4" xfId="21018"/>
    <cellStyle name="Normal 2 3 2 7 4 2" xfId="21019"/>
    <cellStyle name="Normal 2 3 2 7 5" xfId="21020"/>
    <cellStyle name="Normal 2 3 2 7 5 2" xfId="21021"/>
    <cellStyle name="Normal 2 3 2 7 6" xfId="21022"/>
    <cellStyle name="Normal 2 3 2 7 6 2" xfId="21023"/>
    <cellStyle name="Normal 2 3 2 7 7" xfId="21024"/>
    <cellStyle name="Normal 2 3 2 7 7 2" xfId="21025"/>
    <cellStyle name="Normal 2 3 2 7 8" xfId="21026"/>
    <cellStyle name="Normal 2 3 2 7 8 2" xfId="21027"/>
    <cellStyle name="Normal 2 3 2 7 9" xfId="21028"/>
    <cellStyle name="Normal 2 3 2 7 9 2" xfId="21029"/>
    <cellStyle name="Normal 2 3 2 8" xfId="21030"/>
    <cellStyle name="Normal 2 3 2 8 10" xfId="21031"/>
    <cellStyle name="Normal 2 3 2 8 10 2" xfId="21032"/>
    <cellStyle name="Normal 2 3 2 8 11" xfId="21033"/>
    <cellStyle name="Normal 2 3 2 8 11 2" xfId="21034"/>
    <cellStyle name="Normal 2 3 2 8 12" xfId="21035"/>
    <cellStyle name="Normal 2 3 2 8 12 2" xfId="21036"/>
    <cellStyle name="Normal 2 3 2 8 13" xfId="21037"/>
    <cellStyle name="Normal 2 3 2 8 2" xfId="21038"/>
    <cellStyle name="Normal 2 3 2 8 2 10" xfId="21039"/>
    <cellStyle name="Normal 2 3 2 8 2 10 2" xfId="21040"/>
    <cellStyle name="Normal 2 3 2 8 2 11" xfId="21041"/>
    <cellStyle name="Normal 2 3 2 8 2 11 2" xfId="21042"/>
    <cellStyle name="Normal 2 3 2 8 2 12" xfId="21043"/>
    <cellStyle name="Normal 2 3 2 8 2 2" xfId="21044"/>
    <cellStyle name="Normal 2 3 2 8 2 2 10" xfId="21045"/>
    <cellStyle name="Normal 2 3 2 8 2 2 10 2" xfId="21046"/>
    <cellStyle name="Normal 2 3 2 8 2 2 11" xfId="21047"/>
    <cellStyle name="Normal 2 3 2 8 2 2 2" xfId="21048"/>
    <cellStyle name="Normal 2 3 2 8 2 2 2 2" xfId="21049"/>
    <cellStyle name="Normal 2 3 2 8 2 2 3" xfId="21050"/>
    <cellStyle name="Normal 2 3 2 8 2 2 3 2" xfId="21051"/>
    <cellStyle name="Normal 2 3 2 8 2 2 4" xfId="21052"/>
    <cellStyle name="Normal 2 3 2 8 2 2 4 2" xfId="21053"/>
    <cellStyle name="Normal 2 3 2 8 2 2 5" xfId="21054"/>
    <cellStyle name="Normal 2 3 2 8 2 2 5 2" xfId="21055"/>
    <cellStyle name="Normal 2 3 2 8 2 2 6" xfId="21056"/>
    <cellStyle name="Normal 2 3 2 8 2 2 6 2" xfId="21057"/>
    <cellStyle name="Normal 2 3 2 8 2 2 7" xfId="21058"/>
    <cellStyle name="Normal 2 3 2 8 2 2 7 2" xfId="21059"/>
    <cellStyle name="Normal 2 3 2 8 2 2 8" xfId="21060"/>
    <cellStyle name="Normal 2 3 2 8 2 2 8 2" xfId="21061"/>
    <cellStyle name="Normal 2 3 2 8 2 2 9" xfId="21062"/>
    <cellStyle name="Normal 2 3 2 8 2 2 9 2" xfId="21063"/>
    <cellStyle name="Normal 2 3 2 8 2 3" xfId="21064"/>
    <cellStyle name="Normal 2 3 2 8 2 3 2" xfId="21065"/>
    <cellStyle name="Normal 2 3 2 8 2 4" xfId="21066"/>
    <cellStyle name="Normal 2 3 2 8 2 4 2" xfId="21067"/>
    <cellStyle name="Normal 2 3 2 8 2 5" xfId="21068"/>
    <cellStyle name="Normal 2 3 2 8 2 5 2" xfId="21069"/>
    <cellStyle name="Normal 2 3 2 8 2 6" xfId="21070"/>
    <cellStyle name="Normal 2 3 2 8 2 6 2" xfId="21071"/>
    <cellStyle name="Normal 2 3 2 8 2 7" xfId="21072"/>
    <cellStyle name="Normal 2 3 2 8 2 7 2" xfId="21073"/>
    <cellStyle name="Normal 2 3 2 8 2 8" xfId="21074"/>
    <cellStyle name="Normal 2 3 2 8 2 8 2" xfId="21075"/>
    <cellStyle name="Normal 2 3 2 8 2 9" xfId="21076"/>
    <cellStyle name="Normal 2 3 2 8 2 9 2" xfId="21077"/>
    <cellStyle name="Normal 2 3 2 8 3" xfId="21078"/>
    <cellStyle name="Normal 2 3 2 8 3 10" xfId="21079"/>
    <cellStyle name="Normal 2 3 2 8 3 10 2" xfId="21080"/>
    <cellStyle name="Normal 2 3 2 8 3 11" xfId="21081"/>
    <cellStyle name="Normal 2 3 2 8 3 2" xfId="21082"/>
    <cellStyle name="Normal 2 3 2 8 3 2 2" xfId="21083"/>
    <cellStyle name="Normal 2 3 2 8 3 3" xfId="21084"/>
    <cellStyle name="Normal 2 3 2 8 3 3 2" xfId="21085"/>
    <cellStyle name="Normal 2 3 2 8 3 4" xfId="21086"/>
    <cellStyle name="Normal 2 3 2 8 3 4 2" xfId="21087"/>
    <cellStyle name="Normal 2 3 2 8 3 5" xfId="21088"/>
    <cellStyle name="Normal 2 3 2 8 3 5 2" xfId="21089"/>
    <cellStyle name="Normal 2 3 2 8 3 6" xfId="21090"/>
    <cellStyle name="Normal 2 3 2 8 3 6 2" xfId="21091"/>
    <cellStyle name="Normal 2 3 2 8 3 7" xfId="21092"/>
    <cellStyle name="Normal 2 3 2 8 3 7 2" xfId="21093"/>
    <cellStyle name="Normal 2 3 2 8 3 8" xfId="21094"/>
    <cellStyle name="Normal 2 3 2 8 3 8 2" xfId="21095"/>
    <cellStyle name="Normal 2 3 2 8 3 9" xfId="21096"/>
    <cellStyle name="Normal 2 3 2 8 3 9 2" xfId="21097"/>
    <cellStyle name="Normal 2 3 2 8 4" xfId="21098"/>
    <cellStyle name="Normal 2 3 2 8 4 2" xfId="21099"/>
    <cellStyle name="Normal 2 3 2 8 5" xfId="21100"/>
    <cellStyle name="Normal 2 3 2 8 5 2" xfId="21101"/>
    <cellStyle name="Normal 2 3 2 8 6" xfId="21102"/>
    <cellStyle name="Normal 2 3 2 8 6 2" xfId="21103"/>
    <cellStyle name="Normal 2 3 2 8 7" xfId="21104"/>
    <cellStyle name="Normal 2 3 2 8 7 2" xfId="21105"/>
    <cellStyle name="Normal 2 3 2 8 8" xfId="21106"/>
    <cellStyle name="Normal 2 3 2 8 8 2" xfId="21107"/>
    <cellStyle name="Normal 2 3 2 8 9" xfId="21108"/>
    <cellStyle name="Normal 2 3 2 8 9 2" xfId="21109"/>
    <cellStyle name="Normal 2 3 2 9" xfId="21110"/>
    <cellStyle name="Normal 2 3 2 9 2" xfId="21111"/>
    <cellStyle name="Normal 2 3 2 9 2 10" xfId="21112"/>
    <cellStyle name="Normal 2 3 2 9 2 10 2" xfId="21113"/>
    <cellStyle name="Normal 2 3 2 9 2 11" xfId="21114"/>
    <cellStyle name="Normal 2 3 2 9 2 11 2" xfId="21115"/>
    <cellStyle name="Normal 2 3 2 9 2 12" xfId="21116"/>
    <cellStyle name="Normal 2 3 2 9 2 12 2" xfId="21117"/>
    <cellStyle name="Normal 2 3 2 9 2 13" xfId="21118"/>
    <cellStyle name="Normal 2 3 2 9 2 13 2" xfId="21119"/>
    <cellStyle name="Normal 2 3 2 9 2 14" xfId="21120"/>
    <cellStyle name="Normal 2 3 2 9 2 14 2" xfId="21121"/>
    <cellStyle name="Normal 2 3 2 9 2 15" xfId="21122"/>
    <cellStyle name="Normal 2 3 2 9 2 15 2" xfId="21123"/>
    <cellStyle name="Normal 2 3 2 9 2 16" xfId="21124"/>
    <cellStyle name="Normal 2 3 2 9 2 16 2" xfId="21125"/>
    <cellStyle name="Normal 2 3 2 9 2 17" xfId="21126"/>
    <cellStyle name="Normal 2 3 2 9 2 2" xfId="21127"/>
    <cellStyle name="Normal 2 3 2 9 2 2 2" xfId="21128"/>
    <cellStyle name="Normal 2 3 2 9 2 2 2 10" xfId="21129"/>
    <cellStyle name="Normal 2 3 2 9 2 2 2 10 2" xfId="21130"/>
    <cellStyle name="Normal 2 3 2 9 2 2 2 11" xfId="21131"/>
    <cellStyle name="Normal 2 3 2 9 2 2 2 11 2" xfId="21132"/>
    <cellStyle name="Normal 2 3 2 9 2 2 2 12" xfId="21133"/>
    <cellStyle name="Normal 2 3 2 9 2 2 2 12 2" xfId="21134"/>
    <cellStyle name="Normal 2 3 2 9 2 2 2 13" xfId="21135"/>
    <cellStyle name="Normal 2 3 2 9 2 2 2 2" xfId="21136"/>
    <cellStyle name="Normal 2 3 2 9 2 2 2 2 10" xfId="21137"/>
    <cellStyle name="Normal 2 3 2 9 2 2 2 2 10 2" xfId="21138"/>
    <cellStyle name="Normal 2 3 2 9 2 2 2 2 11" xfId="21139"/>
    <cellStyle name="Normal 2 3 2 9 2 2 2 2 11 2" xfId="21140"/>
    <cellStyle name="Normal 2 3 2 9 2 2 2 2 12" xfId="21141"/>
    <cellStyle name="Normal 2 3 2 9 2 2 2 2 2" xfId="21142"/>
    <cellStyle name="Normal 2 3 2 9 2 2 2 2 2 10" xfId="21143"/>
    <cellStyle name="Normal 2 3 2 9 2 2 2 2 2 10 2" xfId="21144"/>
    <cellStyle name="Normal 2 3 2 9 2 2 2 2 2 11" xfId="21145"/>
    <cellStyle name="Normal 2 3 2 9 2 2 2 2 2 2" xfId="21146"/>
    <cellStyle name="Normal 2 3 2 9 2 2 2 2 2 2 2" xfId="21147"/>
    <cellStyle name="Normal 2 3 2 9 2 2 2 2 2 3" xfId="21148"/>
    <cellStyle name="Normal 2 3 2 9 2 2 2 2 2 3 2" xfId="21149"/>
    <cellStyle name="Normal 2 3 2 9 2 2 2 2 2 4" xfId="21150"/>
    <cellStyle name="Normal 2 3 2 9 2 2 2 2 2 4 2" xfId="21151"/>
    <cellStyle name="Normal 2 3 2 9 2 2 2 2 2 5" xfId="21152"/>
    <cellStyle name="Normal 2 3 2 9 2 2 2 2 2 5 2" xfId="21153"/>
    <cellStyle name="Normal 2 3 2 9 2 2 2 2 2 6" xfId="21154"/>
    <cellStyle name="Normal 2 3 2 9 2 2 2 2 2 6 2" xfId="21155"/>
    <cellStyle name="Normal 2 3 2 9 2 2 2 2 2 7" xfId="21156"/>
    <cellStyle name="Normal 2 3 2 9 2 2 2 2 2 7 2" xfId="21157"/>
    <cellStyle name="Normal 2 3 2 9 2 2 2 2 2 8" xfId="21158"/>
    <cellStyle name="Normal 2 3 2 9 2 2 2 2 2 8 2" xfId="21159"/>
    <cellStyle name="Normal 2 3 2 9 2 2 2 2 2 9" xfId="21160"/>
    <cellStyle name="Normal 2 3 2 9 2 2 2 2 2 9 2" xfId="21161"/>
    <cellStyle name="Normal 2 3 2 9 2 2 2 2 3" xfId="21162"/>
    <cellStyle name="Normal 2 3 2 9 2 2 2 2 3 2" xfId="21163"/>
    <cellStyle name="Normal 2 3 2 9 2 2 2 2 4" xfId="21164"/>
    <cellStyle name="Normal 2 3 2 9 2 2 2 2 4 2" xfId="21165"/>
    <cellStyle name="Normal 2 3 2 9 2 2 2 2 5" xfId="21166"/>
    <cellStyle name="Normal 2 3 2 9 2 2 2 2 5 2" xfId="21167"/>
    <cellStyle name="Normal 2 3 2 9 2 2 2 2 6" xfId="21168"/>
    <cellStyle name="Normal 2 3 2 9 2 2 2 2 6 2" xfId="21169"/>
    <cellStyle name="Normal 2 3 2 9 2 2 2 2 7" xfId="21170"/>
    <cellStyle name="Normal 2 3 2 9 2 2 2 2 7 2" xfId="21171"/>
    <cellStyle name="Normal 2 3 2 9 2 2 2 2 8" xfId="21172"/>
    <cellStyle name="Normal 2 3 2 9 2 2 2 2 8 2" xfId="21173"/>
    <cellStyle name="Normal 2 3 2 9 2 2 2 2 9" xfId="21174"/>
    <cellStyle name="Normal 2 3 2 9 2 2 2 2 9 2" xfId="21175"/>
    <cellStyle name="Normal 2 3 2 9 2 2 2 3" xfId="21176"/>
    <cellStyle name="Normal 2 3 2 9 2 2 2 3 10" xfId="21177"/>
    <cellStyle name="Normal 2 3 2 9 2 2 2 3 10 2" xfId="21178"/>
    <cellStyle name="Normal 2 3 2 9 2 2 2 3 11" xfId="21179"/>
    <cellStyle name="Normal 2 3 2 9 2 2 2 3 2" xfId="21180"/>
    <cellStyle name="Normal 2 3 2 9 2 2 2 3 2 2" xfId="21181"/>
    <cellStyle name="Normal 2 3 2 9 2 2 2 3 3" xfId="21182"/>
    <cellStyle name="Normal 2 3 2 9 2 2 2 3 3 2" xfId="21183"/>
    <cellStyle name="Normal 2 3 2 9 2 2 2 3 4" xfId="21184"/>
    <cellStyle name="Normal 2 3 2 9 2 2 2 3 4 2" xfId="21185"/>
    <cellStyle name="Normal 2 3 2 9 2 2 2 3 5" xfId="21186"/>
    <cellStyle name="Normal 2 3 2 9 2 2 2 3 5 2" xfId="21187"/>
    <cellStyle name="Normal 2 3 2 9 2 2 2 3 6" xfId="21188"/>
    <cellStyle name="Normal 2 3 2 9 2 2 2 3 6 2" xfId="21189"/>
    <cellStyle name="Normal 2 3 2 9 2 2 2 3 7" xfId="21190"/>
    <cellStyle name="Normal 2 3 2 9 2 2 2 3 7 2" xfId="21191"/>
    <cellStyle name="Normal 2 3 2 9 2 2 2 3 8" xfId="21192"/>
    <cellStyle name="Normal 2 3 2 9 2 2 2 3 8 2" xfId="21193"/>
    <cellStyle name="Normal 2 3 2 9 2 2 2 3 9" xfId="21194"/>
    <cellStyle name="Normal 2 3 2 9 2 2 2 3 9 2" xfId="21195"/>
    <cellStyle name="Normal 2 3 2 9 2 2 2 4" xfId="21196"/>
    <cellStyle name="Normal 2 3 2 9 2 2 2 4 2" xfId="21197"/>
    <cellStyle name="Normal 2 3 2 9 2 2 2 5" xfId="21198"/>
    <cellStyle name="Normal 2 3 2 9 2 2 2 5 2" xfId="21199"/>
    <cellStyle name="Normal 2 3 2 9 2 2 2 6" xfId="21200"/>
    <cellStyle name="Normal 2 3 2 9 2 2 2 6 2" xfId="21201"/>
    <cellStyle name="Normal 2 3 2 9 2 2 2 7" xfId="21202"/>
    <cellStyle name="Normal 2 3 2 9 2 2 2 7 2" xfId="21203"/>
    <cellStyle name="Normal 2 3 2 9 2 2 2 8" xfId="21204"/>
    <cellStyle name="Normal 2 3 2 9 2 2 2 8 2" xfId="21205"/>
    <cellStyle name="Normal 2 3 2 9 2 2 2 9" xfId="21206"/>
    <cellStyle name="Normal 2 3 2 9 2 2 2 9 2" xfId="21207"/>
    <cellStyle name="Normal 2 3 2 9 2 2 3" xfId="21208"/>
    <cellStyle name="Normal 2 3 2 9 2 2 3 10" xfId="21209"/>
    <cellStyle name="Normal 2 3 2 9 2 2 3 10 2" xfId="21210"/>
    <cellStyle name="Normal 2 3 2 9 2 2 3 11" xfId="21211"/>
    <cellStyle name="Normal 2 3 2 9 2 2 3 11 2" xfId="21212"/>
    <cellStyle name="Normal 2 3 2 9 2 2 3 12" xfId="21213"/>
    <cellStyle name="Normal 2 3 2 9 2 2 3 12 2" xfId="21214"/>
    <cellStyle name="Normal 2 3 2 9 2 2 3 13" xfId="21215"/>
    <cellStyle name="Normal 2 3 2 9 2 2 3 2" xfId="21216"/>
    <cellStyle name="Normal 2 3 2 9 2 2 3 2 10" xfId="21217"/>
    <cellStyle name="Normal 2 3 2 9 2 2 3 2 10 2" xfId="21218"/>
    <cellStyle name="Normal 2 3 2 9 2 2 3 2 11" xfId="21219"/>
    <cellStyle name="Normal 2 3 2 9 2 2 3 2 11 2" xfId="21220"/>
    <cellStyle name="Normal 2 3 2 9 2 2 3 2 12" xfId="21221"/>
    <cellStyle name="Normal 2 3 2 9 2 2 3 2 2" xfId="21222"/>
    <cellStyle name="Normal 2 3 2 9 2 2 3 2 2 10" xfId="21223"/>
    <cellStyle name="Normal 2 3 2 9 2 2 3 2 2 10 2" xfId="21224"/>
    <cellStyle name="Normal 2 3 2 9 2 2 3 2 2 11" xfId="21225"/>
    <cellStyle name="Normal 2 3 2 9 2 2 3 2 2 2" xfId="21226"/>
    <cellStyle name="Normal 2 3 2 9 2 2 3 2 2 2 2" xfId="21227"/>
    <cellStyle name="Normal 2 3 2 9 2 2 3 2 2 3" xfId="21228"/>
    <cellStyle name="Normal 2 3 2 9 2 2 3 2 2 3 2" xfId="21229"/>
    <cellStyle name="Normal 2 3 2 9 2 2 3 2 2 4" xfId="21230"/>
    <cellStyle name="Normal 2 3 2 9 2 2 3 2 2 4 2" xfId="21231"/>
    <cellStyle name="Normal 2 3 2 9 2 2 3 2 2 5" xfId="21232"/>
    <cellStyle name="Normal 2 3 2 9 2 2 3 2 2 5 2" xfId="21233"/>
    <cellStyle name="Normal 2 3 2 9 2 2 3 2 2 6" xfId="21234"/>
    <cellStyle name="Normal 2 3 2 9 2 2 3 2 2 6 2" xfId="21235"/>
    <cellStyle name="Normal 2 3 2 9 2 2 3 2 2 7" xfId="21236"/>
    <cellStyle name="Normal 2 3 2 9 2 2 3 2 2 7 2" xfId="21237"/>
    <cellStyle name="Normal 2 3 2 9 2 2 3 2 2 8" xfId="21238"/>
    <cellStyle name="Normal 2 3 2 9 2 2 3 2 2 8 2" xfId="21239"/>
    <cellStyle name="Normal 2 3 2 9 2 2 3 2 2 9" xfId="21240"/>
    <cellStyle name="Normal 2 3 2 9 2 2 3 2 2 9 2" xfId="21241"/>
    <cellStyle name="Normal 2 3 2 9 2 2 3 2 3" xfId="21242"/>
    <cellStyle name="Normal 2 3 2 9 2 2 3 2 3 2" xfId="21243"/>
    <cellStyle name="Normal 2 3 2 9 2 2 3 2 4" xfId="21244"/>
    <cellStyle name="Normal 2 3 2 9 2 2 3 2 4 2" xfId="21245"/>
    <cellStyle name="Normal 2 3 2 9 2 2 3 2 5" xfId="21246"/>
    <cellStyle name="Normal 2 3 2 9 2 2 3 2 5 2" xfId="21247"/>
    <cellStyle name="Normal 2 3 2 9 2 2 3 2 6" xfId="21248"/>
    <cellStyle name="Normal 2 3 2 9 2 2 3 2 6 2" xfId="21249"/>
    <cellStyle name="Normal 2 3 2 9 2 2 3 2 7" xfId="21250"/>
    <cellStyle name="Normal 2 3 2 9 2 2 3 2 7 2" xfId="21251"/>
    <cellStyle name="Normal 2 3 2 9 2 2 3 2 8" xfId="21252"/>
    <cellStyle name="Normal 2 3 2 9 2 2 3 2 8 2" xfId="21253"/>
    <cellStyle name="Normal 2 3 2 9 2 2 3 2 9" xfId="21254"/>
    <cellStyle name="Normal 2 3 2 9 2 2 3 2 9 2" xfId="21255"/>
    <cellStyle name="Normal 2 3 2 9 2 2 3 3" xfId="21256"/>
    <cellStyle name="Normal 2 3 2 9 2 2 3 3 10" xfId="21257"/>
    <cellStyle name="Normal 2 3 2 9 2 2 3 3 10 2" xfId="21258"/>
    <cellStyle name="Normal 2 3 2 9 2 2 3 3 11" xfId="21259"/>
    <cellStyle name="Normal 2 3 2 9 2 2 3 3 2" xfId="21260"/>
    <cellStyle name="Normal 2 3 2 9 2 2 3 3 2 2" xfId="21261"/>
    <cellStyle name="Normal 2 3 2 9 2 2 3 3 3" xfId="21262"/>
    <cellStyle name="Normal 2 3 2 9 2 2 3 3 3 2" xfId="21263"/>
    <cellStyle name="Normal 2 3 2 9 2 2 3 3 4" xfId="21264"/>
    <cellStyle name="Normal 2 3 2 9 2 2 3 3 4 2" xfId="21265"/>
    <cellStyle name="Normal 2 3 2 9 2 2 3 3 5" xfId="21266"/>
    <cellStyle name="Normal 2 3 2 9 2 2 3 3 5 2" xfId="21267"/>
    <cellStyle name="Normal 2 3 2 9 2 2 3 3 6" xfId="21268"/>
    <cellStyle name="Normal 2 3 2 9 2 2 3 3 6 2" xfId="21269"/>
    <cellStyle name="Normal 2 3 2 9 2 2 3 3 7" xfId="21270"/>
    <cellStyle name="Normal 2 3 2 9 2 2 3 3 7 2" xfId="21271"/>
    <cellStyle name="Normal 2 3 2 9 2 2 3 3 8" xfId="21272"/>
    <cellStyle name="Normal 2 3 2 9 2 2 3 3 8 2" xfId="21273"/>
    <cellStyle name="Normal 2 3 2 9 2 2 3 3 9" xfId="21274"/>
    <cellStyle name="Normal 2 3 2 9 2 2 3 3 9 2" xfId="21275"/>
    <cellStyle name="Normal 2 3 2 9 2 2 3 4" xfId="21276"/>
    <cellStyle name="Normal 2 3 2 9 2 2 3 4 2" xfId="21277"/>
    <cellStyle name="Normal 2 3 2 9 2 2 3 5" xfId="21278"/>
    <cellStyle name="Normal 2 3 2 9 2 2 3 5 2" xfId="21279"/>
    <cellStyle name="Normal 2 3 2 9 2 2 3 6" xfId="21280"/>
    <cellStyle name="Normal 2 3 2 9 2 2 3 6 2" xfId="21281"/>
    <cellStyle name="Normal 2 3 2 9 2 2 3 7" xfId="21282"/>
    <cellStyle name="Normal 2 3 2 9 2 2 3 7 2" xfId="21283"/>
    <cellStyle name="Normal 2 3 2 9 2 2 3 8" xfId="21284"/>
    <cellStyle name="Normal 2 3 2 9 2 2 3 8 2" xfId="21285"/>
    <cellStyle name="Normal 2 3 2 9 2 2 3 9" xfId="21286"/>
    <cellStyle name="Normal 2 3 2 9 2 2 3 9 2" xfId="21287"/>
    <cellStyle name="Normal 2 3 2 9 2 2 4" xfId="21288"/>
    <cellStyle name="Normal 2 3 2 9 2 2 4 10" xfId="21289"/>
    <cellStyle name="Normal 2 3 2 9 2 2 4 10 2" xfId="21290"/>
    <cellStyle name="Normal 2 3 2 9 2 2 4 11" xfId="21291"/>
    <cellStyle name="Normal 2 3 2 9 2 2 4 11 2" xfId="21292"/>
    <cellStyle name="Normal 2 3 2 9 2 2 4 12" xfId="21293"/>
    <cellStyle name="Normal 2 3 2 9 2 2 4 12 2" xfId="21294"/>
    <cellStyle name="Normal 2 3 2 9 2 2 4 13" xfId="21295"/>
    <cellStyle name="Normal 2 3 2 9 2 2 4 2" xfId="21296"/>
    <cellStyle name="Normal 2 3 2 9 2 2 4 2 10" xfId="21297"/>
    <cellStyle name="Normal 2 3 2 9 2 2 4 2 10 2" xfId="21298"/>
    <cellStyle name="Normal 2 3 2 9 2 2 4 2 11" xfId="21299"/>
    <cellStyle name="Normal 2 3 2 9 2 2 4 2 11 2" xfId="21300"/>
    <cellStyle name="Normal 2 3 2 9 2 2 4 2 12" xfId="21301"/>
    <cellStyle name="Normal 2 3 2 9 2 2 4 2 2" xfId="21302"/>
    <cellStyle name="Normal 2 3 2 9 2 2 4 2 2 10" xfId="21303"/>
    <cellStyle name="Normal 2 3 2 9 2 2 4 2 2 10 2" xfId="21304"/>
    <cellStyle name="Normal 2 3 2 9 2 2 4 2 2 11" xfId="21305"/>
    <cellStyle name="Normal 2 3 2 9 2 2 4 2 2 2" xfId="21306"/>
    <cellStyle name="Normal 2 3 2 9 2 2 4 2 2 2 2" xfId="21307"/>
    <cellStyle name="Normal 2 3 2 9 2 2 4 2 2 3" xfId="21308"/>
    <cellStyle name="Normal 2 3 2 9 2 2 4 2 2 3 2" xfId="21309"/>
    <cellStyle name="Normal 2 3 2 9 2 2 4 2 2 4" xfId="21310"/>
    <cellStyle name="Normal 2 3 2 9 2 2 4 2 2 4 2" xfId="21311"/>
    <cellStyle name="Normal 2 3 2 9 2 2 4 2 2 5" xfId="21312"/>
    <cellStyle name="Normal 2 3 2 9 2 2 4 2 2 5 2" xfId="21313"/>
    <cellStyle name="Normal 2 3 2 9 2 2 4 2 2 6" xfId="21314"/>
    <cellStyle name="Normal 2 3 2 9 2 2 4 2 2 6 2" xfId="21315"/>
    <cellStyle name="Normal 2 3 2 9 2 2 4 2 2 7" xfId="21316"/>
    <cellStyle name="Normal 2 3 2 9 2 2 4 2 2 7 2" xfId="21317"/>
    <cellStyle name="Normal 2 3 2 9 2 2 4 2 2 8" xfId="21318"/>
    <cellStyle name="Normal 2 3 2 9 2 2 4 2 2 8 2" xfId="21319"/>
    <cellStyle name="Normal 2 3 2 9 2 2 4 2 2 9" xfId="21320"/>
    <cellStyle name="Normal 2 3 2 9 2 2 4 2 2 9 2" xfId="21321"/>
    <cellStyle name="Normal 2 3 2 9 2 2 4 2 3" xfId="21322"/>
    <cellStyle name="Normal 2 3 2 9 2 2 4 2 3 2" xfId="21323"/>
    <cellStyle name="Normal 2 3 2 9 2 2 4 2 4" xfId="21324"/>
    <cellStyle name="Normal 2 3 2 9 2 2 4 2 4 2" xfId="21325"/>
    <cellStyle name="Normal 2 3 2 9 2 2 4 2 5" xfId="21326"/>
    <cellStyle name="Normal 2 3 2 9 2 2 4 2 5 2" xfId="21327"/>
    <cellStyle name="Normal 2 3 2 9 2 2 4 2 6" xfId="21328"/>
    <cellStyle name="Normal 2 3 2 9 2 2 4 2 6 2" xfId="21329"/>
    <cellStyle name="Normal 2 3 2 9 2 2 4 2 7" xfId="21330"/>
    <cellStyle name="Normal 2 3 2 9 2 2 4 2 7 2" xfId="21331"/>
    <cellStyle name="Normal 2 3 2 9 2 2 4 2 8" xfId="21332"/>
    <cellStyle name="Normal 2 3 2 9 2 2 4 2 8 2" xfId="21333"/>
    <cellStyle name="Normal 2 3 2 9 2 2 4 2 9" xfId="21334"/>
    <cellStyle name="Normal 2 3 2 9 2 2 4 2 9 2" xfId="21335"/>
    <cellStyle name="Normal 2 3 2 9 2 2 4 3" xfId="21336"/>
    <cellStyle name="Normal 2 3 2 9 2 2 4 3 10" xfId="21337"/>
    <cellStyle name="Normal 2 3 2 9 2 2 4 3 10 2" xfId="21338"/>
    <cellStyle name="Normal 2 3 2 9 2 2 4 3 11" xfId="21339"/>
    <cellStyle name="Normal 2 3 2 9 2 2 4 3 2" xfId="21340"/>
    <cellStyle name="Normal 2 3 2 9 2 2 4 3 2 2" xfId="21341"/>
    <cellStyle name="Normal 2 3 2 9 2 2 4 3 3" xfId="21342"/>
    <cellStyle name="Normal 2 3 2 9 2 2 4 3 3 2" xfId="21343"/>
    <cellStyle name="Normal 2 3 2 9 2 2 4 3 4" xfId="21344"/>
    <cellStyle name="Normal 2 3 2 9 2 2 4 3 4 2" xfId="21345"/>
    <cellStyle name="Normal 2 3 2 9 2 2 4 3 5" xfId="21346"/>
    <cellStyle name="Normal 2 3 2 9 2 2 4 3 5 2" xfId="21347"/>
    <cellStyle name="Normal 2 3 2 9 2 2 4 3 6" xfId="21348"/>
    <cellStyle name="Normal 2 3 2 9 2 2 4 3 6 2" xfId="21349"/>
    <cellStyle name="Normal 2 3 2 9 2 2 4 3 7" xfId="21350"/>
    <cellStyle name="Normal 2 3 2 9 2 2 4 3 7 2" xfId="21351"/>
    <cellStyle name="Normal 2 3 2 9 2 2 4 3 8" xfId="21352"/>
    <cellStyle name="Normal 2 3 2 9 2 2 4 3 8 2" xfId="21353"/>
    <cellStyle name="Normal 2 3 2 9 2 2 4 3 9" xfId="21354"/>
    <cellStyle name="Normal 2 3 2 9 2 2 4 3 9 2" xfId="21355"/>
    <cellStyle name="Normal 2 3 2 9 2 2 4 4" xfId="21356"/>
    <cellStyle name="Normal 2 3 2 9 2 2 4 4 2" xfId="21357"/>
    <cellStyle name="Normal 2 3 2 9 2 2 4 5" xfId="21358"/>
    <cellStyle name="Normal 2 3 2 9 2 2 4 5 2" xfId="21359"/>
    <cellStyle name="Normal 2 3 2 9 2 2 4 6" xfId="21360"/>
    <cellStyle name="Normal 2 3 2 9 2 2 4 6 2" xfId="21361"/>
    <cellStyle name="Normal 2 3 2 9 2 2 4 7" xfId="21362"/>
    <cellStyle name="Normal 2 3 2 9 2 2 4 7 2" xfId="21363"/>
    <cellStyle name="Normal 2 3 2 9 2 2 4 8" xfId="21364"/>
    <cellStyle name="Normal 2 3 2 9 2 2 4 8 2" xfId="21365"/>
    <cellStyle name="Normal 2 3 2 9 2 2 4 9" xfId="21366"/>
    <cellStyle name="Normal 2 3 2 9 2 2 4 9 2" xfId="21367"/>
    <cellStyle name="Normal 2 3 2 9 2 2 5" xfId="21368"/>
    <cellStyle name="Normal 2 3 2 9 2 2 5 10" xfId="21369"/>
    <cellStyle name="Normal 2 3 2 9 2 2 5 10 2" xfId="21370"/>
    <cellStyle name="Normal 2 3 2 9 2 2 5 11" xfId="21371"/>
    <cellStyle name="Normal 2 3 2 9 2 2 5 11 2" xfId="21372"/>
    <cellStyle name="Normal 2 3 2 9 2 2 5 12" xfId="21373"/>
    <cellStyle name="Normal 2 3 2 9 2 2 5 12 2" xfId="21374"/>
    <cellStyle name="Normal 2 3 2 9 2 2 5 13" xfId="21375"/>
    <cellStyle name="Normal 2 3 2 9 2 2 5 2" xfId="21376"/>
    <cellStyle name="Normal 2 3 2 9 2 2 5 2 10" xfId="21377"/>
    <cellStyle name="Normal 2 3 2 9 2 2 5 2 10 2" xfId="21378"/>
    <cellStyle name="Normal 2 3 2 9 2 2 5 2 11" xfId="21379"/>
    <cellStyle name="Normal 2 3 2 9 2 2 5 2 11 2" xfId="21380"/>
    <cellStyle name="Normal 2 3 2 9 2 2 5 2 12" xfId="21381"/>
    <cellStyle name="Normal 2 3 2 9 2 2 5 2 2" xfId="21382"/>
    <cellStyle name="Normal 2 3 2 9 2 2 5 2 2 10" xfId="21383"/>
    <cellStyle name="Normal 2 3 2 9 2 2 5 2 2 10 2" xfId="21384"/>
    <cellStyle name="Normal 2 3 2 9 2 2 5 2 2 11" xfId="21385"/>
    <cellStyle name="Normal 2 3 2 9 2 2 5 2 2 2" xfId="21386"/>
    <cellStyle name="Normal 2 3 2 9 2 2 5 2 2 2 2" xfId="21387"/>
    <cellStyle name="Normal 2 3 2 9 2 2 5 2 2 3" xfId="21388"/>
    <cellStyle name="Normal 2 3 2 9 2 2 5 2 2 3 2" xfId="21389"/>
    <cellStyle name="Normal 2 3 2 9 2 2 5 2 2 4" xfId="21390"/>
    <cellStyle name="Normal 2 3 2 9 2 2 5 2 2 4 2" xfId="21391"/>
    <cellStyle name="Normal 2 3 2 9 2 2 5 2 2 5" xfId="21392"/>
    <cellStyle name="Normal 2 3 2 9 2 2 5 2 2 5 2" xfId="21393"/>
    <cellStyle name="Normal 2 3 2 9 2 2 5 2 2 6" xfId="21394"/>
    <cellStyle name="Normal 2 3 2 9 2 2 5 2 2 6 2" xfId="21395"/>
    <cellStyle name="Normal 2 3 2 9 2 2 5 2 2 7" xfId="21396"/>
    <cellStyle name="Normal 2 3 2 9 2 2 5 2 2 7 2" xfId="21397"/>
    <cellStyle name="Normal 2 3 2 9 2 2 5 2 2 8" xfId="21398"/>
    <cellStyle name="Normal 2 3 2 9 2 2 5 2 2 8 2" xfId="21399"/>
    <cellStyle name="Normal 2 3 2 9 2 2 5 2 2 9" xfId="21400"/>
    <cellStyle name="Normal 2 3 2 9 2 2 5 2 2 9 2" xfId="21401"/>
    <cellStyle name="Normal 2 3 2 9 2 2 5 2 3" xfId="21402"/>
    <cellStyle name="Normal 2 3 2 9 2 2 5 2 3 2" xfId="21403"/>
    <cellStyle name="Normal 2 3 2 9 2 2 5 2 4" xfId="21404"/>
    <cellStyle name="Normal 2 3 2 9 2 2 5 2 4 2" xfId="21405"/>
    <cellStyle name="Normal 2 3 2 9 2 2 5 2 5" xfId="21406"/>
    <cellStyle name="Normal 2 3 2 9 2 2 5 2 5 2" xfId="21407"/>
    <cellStyle name="Normal 2 3 2 9 2 2 5 2 6" xfId="21408"/>
    <cellStyle name="Normal 2 3 2 9 2 2 5 2 6 2" xfId="21409"/>
    <cellStyle name="Normal 2 3 2 9 2 2 5 2 7" xfId="21410"/>
    <cellStyle name="Normal 2 3 2 9 2 2 5 2 7 2" xfId="21411"/>
    <cellStyle name="Normal 2 3 2 9 2 2 5 2 8" xfId="21412"/>
    <cellStyle name="Normal 2 3 2 9 2 2 5 2 8 2" xfId="21413"/>
    <cellStyle name="Normal 2 3 2 9 2 2 5 2 9" xfId="21414"/>
    <cellStyle name="Normal 2 3 2 9 2 2 5 2 9 2" xfId="21415"/>
    <cellStyle name="Normal 2 3 2 9 2 2 5 3" xfId="21416"/>
    <cellStyle name="Normal 2 3 2 9 2 2 5 3 10" xfId="21417"/>
    <cellStyle name="Normal 2 3 2 9 2 2 5 3 10 2" xfId="21418"/>
    <cellStyle name="Normal 2 3 2 9 2 2 5 3 11" xfId="21419"/>
    <cellStyle name="Normal 2 3 2 9 2 2 5 3 2" xfId="21420"/>
    <cellStyle name="Normal 2 3 2 9 2 2 5 3 2 2" xfId="21421"/>
    <cellStyle name="Normal 2 3 2 9 2 2 5 3 3" xfId="21422"/>
    <cellStyle name="Normal 2 3 2 9 2 2 5 3 3 2" xfId="21423"/>
    <cellStyle name="Normal 2 3 2 9 2 2 5 3 4" xfId="21424"/>
    <cellStyle name="Normal 2 3 2 9 2 2 5 3 4 2" xfId="21425"/>
    <cellStyle name="Normal 2 3 2 9 2 2 5 3 5" xfId="21426"/>
    <cellStyle name="Normal 2 3 2 9 2 2 5 3 5 2" xfId="21427"/>
    <cellStyle name="Normal 2 3 2 9 2 2 5 3 6" xfId="21428"/>
    <cellStyle name="Normal 2 3 2 9 2 2 5 3 6 2" xfId="21429"/>
    <cellStyle name="Normal 2 3 2 9 2 2 5 3 7" xfId="21430"/>
    <cellStyle name="Normal 2 3 2 9 2 2 5 3 7 2" xfId="21431"/>
    <cellStyle name="Normal 2 3 2 9 2 2 5 3 8" xfId="21432"/>
    <cellStyle name="Normal 2 3 2 9 2 2 5 3 8 2" xfId="21433"/>
    <cellStyle name="Normal 2 3 2 9 2 2 5 3 9" xfId="21434"/>
    <cellStyle name="Normal 2 3 2 9 2 2 5 3 9 2" xfId="21435"/>
    <cellStyle name="Normal 2 3 2 9 2 2 5 4" xfId="21436"/>
    <cellStyle name="Normal 2 3 2 9 2 2 5 4 2" xfId="21437"/>
    <cellStyle name="Normal 2 3 2 9 2 2 5 5" xfId="21438"/>
    <cellStyle name="Normal 2 3 2 9 2 2 5 5 2" xfId="21439"/>
    <cellStyle name="Normal 2 3 2 9 2 2 5 6" xfId="21440"/>
    <cellStyle name="Normal 2 3 2 9 2 2 5 6 2" xfId="21441"/>
    <cellStyle name="Normal 2 3 2 9 2 2 5 7" xfId="21442"/>
    <cellStyle name="Normal 2 3 2 9 2 2 5 7 2" xfId="21443"/>
    <cellStyle name="Normal 2 3 2 9 2 2 5 8" xfId="21444"/>
    <cellStyle name="Normal 2 3 2 9 2 2 5 8 2" xfId="21445"/>
    <cellStyle name="Normal 2 3 2 9 2 2 5 9" xfId="21446"/>
    <cellStyle name="Normal 2 3 2 9 2 2 5 9 2" xfId="21447"/>
    <cellStyle name="Normal 2 3 2 9 2 2 6" xfId="21448"/>
    <cellStyle name="Normal 2 3 2 9 2 3" xfId="21449"/>
    <cellStyle name="Normal 2 3 2 9 2 3 2" xfId="21450"/>
    <cellStyle name="Normal 2 3 2 9 2 4" xfId="21451"/>
    <cellStyle name="Normal 2 3 2 9 2 4 2" xfId="21452"/>
    <cellStyle name="Normal 2 3 2 9 2 5" xfId="21453"/>
    <cellStyle name="Normal 2 3 2 9 2 5 2" xfId="21454"/>
    <cellStyle name="Normal 2 3 2 9 2 6" xfId="21455"/>
    <cellStyle name="Normal 2 3 2 9 2 6 10" xfId="21456"/>
    <cellStyle name="Normal 2 3 2 9 2 6 10 2" xfId="21457"/>
    <cellStyle name="Normal 2 3 2 9 2 6 11" xfId="21458"/>
    <cellStyle name="Normal 2 3 2 9 2 6 11 2" xfId="21459"/>
    <cellStyle name="Normal 2 3 2 9 2 6 12" xfId="21460"/>
    <cellStyle name="Normal 2 3 2 9 2 6 2" xfId="21461"/>
    <cellStyle name="Normal 2 3 2 9 2 6 2 10" xfId="21462"/>
    <cellStyle name="Normal 2 3 2 9 2 6 2 10 2" xfId="21463"/>
    <cellStyle name="Normal 2 3 2 9 2 6 2 11" xfId="21464"/>
    <cellStyle name="Normal 2 3 2 9 2 6 2 2" xfId="21465"/>
    <cellStyle name="Normal 2 3 2 9 2 6 2 2 2" xfId="21466"/>
    <cellStyle name="Normal 2 3 2 9 2 6 2 3" xfId="21467"/>
    <cellStyle name="Normal 2 3 2 9 2 6 2 3 2" xfId="21468"/>
    <cellStyle name="Normal 2 3 2 9 2 6 2 4" xfId="21469"/>
    <cellStyle name="Normal 2 3 2 9 2 6 2 4 2" xfId="21470"/>
    <cellStyle name="Normal 2 3 2 9 2 6 2 5" xfId="21471"/>
    <cellStyle name="Normal 2 3 2 9 2 6 2 5 2" xfId="21472"/>
    <cellStyle name="Normal 2 3 2 9 2 6 2 6" xfId="21473"/>
    <cellStyle name="Normal 2 3 2 9 2 6 2 6 2" xfId="21474"/>
    <cellStyle name="Normal 2 3 2 9 2 6 2 7" xfId="21475"/>
    <cellStyle name="Normal 2 3 2 9 2 6 2 7 2" xfId="21476"/>
    <cellStyle name="Normal 2 3 2 9 2 6 2 8" xfId="21477"/>
    <cellStyle name="Normal 2 3 2 9 2 6 2 8 2" xfId="21478"/>
    <cellStyle name="Normal 2 3 2 9 2 6 2 9" xfId="21479"/>
    <cellStyle name="Normal 2 3 2 9 2 6 2 9 2" xfId="21480"/>
    <cellStyle name="Normal 2 3 2 9 2 6 3" xfId="21481"/>
    <cellStyle name="Normal 2 3 2 9 2 6 3 2" xfId="21482"/>
    <cellStyle name="Normal 2 3 2 9 2 6 4" xfId="21483"/>
    <cellStyle name="Normal 2 3 2 9 2 6 4 2" xfId="21484"/>
    <cellStyle name="Normal 2 3 2 9 2 6 5" xfId="21485"/>
    <cellStyle name="Normal 2 3 2 9 2 6 5 2" xfId="21486"/>
    <cellStyle name="Normal 2 3 2 9 2 6 6" xfId="21487"/>
    <cellStyle name="Normal 2 3 2 9 2 6 6 2" xfId="21488"/>
    <cellStyle name="Normal 2 3 2 9 2 6 7" xfId="21489"/>
    <cellStyle name="Normal 2 3 2 9 2 6 7 2" xfId="21490"/>
    <cellStyle name="Normal 2 3 2 9 2 6 8" xfId="21491"/>
    <cellStyle name="Normal 2 3 2 9 2 6 8 2" xfId="21492"/>
    <cellStyle name="Normal 2 3 2 9 2 6 9" xfId="21493"/>
    <cellStyle name="Normal 2 3 2 9 2 6 9 2" xfId="21494"/>
    <cellStyle name="Normal 2 3 2 9 2 7" xfId="21495"/>
    <cellStyle name="Normal 2 3 2 9 2 7 10" xfId="21496"/>
    <cellStyle name="Normal 2 3 2 9 2 7 10 2" xfId="21497"/>
    <cellStyle name="Normal 2 3 2 9 2 7 11" xfId="21498"/>
    <cellStyle name="Normal 2 3 2 9 2 7 2" xfId="21499"/>
    <cellStyle name="Normal 2 3 2 9 2 7 2 2" xfId="21500"/>
    <cellStyle name="Normal 2 3 2 9 2 7 3" xfId="21501"/>
    <cellStyle name="Normal 2 3 2 9 2 7 3 2" xfId="21502"/>
    <cellStyle name="Normal 2 3 2 9 2 7 4" xfId="21503"/>
    <cellStyle name="Normal 2 3 2 9 2 7 4 2" xfId="21504"/>
    <cellStyle name="Normal 2 3 2 9 2 7 5" xfId="21505"/>
    <cellStyle name="Normal 2 3 2 9 2 7 5 2" xfId="21506"/>
    <cellStyle name="Normal 2 3 2 9 2 7 6" xfId="21507"/>
    <cellStyle name="Normal 2 3 2 9 2 7 6 2" xfId="21508"/>
    <cellStyle name="Normal 2 3 2 9 2 7 7" xfId="21509"/>
    <cellStyle name="Normal 2 3 2 9 2 7 7 2" xfId="21510"/>
    <cellStyle name="Normal 2 3 2 9 2 7 8" xfId="21511"/>
    <cellStyle name="Normal 2 3 2 9 2 7 8 2" xfId="21512"/>
    <cellStyle name="Normal 2 3 2 9 2 7 9" xfId="21513"/>
    <cellStyle name="Normal 2 3 2 9 2 7 9 2" xfId="21514"/>
    <cellStyle name="Normal 2 3 2 9 2 8" xfId="21515"/>
    <cellStyle name="Normal 2 3 2 9 2 8 2" xfId="21516"/>
    <cellStyle name="Normal 2 3 2 9 2 9" xfId="21517"/>
    <cellStyle name="Normal 2 3 2 9 2 9 2" xfId="21518"/>
    <cellStyle name="Normal 2 3 2 9 3" xfId="21519"/>
    <cellStyle name="Normal 2 3 2 9 3 10" xfId="21520"/>
    <cellStyle name="Normal 2 3 2 9 3 10 2" xfId="21521"/>
    <cellStyle name="Normal 2 3 2 9 3 11" xfId="21522"/>
    <cellStyle name="Normal 2 3 2 9 3 11 2" xfId="21523"/>
    <cellStyle name="Normal 2 3 2 9 3 12" xfId="21524"/>
    <cellStyle name="Normal 2 3 2 9 3 12 2" xfId="21525"/>
    <cellStyle name="Normal 2 3 2 9 3 13" xfId="21526"/>
    <cellStyle name="Normal 2 3 2 9 3 2" xfId="21527"/>
    <cellStyle name="Normal 2 3 2 9 3 2 10" xfId="21528"/>
    <cellStyle name="Normal 2 3 2 9 3 2 10 2" xfId="21529"/>
    <cellStyle name="Normal 2 3 2 9 3 2 11" xfId="21530"/>
    <cellStyle name="Normal 2 3 2 9 3 2 11 2" xfId="21531"/>
    <cellStyle name="Normal 2 3 2 9 3 2 12" xfId="21532"/>
    <cellStyle name="Normal 2 3 2 9 3 2 2" xfId="21533"/>
    <cellStyle name="Normal 2 3 2 9 3 2 2 10" xfId="21534"/>
    <cellStyle name="Normal 2 3 2 9 3 2 2 10 2" xfId="21535"/>
    <cellStyle name="Normal 2 3 2 9 3 2 2 11" xfId="21536"/>
    <cellStyle name="Normal 2 3 2 9 3 2 2 2" xfId="21537"/>
    <cellStyle name="Normal 2 3 2 9 3 2 2 2 2" xfId="21538"/>
    <cellStyle name="Normal 2 3 2 9 3 2 2 3" xfId="21539"/>
    <cellStyle name="Normal 2 3 2 9 3 2 2 3 2" xfId="21540"/>
    <cellStyle name="Normal 2 3 2 9 3 2 2 4" xfId="21541"/>
    <cellStyle name="Normal 2 3 2 9 3 2 2 4 2" xfId="21542"/>
    <cellStyle name="Normal 2 3 2 9 3 2 2 5" xfId="21543"/>
    <cellStyle name="Normal 2 3 2 9 3 2 2 5 2" xfId="21544"/>
    <cellStyle name="Normal 2 3 2 9 3 2 2 6" xfId="21545"/>
    <cellStyle name="Normal 2 3 2 9 3 2 2 6 2" xfId="21546"/>
    <cellStyle name="Normal 2 3 2 9 3 2 2 7" xfId="21547"/>
    <cellStyle name="Normal 2 3 2 9 3 2 2 7 2" xfId="21548"/>
    <cellStyle name="Normal 2 3 2 9 3 2 2 8" xfId="21549"/>
    <cellStyle name="Normal 2 3 2 9 3 2 2 8 2" xfId="21550"/>
    <cellStyle name="Normal 2 3 2 9 3 2 2 9" xfId="21551"/>
    <cellStyle name="Normal 2 3 2 9 3 2 2 9 2" xfId="21552"/>
    <cellStyle name="Normal 2 3 2 9 3 2 3" xfId="21553"/>
    <cellStyle name="Normal 2 3 2 9 3 2 3 2" xfId="21554"/>
    <cellStyle name="Normal 2 3 2 9 3 2 4" xfId="21555"/>
    <cellStyle name="Normal 2 3 2 9 3 2 4 2" xfId="21556"/>
    <cellStyle name="Normal 2 3 2 9 3 2 5" xfId="21557"/>
    <cellStyle name="Normal 2 3 2 9 3 2 5 2" xfId="21558"/>
    <cellStyle name="Normal 2 3 2 9 3 2 6" xfId="21559"/>
    <cellStyle name="Normal 2 3 2 9 3 2 6 2" xfId="21560"/>
    <cellStyle name="Normal 2 3 2 9 3 2 7" xfId="21561"/>
    <cellStyle name="Normal 2 3 2 9 3 2 7 2" xfId="21562"/>
    <cellStyle name="Normal 2 3 2 9 3 2 8" xfId="21563"/>
    <cellStyle name="Normal 2 3 2 9 3 2 8 2" xfId="21564"/>
    <cellStyle name="Normal 2 3 2 9 3 2 9" xfId="21565"/>
    <cellStyle name="Normal 2 3 2 9 3 2 9 2" xfId="21566"/>
    <cellStyle name="Normal 2 3 2 9 3 3" xfId="21567"/>
    <cellStyle name="Normal 2 3 2 9 3 3 10" xfId="21568"/>
    <cellStyle name="Normal 2 3 2 9 3 3 10 2" xfId="21569"/>
    <cellStyle name="Normal 2 3 2 9 3 3 11" xfId="21570"/>
    <cellStyle name="Normal 2 3 2 9 3 3 2" xfId="21571"/>
    <cellStyle name="Normal 2 3 2 9 3 3 2 2" xfId="21572"/>
    <cellStyle name="Normal 2 3 2 9 3 3 3" xfId="21573"/>
    <cellStyle name="Normal 2 3 2 9 3 3 3 2" xfId="21574"/>
    <cellStyle name="Normal 2 3 2 9 3 3 4" xfId="21575"/>
    <cellStyle name="Normal 2 3 2 9 3 3 4 2" xfId="21576"/>
    <cellStyle name="Normal 2 3 2 9 3 3 5" xfId="21577"/>
    <cellStyle name="Normal 2 3 2 9 3 3 5 2" xfId="21578"/>
    <cellStyle name="Normal 2 3 2 9 3 3 6" xfId="21579"/>
    <cellStyle name="Normal 2 3 2 9 3 3 6 2" xfId="21580"/>
    <cellStyle name="Normal 2 3 2 9 3 3 7" xfId="21581"/>
    <cellStyle name="Normal 2 3 2 9 3 3 7 2" xfId="21582"/>
    <cellStyle name="Normal 2 3 2 9 3 3 8" xfId="21583"/>
    <cellStyle name="Normal 2 3 2 9 3 3 8 2" xfId="21584"/>
    <cellStyle name="Normal 2 3 2 9 3 3 9" xfId="21585"/>
    <cellStyle name="Normal 2 3 2 9 3 3 9 2" xfId="21586"/>
    <cellStyle name="Normal 2 3 2 9 3 4" xfId="21587"/>
    <cellStyle name="Normal 2 3 2 9 3 4 2" xfId="21588"/>
    <cellStyle name="Normal 2 3 2 9 3 5" xfId="21589"/>
    <cellStyle name="Normal 2 3 2 9 3 5 2" xfId="21590"/>
    <cellStyle name="Normal 2 3 2 9 3 6" xfId="21591"/>
    <cellStyle name="Normal 2 3 2 9 3 6 2" xfId="21592"/>
    <cellStyle name="Normal 2 3 2 9 3 7" xfId="21593"/>
    <cellStyle name="Normal 2 3 2 9 3 7 2" xfId="21594"/>
    <cellStyle name="Normal 2 3 2 9 3 8" xfId="21595"/>
    <cellStyle name="Normal 2 3 2 9 3 8 2" xfId="21596"/>
    <cellStyle name="Normal 2 3 2 9 3 9" xfId="21597"/>
    <cellStyle name="Normal 2 3 2 9 3 9 2" xfId="21598"/>
    <cellStyle name="Normal 2 3 2 9 4" xfId="21599"/>
    <cellStyle name="Normal 2 3 2 9 4 10" xfId="21600"/>
    <cellStyle name="Normal 2 3 2 9 4 10 2" xfId="21601"/>
    <cellStyle name="Normal 2 3 2 9 4 11" xfId="21602"/>
    <cellStyle name="Normal 2 3 2 9 4 11 2" xfId="21603"/>
    <cellStyle name="Normal 2 3 2 9 4 12" xfId="21604"/>
    <cellStyle name="Normal 2 3 2 9 4 12 2" xfId="21605"/>
    <cellStyle name="Normal 2 3 2 9 4 13" xfId="21606"/>
    <cellStyle name="Normal 2 3 2 9 4 2" xfId="21607"/>
    <cellStyle name="Normal 2 3 2 9 4 2 10" xfId="21608"/>
    <cellStyle name="Normal 2 3 2 9 4 2 10 2" xfId="21609"/>
    <cellStyle name="Normal 2 3 2 9 4 2 11" xfId="21610"/>
    <cellStyle name="Normal 2 3 2 9 4 2 11 2" xfId="21611"/>
    <cellStyle name="Normal 2 3 2 9 4 2 12" xfId="21612"/>
    <cellStyle name="Normal 2 3 2 9 4 2 2" xfId="21613"/>
    <cellStyle name="Normal 2 3 2 9 4 2 2 10" xfId="21614"/>
    <cellStyle name="Normal 2 3 2 9 4 2 2 10 2" xfId="21615"/>
    <cellStyle name="Normal 2 3 2 9 4 2 2 11" xfId="21616"/>
    <cellStyle name="Normal 2 3 2 9 4 2 2 2" xfId="21617"/>
    <cellStyle name="Normal 2 3 2 9 4 2 2 2 2" xfId="21618"/>
    <cellStyle name="Normal 2 3 2 9 4 2 2 3" xfId="21619"/>
    <cellStyle name="Normal 2 3 2 9 4 2 2 3 2" xfId="21620"/>
    <cellStyle name="Normal 2 3 2 9 4 2 2 4" xfId="21621"/>
    <cellStyle name="Normal 2 3 2 9 4 2 2 4 2" xfId="21622"/>
    <cellStyle name="Normal 2 3 2 9 4 2 2 5" xfId="21623"/>
    <cellStyle name="Normal 2 3 2 9 4 2 2 5 2" xfId="21624"/>
    <cellStyle name="Normal 2 3 2 9 4 2 2 6" xfId="21625"/>
    <cellStyle name="Normal 2 3 2 9 4 2 2 6 2" xfId="21626"/>
    <cellStyle name="Normal 2 3 2 9 4 2 2 7" xfId="21627"/>
    <cellStyle name="Normal 2 3 2 9 4 2 2 7 2" xfId="21628"/>
    <cellStyle name="Normal 2 3 2 9 4 2 2 8" xfId="21629"/>
    <cellStyle name="Normal 2 3 2 9 4 2 2 8 2" xfId="21630"/>
    <cellStyle name="Normal 2 3 2 9 4 2 2 9" xfId="21631"/>
    <cellStyle name="Normal 2 3 2 9 4 2 2 9 2" xfId="21632"/>
    <cellStyle name="Normal 2 3 2 9 4 2 3" xfId="21633"/>
    <cellStyle name="Normal 2 3 2 9 4 2 3 2" xfId="21634"/>
    <cellStyle name="Normal 2 3 2 9 4 2 4" xfId="21635"/>
    <cellStyle name="Normal 2 3 2 9 4 2 4 2" xfId="21636"/>
    <cellStyle name="Normal 2 3 2 9 4 2 5" xfId="21637"/>
    <cellStyle name="Normal 2 3 2 9 4 2 5 2" xfId="21638"/>
    <cellStyle name="Normal 2 3 2 9 4 2 6" xfId="21639"/>
    <cellStyle name="Normal 2 3 2 9 4 2 6 2" xfId="21640"/>
    <cellStyle name="Normal 2 3 2 9 4 2 7" xfId="21641"/>
    <cellStyle name="Normal 2 3 2 9 4 2 7 2" xfId="21642"/>
    <cellStyle name="Normal 2 3 2 9 4 2 8" xfId="21643"/>
    <cellStyle name="Normal 2 3 2 9 4 2 8 2" xfId="21644"/>
    <cellStyle name="Normal 2 3 2 9 4 2 9" xfId="21645"/>
    <cellStyle name="Normal 2 3 2 9 4 2 9 2" xfId="21646"/>
    <cellStyle name="Normal 2 3 2 9 4 3" xfId="21647"/>
    <cellStyle name="Normal 2 3 2 9 4 3 10" xfId="21648"/>
    <cellStyle name="Normal 2 3 2 9 4 3 10 2" xfId="21649"/>
    <cellStyle name="Normal 2 3 2 9 4 3 11" xfId="21650"/>
    <cellStyle name="Normal 2 3 2 9 4 3 2" xfId="21651"/>
    <cellStyle name="Normal 2 3 2 9 4 3 2 2" xfId="21652"/>
    <cellStyle name="Normal 2 3 2 9 4 3 3" xfId="21653"/>
    <cellStyle name="Normal 2 3 2 9 4 3 3 2" xfId="21654"/>
    <cellStyle name="Normal 2 3 2 9 4 3 4" xfId="21655"/>
    <cellStyle name="Normal 2 3 2 9 4 3 4 2" xfId="21656"/>
    <cellStyle name="Normal 2 3 2 9 4 3 5" xfId="21657"/>
    <cellStyle name="Normal 2 3 2 9 4 3 5 2" xfId="21658"/>
    <cellStyle name="Normal 2 3 2 9 4 3 6" xfId="21659"/>
    <cellStyle name="Normal 2 3 2 9 4 3 6 2" xfId="21660"/>
    <cellStyle name="Normal 2 3 2 9 4 3 7" xfId="21661"/>
    <cellStyle name="Normal 2 3 2 9 4 3 7 2" xfId="21662"/>
    <cellStyle name="Normal 2 3 2 9 4 3 8" xfId="21663"/>
    <cellStyle name="Normal 2 3 2 9 4 3 8 2" xfId="21664"/>
    <cellStyle name="Normal 2 3 2 9 4 3 9" xfId="21665"/>
    <cellStyle name="Normal 2 3 2 9 4 3 9 2" xfId="21666"/>
    <cellStyle name="Normal 2 3 2 9 4 4" xfId="21667"/>
    <cellStyle name="Normal 2 3 2 9 4 4 2" xfId="21668"/>
    <cellStyle name="Normal 2 3 2 9 4 5" xfId="21669"/>
    <cellStyle name="Normal 2 3 2 9 4 5 2" xfId="21670"/>
    <cellStyle name="Normal 2 3 2 9 4 6" xfId="21671"/>
    <cellStyle name="Normal 2 3 2 9 4 6 2" xfId="21672"/>
    <cellStyle name="Normal 2 3 2 9 4 7" xfId="21673"/>
    <cellStyle name="Normal 2 3 2 9 4 7 2" xfId="21674"/>
    <cellStyle name="Normal 2 3 2 9 4 8" xfId="21675"/>
    <cellStyle name="Normal 2 3 2 9 4 8 2" xfId="21676"/>
    <cellStyle name="Normal 2 3 2 9 4 9" xfId="21677"/>
    <cellStyle name="Normal 2 3 2 9 4 9 2" xfId="21678"/>
    <cellStyle name="Normal 2 3 2 9 5" xfId="21679"/>
    <cellStyle name="Normal 2 3 2 9 5 10" xfId="21680"/>
    <cellStyle name="Normal 2 3 2 9 5 10 2" xfId="21681"/>
    <cellStyle name="Normal 2 3 2 9 5 11" xfId="21682"/>
    <cellStyle name="Normal 2 3 2 9 5 11 2" xfId="21683"/>
    <cellStyle name="Normal 2 3 2 9 5 12" xfId="21684"/>
    <cellStyle name="Normal 2 3 2 9 5 12 2" xfId="21685"/>
    <cellStyle name="Normal 2 3 2 9 5 13" xfId="21686"/>
    <cellStyle name="Normal 2 3 2 9 5 2" xfId="21687"/>
    <cellStyle name="Normal 2 3 2 9 5 2 10" xfId="21688"/>
    <cellStyle name="Normal 2 3 2 9 5 2 10 2" xfId="21689"/>
    <cellStyle name="Normal 2 3 2 9 5 2 11" xfId="21690"/>
    <cellStyle name="Normal 2 3 2 9 5 2 11 2" xfId="21691"/>
    <cellStyle name="Normal 2 3 2 9 5 2 12" xfId="21692"/>
    <cellStyle name="Normal 2 3 2 9 5 2 2" xfId="21693"/>
    <cellStyle name="Normal 2 3 2 9 5 2 2 10" xfId="21694"/>
    <cellStyle name="Normal 2 3 2 9 5 2 2 10 2" xfId="21695"/>
    <cellStyle name="Normal 2 3 2 9 5 2 2 11" xfId="21696"/>
    <cellStyle name="Normal 2 3 2 9 5 2 2 2" xfId="21697"/>
    <cellStyle name="Normal 2 3 2 9 5 2 2 2 2" xfId="21698"/>
    <cellStyle name="Normal 2 3 2 9 5 2 2 3" xfId="21699"/>
    <cellStyle name="Normal 2 3 2 9 5 2 2 3 2" xfId="21700"/>
    <cellStyle name="Normal 2 3 2 9 5 2 2 4" xfId="21701"/>
    <cellStyle name="Normal 2 3 2 9 5 2 2 4 2" xfId="21702"/>
    <cellStyle name="Normal 2 3 2 9 5 2 2 5" xfId="21703"/>
    <cellStyle name="Normal 2 3 2 9 5 2 2 5 2" xfId="21704"/>
    <cellStyle name="Normal 2 3 2 9 5 2 2 6" xfId="21705"/>
    <cellStyle name="Normal 2 3 2 9 5 2 2 6 2" xfId="21706"/>
    <cellStyle name="Normal 2 3 2 9 5 2 2 7" xfId="21707"/>
    <cellStyle name="Normal 2 3 2 9 5 2 2 7 2" xfId="21708"/>
    <cellStyle name="Normal 2 3 2 9 5 2 2 8" xfId="21709"/>
    <cellStyle name="Normal 2 3 2 9 5 2 2 8 2" xfId="21710"/>
    <cellStyle name="Normal 2 3 2 9 5 2 2 9" xfId="21711"/>
    <cellStyle name="Normal 2 3 2 9 5 2 2 9 2" xfId="21712"/>
    <cellStyle name="Normal 2 3 2 9 5 2 3" xfId="21713"/>
    <cellStyle name="Normal 2 3 2 9 5 2 3 2" xfId="21714"/>
    <cellStyle name="Normal 2 3 2 9 5 2 4" xfId="21715"/>
    <cellStyle name="Normal 2 3 2 9 5 2 4 2" xfId="21716"/>
    <cellStyle name="Normal 2 3 2 9 5 2 5" xfId="21717"/>
    <cellStyle name="Normal 2 3 2 9 5 2 5 2" xfId="21718"/>
    <cellStyle name="Normal 2 3 2 9 5 2 6" xfId="21719"/>
    <cellStyle name="Normal 2 3 2 9 5 2 6 2" xfId="21720"/>
    <cellStyle name="Normal 2 3 2 9 5 2 7" xfId="21721"/>
    <cellStyle name="Normal 2 3 2 9 5 2 7 2" xfId="21722"/>
    <cellStyle name="Normal 2 3 2 9 5 2 8" xfId="21723"/>
    <cellStyle name="Normal 2 3 2 9 5 2 8 2" xfId="21724"/>
    <cellStyle name="Normal 2 3 2 9 5 2 9" xfId="21725"/>
    <cellStyle name="Normal 2 3 2 9 5 2 9 2" xfId="21726"/>
    <cellStyle name="Normal 2 3 2 9 5 3" xfId="21727"/>
    <cellStyle name="Normal 2 3 2 9 5 3 10" xfId="21728"/>
    <cellStyle name="Normal 2 3 2 9 5 3 10 2" xfId="21729"/>
    <cellStyle name="Normal 2 3 2 9 5 3 11" xfId="21730"/>
    <cellStyle name="Normal 2 3 2 9 5 3 2" xfId="21731"/>
    <cellStyle name="Normal 2 3 2 9 5 3 2 2" xfId="21732"/>
    <cellStyle name="Normal 2 3 2 9 5 3 3" xfId="21733"/>
    <cellStyle name="Normal 2 3 2 9 5 3 3 2" xfId="21734"/>
    <cellStyle name="Normal 2 3 2 9 5 3 4" xfId="21735"/>
    <cellStyle name="Normal 2 3 2 9 5 3 4 2" xfId="21736"/>
    <cellStyle name="Normal 2 3 2 9 5 3 5" xfId="21737"/>
    <cellStyle name="Normal 2 3 2 9 5 3 5 2" xfId="21738"/>
    <cellStyle name="Normal 2 3 2 9 5 3 6" xfId="21739"/>
    <cellStyle name="Normal 2 3 2 9 5 3 6 2" xfId="21740"/>
    <cellStyle name="Normal 2 3 2 9 5 3 7" xfId="21741"/>
    <cellStyle name="Normal 2 3 2 9 5 3 7 2" xfId="21742"/>
    <cellStyle name="Normal 2 3 2 9 5 3 8" xfId="21743"/>
    <cellStyle name="Normal 2 3 2 9 5 3 8 2" xfId="21744"/>
    <cellStyle name="Normal 2 3 2 9 5 3 9" xfId="21745"/>
    <cellStyle name="Normal 2 3 2 9 5 3 9 2" xfId="21746"/>
    <cellStyle name="Normal 2 3 2 9 5 4" xfId="21747"/>
    <cellStyle name="Normal 2 3 2 9 5 4 2" xfId="21748"/>
    <cellStyle name="Normal 2 3 2 9 5 5" xfId="21749"/>
    <cellStyle name="Normal 2 3 2 9 5 5 2" xfId="21750"/>
    <cellStyle name="Normal 2 3 2 9 5 6" xfId="21751"/>
    <cellStyle name="Normal 2 3 2 9 5 6 2" xfId="21752"/>
    <cellStyle name="Normal 2 3 2 9 5 7" xfId="21753"/>
    <cellStyle name="Normal 2 3 2 9 5 7 2" xfId="21754"/>
    <cellStyle name="Normal 2 3 2 9 5 8" xfId="21755"/>
    <cellStyle name="Normal 2 3 2 9 5 8 2" xfId="21756"/>
    <cellStyle name="Normal 2 3 2 9 5 9" xfId="21757"/>
    <cellStyle name="Normal 2 3 2 9 5 9 2" xfId="21758"/>
    <cellStyle name="Normal 2 3 2 9 6" xfId="21759"/>
    <cellStyle name="Normal 2 3 2 9 6 10" xfId="21760"/>
    <cellStyle name="Normal 2 3 2 9 6 10 2" xfId="21761"/>
    <cellStyle name="Normal 2 3 2 9 6 11" xfId="21762"/>
    <cellStyle name="Normal 2 3 2 9 6 11 2" xfId="21763"/>
    <cellStyle name="Normal 2 3 2 9 6 12" xfId="21764"/>
    <cellStyle name="Normal 2 3 2 9 6 12 2" xfId="21765"/>
    <cellStyle name="Normal 2 3 2 9 6 13" xfId="21766"/>
    <cellStyle name="Normal 2 3 2 9 6 2" xfId="21767"/>
    <cellStyle name="Normal 2 3 2 9 6 2 10" xfId="21768"/>
    <cellStyle name="Normal 2 3 2 9 6 2 10 2" xfId="21769"/>
    <cellStyle name="Normal 2 3 2 9 6 2 11" xfId="21770"/>
    <cellStyle name="Normal 2 3 2 9 6 2 11 2" xfId="21771"/>
    <cellStyle name="Normal 2 3 2 9 6 2 12" xfId="21772"/>
    <cellStyle name="Normal 2 3 2 9 6 2 2" xfId="21773"/>
    <cellStyle name="Normal 2 3 2 9 6 2 2 10" xfId="21774"/>
    <cellStyle name="Normal 2 3 2 9 6 2 2 10 2" xfId="21775"/>
    <cellStyle name="Normal 2 3 2 9 6 2 2 11" xfId="21776"/>
    <cellStyle name="Normal 2 3 2 9 6 2 2 2" xfId="21777"/>
    <cellStyle name="Normal 2 3 2 9 6 2 2 2 2" xfId="21778"/>
    <cellStyle name="Normal 2 3 2 9 6 2 2 3" xfId="21779"/>
    <cellStyle name="Normal 2 3 2 9 6 2 2 3 2" xfId="21780"/>
    <cellStyle name="Normal 2 3 2 9 6 2 2 4" xfId="21781"/>
    <cellStyle name="Normal 2 3 2 9 6 2 2 4 2" xfId="21782"/>
    <cellStyle name="Normal 2 3 2 9 6 2 2 5" xfId="21783"/>
    <cellStyle name="Normal 2 3 2 9 6 2 2 5 2" xfId="21784"/>
    <cellStyle name="Normal 2 3 2 9 6 2 2 6" xfId="21785"/>
    <cellStyle name="Normal 2 3 2 9 6 2 2 6 2" xfId="21786"/>
    <cellStyle name="Normal 2 3 2 9 6 2 2 7" xfId="21787"/>
    <cellStyle name="Normal 2 3 2 9 6 2 2 7 2" xfId="21788"/>
    <cellStyle name="Normal 2 3 2 9 6 2 2 8" xfId="21789"/>
    <cellStyle name="Normal 2 3 2 9 6 2 2 8 2" xfId="21790"/>
    <cellStyle name="Normal 2 3 2 9 6 2 2 9" xfId="21791"/>
    <cellStyle name="Normal 2 3 2 9 6 2 2 9 2" xfId="21792"/>
    <cellStyle name="Normal 2 3 2 9 6 2 3" xfId="21793"/>
    <cellStyle name="Normal 2 3 2 9 6 2 3 2" xfId="21794"/>
    <cellStyle name="Normal 2 3 2 9 6 2 4" xfId="21795"/>
    <cellStyle name="Normal 2 3 2 9 6 2 4 2" xfId="21796"/>
    <cellStyle name="Normal 2 3 2 9 6 2 5" xfId="21797"/>
    <cellStyle name="Normal 2 3 2 9 6 2 5 2" xfId="21798"/>
    <cellStyle name="Normal 2 3 2 9 6 2 6" xfId="21799"/>
    <cellStyle name="Normal 2 3 2 9 6 2 6 2" xfId="21800"/>
    <cellStyle name="Normal 2 3 2 9 6 2 7" xfId="21801"/>
    <cellStyle name="Normal 2 3 2 9 6 2 7 2" xfId="21802"/>
    <cellStyle name="Normal 2 3 2 9 6 2 8" xfId="21803"/>
    <cellStyle name="Normal 2 3 2 9 6 2 8 2" xfId="21804"/>
    <cellStyle name="Normal 2 3 2 9 6 2 9" xfId="21805"/>
    <cellStyle name="Normal 2 3 2 9 6 2 9 2" xfId="21806"/>
    <cellStyle name="Normal 2 3 2 9 6 3" xfId="21807"/>
    <cellStyle name="Normal 2 3 2 9 6 3 10" xfId="21808"/>
    <cellStyle name="Normal 2 3 2 9 6 3 10 2" xfId="21809"/>
    <cellStyle name="Normal 2 3 2 9 6 3 11" xfId="21810"/>
    <cellStyle name="Normal 2 3 2 9 6 3 2" xfId="21811"/>
    <cellStyle name="Normal 2 3 2 9 6 3 2 2" xfId="21812"/>
    <cellStyle name="Normal 2 3 2 9 6 3 3" xfId="21813"/>
    <cellStyle name="Normal 2 3 2 9 6 3 3 2" xfId="21814"/>
    <cellStyle name="Normal 2 3 2 9 6 3 4" xfId="21815"/>
    <cellStyle name="Normal 2 3 2 9 6 3 4 2" xfId="21816"/>
    <cellStyle name="Normal 2 3 2 9 6 3 5" xfId="21817"/>
    <cellStyle name="Normal 2 3 2 9 6 3 5 2" xfId="21818"/>
    <cellStyle name="Normal 2 3 2 9 6 3 6" xfId="21819"/>
    <cellStyle name="Normal 2 3 2 9 6 3 6 2" xfId="21820"/>
    <cellStyle name="Normal 2 3 2 9 6 3 7" xfId="21821"/>
    <cellStyle name="Normal 2 3 2 9 6 3 7 2" xfId="21822"/>
    <cellStyle name="Normal 2 3 2 9 6 3 8" xfId="21823"/>
    <cellStyle name="Normal 2 3 2 9 6 3 8 2" xfId="21824"/>
    <cellStyle name="Normal 2 3 2 9 6 3 9" xfId="21825"/>
    <cellStyle name="Normal 2 3 2 9 6 3 9 2" xfId="21826"/>
    <cellStyle name="Normal 2 3 2 9 6 4" xfId="21827"/>
    <cellStyle name="Normal 2 3 2 9 6 4 2" xfId="21828"/>
    <cellStyle name="Normal 2 3 2 9 6 5" xfId="21829"/>
    <cellStyle name="Normal 2 3 2 9 6 5 2" xfId="21830"/>
    <cellStyle name="Normal 2 3 2 9 6 6" xfId="21831"/>
    <cellStyle name="Normal 2 3 2 9 6 6 2" xfId="21832"/>
    <cellStyle name="Normal 2 3 2 9 6 7" xfId="21833"/>
    <cellStyle name="Normal 2 3 2 9 6 7 2" xfId="21834"/>
    <cellStyle name="Normal 2 3 2 9 6 8" xfId="21835"/>
    <cellStyle name="Normal 2 3 2 9 6 8 2" xfId="21836"/>
    <cellStyle name="Normal 2 3 2 9 6 9" xfId="21837"/>
    <cellStyle name="Normal 2 3 2 9 6 9 2" xfId="21838"/>
    <cellStyle name="Normal 2 3 2 9 7" xfId="21839"/>
    <cellStyle name="Normal 2 3 20" xfId="21840"/>
    <cellStyle name="Normal 2 3 21" xfId="21841"/>
    <cellStyle name="Normal 2 3 22" xfId="21842"/>
    <cellStyle name="Normal 2 3 23" xfId="21843"/>
    <cellStyle name="Normal 2 3 24" xfId="21844"/>
    <cellStyle name="Normal 2 3 25" xfId="21845"/>
    <cellStyle name="Normal 2 3 26" xfId="21846"/>
    <cellStyle name="Normal 2 3 27" xfId="21847"/>
    <cellStyle name="Normal 2 3 28" xfId="21848"/>
    <cellStyle name="Normal 2 3 29" xfId="21849"/>
    <cellStyle name="Normal 2 3 3" xfId="21850"/>
    <cellStyle name="Normal 2 3 3 10" xfId="21851"/>
    <cellStyle name="Normal 2 3 3 10 10" xfId="21852"/>
    <cellStyle name="Normal 2 3 3 10 10 2" xfId="21853"/>
    <cellStyle name="Normal 2 3 3 10 11" xfId="21854"/>
    <cellStyle name="Normal 2 3 3 10 11 2" xfId="21855"/>
    <cellStyle name="Normal 2 3 3 10 12" xfId="21856"/>
    <cellStyle name="Normal 2 3 3 10 12 2" xfId="21857"/>
    <cellStyle name="Normal 2 3 3 10 13" xfId="21858"/>
    <cellStyle name="Normal 2 3 3 10 2" xfId="21859"/>
    <cellStyle name="Normal 2 3 3 10 2 10" xfId="21860"/>
    <cellStyle name="Normal 2 3 3 10 2 10 2" xfId="21861"/>
    <cellStyle name="Normal 2 3 3 10 2 11" xfId="21862"/>
    <cellStyle name="Normal 2 3 3 10 2 11 2" xfId="21863"/>
    <cellStyle name="Normal 2 3 3 10 2 12" xfId="21864"/>
    <cellStyle name="Normal 2 3 3 10 2 2" xfId="21865"/>
    <cellStyle name="Normal 2 3 3 10 2 2 10" xfId="21866"/>
    <cellStyle name="Normal 2 3 3 10 2 2 10 2" xfId="21867"/>
    <cellStyle name="Normal 2 3 3 10 2 2 11" xfId="21868"/>
    <cellStyle name="Normal 2 3 3 10 2 2 2" xfId="21869"/>
    <cellStyle name="Normal 2 3 3 10 2 2 2 2" xfId="21870"/>
    <cellStyle name="Normal 2 3 3 10 2 2 3" xfId="21871"/>
    <cellStyle name="Normal 2 3 3 10 2 2 3 2" xfId="21872"/>
    <cellStyle name="Normal 2 3 3 10 2 2 4" xfId="21873"/>
    <cellStyle name="Normal 2 3 3 10 2 2 4 2" xfId="21874"/>
    <cellStyle name="Normal 2 3 3 10 2 2 5" xfId="21875"/>
    <cellStyle name="Normal 2 3 3 10 2 2 5 2" xfId="21876"/>
    <cellStyle name="Normal 2 3 3 10 2 2 6" xfId="21877"/>
    <cellStyle name="Normal 2 3 3 10 2 2 6 2" xfId="21878"/>
    <cellStyle name="Normal 2 3 3 10 2 2 7" xfId="21879"/>
    <cellStyle name="Normal 2 3 3 10 2 2 7 2" xfId="21880"/>
    <cellStyle name="Normal 2 3 3 10 2 2 8" xfId="21881"/>
    <cellStyle name="Normal 2 3 3 10 2 2 8 2" xfId="21882"/>
    <cellStyle name="Normal 2 3 3 10 2 2 9" xfId="21883"/>
    <cellStyle name="Normal 2 3 3 10 2 2 9 2" xfId="21884"/>
    <cellStyle name="Normal 2 3 3 10 2 3" xfId="21885"/>
    <cellStyle name="Normal 2 3 3 10 2 3 2" xfId="21886"/>
    <cellStyle name="Normal 2 3 3 10 2 4" xfId="21887"/>
    <cellStyle name="Normal 2 3 3 10 2 4 2" xfId="21888"/>
    <cellStyle name="Normal 2 3 3 10 2 5" xfId="21889"/>
    <cellStyle name="Normal 2 3 3 10 2 5 2" xfId="21890"/>
    <cellStyle name="Normal 2 3 3 10 2 6" xfId="21891"/>
    <cellStyle name="Normal 2 3 3 10 2 6 2" xfId="21892"/>
    <cellStyle name="Normal 2 3 3 10 2 7" xfId="21893"/>
    <cellStyle name="Normal 2 3 3 10 2 7 2" xfId="21894"/>
    <cellStyle name="Normal 2 3 3 10 2 8" xfId="21895"/>
    <cellStyle name="Normal 2 3 3 10 2 8 2" xfId="21896"/>
    <cellStyle name="Normal 2 3 3 10 2 9" xfId="21897"/>
    <cellStyle name="Normal 2 3 3 10 2 9 2" xfId="21898"/>
    <cellStyle name="Normal 2 3 3 10 3" xfId="21899"/>
    <cellStyle name="Normal 2 3 3 10 3 10" xfId="21900"/>
    <cellStyle name="Normal 2 3 3 10 3 10 2" xfId="21901"/>
    <cellStyle name="Normal 2 3 3 10 3 11" xfId="21902"/>
    <cellStyle name="Normal 2 3 3 10 3 2" xfId="21903"/>
    <cellStyle name="Normal 2 3 3 10 3 2 2" xfId="21904"/>
    <cellStyle name="Normal 2 3 3 10 3 3" xfId="21905"/>
    <cellStyle name="Normal 2 3 3 10 3 3 2" xfId="21906"/>
    <cellStyle name="Normal 2 3 3 10 3 4" xfId="21907"/>
    <cellStyle name="Normal 2 3 3 10 3 4 2" xfId="21908"/>
    <cellStyle name="Normal 2 3 3 10 3 5" xfId="21909"/>
    <cellStyle name="Normal 2 3 3 10 3 5 2" xfId="21910"/>
    <cellStyle name="Normal 2 3 3 10 3 6" xfId="21911"/>
    <cellStyle name="Normal 2 3 3 10 3 6 2" xfId="21912"/>
    <cellStyle name="Normal 2 3 3 10 3 7" xfId="21913"/>
    <cellStyle name="Normal 2 3 3 10 3 7 2" xfId="21914"/>
    <cellStyle name="Normal 2 3 3 10 3 8" xfId="21915"/>
    <cellStyle name="Normal 2 3 3 10 3 8 2" xfId="21916"/>
    <cellStyle name="Normal 2 3 3 10 3 9" xfId="21917"/>
    <cellStyle name="Normal 2 3 3 10 3 9 2" xfId="21918"/>
    <cellStyle name="Normal 2 3 3 10 4" xfId="21919"/>
    <cellStyle name="Normal 2 3 3 10 4 2" xfId="21920"/>
    <cellStyle name="Normal 2 3 3 10 5" xfId="21921"/>
    <cellStyle name="Normal 2 3 3 10 5 2" xfId="21922"/>
    <cellStyle name="Normal 2 3 3 10 6" xfId="21923"/>
    <cellStyle name="Normal 2 3 3 10 6 2" xfId="21924"/>
    <cellStyle name="Normal 2 3 3 10 7" xfId="21925"/>
    <cellStyle name="Normal 2 3 3 10 7 2" xfId="21926"/>
    <cellStyle name="Normal 2 3 3 10 8" xfId="21927"/>
    <cellStyle name="Normal 2 3 3 10 8 2" xfId="21928"/>
    <cellStyle name="Normal 2 3 3 10 9" xfId="21929"/>
    <cellStyle name="Normal 2 3 3 10 9 2" xfId="21930"/>
    <cellStyle name="Normal 2 3 3 2" xfId="21931"/>
    <cellStyle name="Normal 2 3 3 2 10" xfId="21932"/>
    <cellStyle name="Normal 2 3 3 2 2" xfId="21933"/>
    <cellStyle name="Normal 2 3 3 2 2 10" xfId="21934"/>
    <cellStyle name="Normal 2 3 3 2 2 10 2" xfId="21935"/>
    <cellStyle name="Normal 2 3 3 2 2 11" xfId="21936"/>
    <cellStyle name="Normal 2 3 3 2 2 11 2" xfId="21937"/>
    <cellStyle name="Normal 2 3 3 2 2 12" xfId="21938"/>
    <cellStyle name="Normal 2 3 3 2 2 12 2" xfId="21939"/>
    <cellStyle name="Normal 2 3 3 2 2 13" xfId="21940"/>
    <cellStyle name="Normal 2 3 3 2 2 13 2" xfId="21941"/>
    <cellStyle name="Normal 2 3 3 2 2 14" xfId="21942"/>
    <cellStyle name="Normal 2 3 3 2 2 14 2" xfId="21943"/>
    <cellStyle name="Normal 2 3 3 2 2 15" xfId="21944"/>
    <cellStyle name="Normal 2 3 3 2 2 15 2" xfId="21945"/>
    <cellStyle name="Normal 2 3 3 2 2 16" xfId="21946"/>
    <cellStyle name="Normal 2 3 3 2 2 16 2" xfId="21947"/>
    <cellStyle name="Normal 2 3 3 2 2 17" xfId="21948"/>
    <cellStyle name="Normal 2 3 3 2 2 17 2" xfId="21949"/>
    <cellStyle name="Normal 2 3 3 2 2 18" xfId="21950"/>
    <cellStyle name="Normal 2 3 3 2 2 2" xfId="21951"/>
    <cellStyle name="Normal 2 3 3 2 2 2 2" xfId="21952"/>
    <cellStyle name="Normal 2 3 3 2 2 2 2 10" xfId="21953"/>
    <cellStyle name="Normal 2 3 3 2 2 2 2 10 2" xfId="21954"/>
    <cellStyle name="Normal 2 3 3 2 2 2 2 11" xfId="21955"/>
    <cellStyle name="Normal 2 3 3 2 2 2 2 11 2" xfId="21956"/>
    <cellStyle name="Normal 2 3 3 2 2 2 2 12" xfId="21957"/>
    <cellStyle name="Normal 2 3 3 2 2 2 2 12 2" xfId="21958"/>
    <cellStyle name="Normal 2 3 3 2 2 2 2 13" xfId="21959"/>
    <cellStyle name="Normal 2 3 3 2 2 2 2 13 2" xfId="21960"/>
    <cellStyle name="Normal 2 3 3 2 2 2 2 14" xfId="21961"/>
    <cellStyle name="Normal 2 3 3 2 2 2 2 14 2" xfId="21962"/>
    <cellStyle name="Normal 2 3 3 2 2 2 2 15" xfId="21963"/>
    <cellStyle name="Normal 2 3 3 2 2 2 2 15 2" xfId="21964"/>
    <cellStyle name="Normal 2 3 3 2 2 2 2 16" xfId="21965"/>
    <cellStyle name="Normal 2 3 3 2 2 2 2 16 2" xfId="21966"/>
    <cellStyle name="Normal 2 3 3 2 2 2 2 17" xfId="21967"/>
    <cellStyle name="Normal 2 3 3 2 2 2 2 2" xfId="21968"/>
    <cellStyle name="Normal 2 3 3 2 2 2 2 2 2" xfId="21969"/>
    <cellStyle name="Normal 2 3 3 2 2 2 2 3" xfId="21970"/>
    <cellStyle name="Normal 2 3 3 2 2 2 2 3 2" xfId="21971"/>
    <cellStyle name="Normal 2 3 3 2 2 2 2 4" xfId="21972"/>
    <cellStyle name="Normal 2 3 3 2 2 2 2 4 2" xfId="21973"/>
    <cellStyle name="Normal 2 3 3 2 2 2 2 5" xfId="21974"/>
    <cellStyle name="Normal 2 3 3 2 2 2 2 5 2" xfId="21975"/>
    <cellStyle name="Normal 2 3 3 2 2 2 2 6" xfId="21976"/>
    <cellStyle name="Normal 2 3 3 2 2 2 2 6 10" xfId="21977"/>
    <cellStyle name="Normal 2 3 3 2 2 2 2 6 10 2" xfId="21978"/>
    <cellStyle name="Normal 2 3 3 2 2 2 2 6 11" xfId="21979"/>
    <cellStyle name="Normal 2 3 3 2 2 2 2 6 11 2" xfId="21980"/>
    <cellStyle name="Normal 2 3 3 2 2 2 2 6 12" xfId="21981"/>
    <cellStyle name="Normal 2 3 3 2 2 2 2 6 2" xfId="21982"/>
    <cellStyle name="Normal 2 3 3 2 2 2 2 6 2 10" xfId="21983"/>
    <cellStyle name="Normal 2 3 3 2 2 2 2 6 2 10 2" xfId="21984"/>
    <cellStyle name="Normal 2 3 3 2 2 2 2 6 2 11" xfId="21985"/>
    <cellStyle name="Normal 2 3 3 2 2 2 2 6 2 2" xfId="21986"/>
    <cellStyle name="Normal 2 3 3 2 2 2 2 6 2 2 2" xfId="21987"/>
    <cellStyle name="Normal 2 3 3 2 2 2 2 6 2 3" xfId="21988"/>
    <cellStyle name="Normal 2 3 3 2 2 2 2 6 2 3 2" xfId="21989"/>
    <cellStyle name="Normal 2 3 3 2 2 2 2 6 2 4" xfId="21990"/>
    <cellStyle name="Normal 2 3 3 2 2 2 2 6 2 4 2" xfId="21991"/>
    <cellStyle name="Normal 2 3 3 2 2 2 2 6 2 5" xfId="21992"/>
    <cellStyle name="Normal 2 3 3 2 2 2 2 6 2 5 2" xfId="21993"/>
    <cellStyle name="Normal 2 3 3 2 2 2 2 6 2 6" xfId="21994"/>
    <cellStyle name="Normal 2 3 3 2 2 2 2 6 2 6 2" xfId="21995"/>
    <cellStyle name="Normal 2 3 3 2 2 2 2 6 2 7" xfId="21996"/>
    <cellStyle name="Normal 2 3 3 2 2 2 2 6 2 7 2" xfId="21997"/>
    <cellStyle name="Normal 2 3 3 2 2 2 2 6 2 8" xfId="21998"/>
    <cellStyle name="Normal 2 3 3 2 2 2 2 6 2 8 2" xfId="21999"/>
    <cellStyle name="Normal 2 3 3 2 2 2 2 6 2 9" xfId="22000"/>
    <cellStyle name="Normal 2 3 3 2 2 2 2 6 2 9 2" xfId="22001"/>
    <cellStyle name="Normal 2 3 3 2 2 2 2 6 3" xfId="22002"/>
    <cellStyle name="Normal 2 3 3 2 2 2 2 6 3 2" xfId="22003"/>
    <cellStyle name="Normal 2 3 3 2 2 2 2 6 4" xfId="22004"/>
    <cellStyle name="Normal 2 3 3 2 2 2 2 6 4 2" xfId="22005"/>
    <cellStyle name="Normal 2 3 3 2 2 2 2 6 5" xfId="22006"/>
    <cellStyle name="Normal 2 3 3 2 2 2 2 6 5 2" xfId="22007"/>
    <cellStyle name="Normal 2 3 3 2 2 2 2 6 6" xfId="22008"/>
    <cellStyle name="Normal 2 3 3 2 2 2 2 6 6 2" xfId="22009"/>
    <cellStyle name="Normal 2 3 3 2 2 2 2 6 7" xfId="22010"/>
    <cellStyle name="Normal 2 3 3 2 2 2 2 6 7 2" xfId="22011"/>
    <cellStyle name="Normal 2 3 3 2 2 2 2 6 8" xfId="22012"/>
    <cellStyle name="Normal 2 3 3 2 2 2 2 6 8 2" xfId="22013"/>
    <cellStyle name="Normal 2 3 3 2 2 2 2 6 9" xfId="22014"/>
    <cellStyle name="Normal 2 3 3 2 2 2 2 6 9 2" xfId="22015"/>
    <cellStyle name="Normal 2 3 3 2 2 2 2 7" xfId="22016"/>
    <cellStyle name="Normal 2 3 3 2 2 2 2 7 10" xfId="22017"/>
    <cellStyle name="Normal 2 3 3 2 2 2 2 7 10 2" xfId="22018"/>
    <cellStyle name="Normal 2 3 3 2 2 2 2 7 11" xfId="22019"/>
    <cellStyle name="Normal 2 3 3 2 2 2 2 7 2" xfId="22020"/>
    <cellStyle name="Normal 2 3 3 2 2 2 2 7 2 2" xfId="22021"/>
    <cellStyle name="Normal 2 3 3 2 2 2 2 7 3" xfId="22022"/>
    <cellStyle name="Normal 2 3 3 2 2 2 2 7 3 2" xfId="22023"/>
    <cellStyle name="Normal 2 3 3 2 2 2 2 7 4" xfId="22024"/>
    <cellStyle name="Normal 2 3 3 2 2 2 2 7 4 2" xfId="22025"/>
    <cellStyle name="Normal 2 3 3 2 2 2 2 7 5" xfId="22026"/>
    <cellStyle name="Normal 2 3 3 2 2 2 2 7 5 2" xfId="22027"/>
    <cellStyle name="Normal 2 3 3 2 2 2 2 7 6" xfId="22028"/>
    <cellStyle name="Normal 2 3 3 2 2 2 2 7 6 2" xfId="22029"/>
    <cellStyle name="Normal 2 3 3 2 2 2 2 7 7" xfId="22030"/>
    <cellStyle name="Normal 2 3 3 2 2 2 2 7 7 2" xfId="22031"/>
    <cellStyle name="Normal 2 3 3 2 2 2 2 7 8" xfId="22032"/>
    <cellStyle name="Normal 2 3 3 2 2 2 2 7 8 2" xfId="22033"/>
    <cellStyle name="Normal 2 3 3 2 2 2 2 7 9" xfId="22034"/>
    <cellStyle name="Normal 2 3 3 2 2 2 2 7 9 2" xfId="22035"/>
    <cellStyle name="Normal 2 3 3 2 2 2 2 8" xfId="22036"/>
    <cellStyle name="Normal 2 3 3 2 2 2 2 8 2" xfId="22037"/>
    <cellStyle name="Normal 2 3 3 2 2 2 2 9" xfId="22038"/>
    <cellStyle name="Normal 2 3 3 2 2 2 2 9 2" xfId="22039"/>
    <cellStyle name="Normal 2 3 3 2 2 2 3" xfId="22040"/>
    <cellStyle name="Normal 2 3 3 2 2 2 3 10" xfId="22041"/>
    <cellStyle name="Normal 2 3 3 2 2 2 3 10 2" xfId="22042"/>
    <cellStyle name="Normal 2 3 3 2 2 2 3 11" xfId="22043"/>
    <cellStyle name="Normal 2 3 3 2 2 2 3 11 2" xfId="22044"/>
    <cellStyle name="Normal 2 3 3 2 2 2 3 12" xfId="22045"/>
    <cellStyle name="Normal 2 3 3 2 2 2 3 12 2" xfId="22046"/>
    <cellStyle name="Normal 2 3 3 2 2 2 3 13" xfId="22047"/>
    <cellStyle name="Normal 2 3 3 2 2 2 3 2" xfId="22048"/>
    <cellStyle name="Normal 2 3 3 2 2 2 3 2 10" xfId="22049"/>
    <cellStyle name="Normal 2 3 3 2 2 2 3 2 10 2" xfId="22050"/>
    <cellStyle name="Normal 2 3 3 2 2 2 3 2 11" xfId="22051"/>
    <cellStyle name="Normal 2 3 3 2 2 2 3 2 11 2" xfId="22052"/>
    <cellStyle name="Normal 2 3 3 2 2 2 3 2 12" xfId="22053"/>
    <cellStyle name="Normal 2 3 3 2 2 2 3 2 2" xfId="22054"/>
    <cellStyle name="Normal 2 3 3 2 2 2 3 2 2 10" xfId="22055"/>
    <cellStyle name="Normal 2 3 3 2 2 2 3 2 2 10 2" xfId="22056"/>
    <cellStyle name="Normal 2 3 3 2 2 2 3 2 2 11" xfId="22057"/>
    <cellStyle name="Normal 2 3 3 2 2 2 3 2 2 2" xfId="22058"/>
    <cellStyle name="Normal 2 3 3 2 2 2 3 2 2 2 2" xfId="22059"/>
    <cellStyle name="Normal 2 3 3 2 2 2 3 2 2 3" xfId="22060"/>
    <cellStyle name="Normal 2 3 3 2 2 2 3 2 2 3 2" xfId="22061"/>
    <cellStyle name="Normal 2 3 3 2 2 2 3 2 2 4" xfId="22062"/>
    <cellStyle name="Normal 2 3 3 2 2 2 3 2 2 4 2" xfId="22063"/>
    <cellStyle name="Normal 2 3 3 2 2 2 3 2 2 5" xfId="22064"/>
    <cellStyle name="Normal 2 3 3 2 2 2 3 2 2 5 2" xfId="22065"/>
    <cellStyle name="Normal 2 3 3 2 2 2 3 2 2 6" xfId="22066"/>
    <cellStyle name="Normal 2 3 3 2 2 2 3 2 2 6 2" xfId="22067"/>
    <cellStyle name="Normal 2 3 3 2 2 2 3 2 2 7" xfId="22068"/>
    <cellStyle name="Normal 2 3 3 2 2 2 3 2 2 7 2" xfId="22069"/>
    <cellStyle name="Normal 2 3 3 2 2 2 3 2 2 8" xfId="22070"/>
    <cellStyle name="Normal 2 3 3 2 2 2 3 2 2 8 2" xfId="22071"/>
    <cellStyle name="Normal 2 3 3 2 2 2 3 2 2 9" xfId="22072"/>
    <cellStyle name="Normal 2 3 3 2 2 2 3 2 2 9 2" xfId="22073"/>
    <cellStyle name="Normal 2 3 3 2 2 2 3 2 3" xfId="22074"/>
    <cellStyle name="Normal 2 3 3 2 2 2 3 2 3 2" xfId="22075"/>
    <cellStyle name="Normal 2 3 3 2 2 2 3 2 4" xfId="22076"/>
    <cellStyle name="Normal 2 3 3 2 2 2 3 2 4 2" xfId="22077"/>
    <cellStyle name="Normal 2 3 3 2 2 2 3 2 5" xfId="22078"/>
    <cellStyle name="Normal 2 3 3 2 2 2 3 2 5 2" xfId="22079"/>
    <cellStyle name="Normal 2 3 3 2 2 2 3 2 6" xfId="22080"/>
    <cellStyle name="Normal 2 3 3 2 2 2 3 2 6 2" xfId="22081"/>
    <cellStyle name="Normal 2 3 3 2 2 2 3 2 7" xfId="22082"/>
    <cellStyle name="Normal 2 3 3 2 2 2 3 2 7 2" xfId="22083"/>
    <cellStyle name="Normal 2 3 3 2 2 2 3 2 8" xfId="22084"/>
    <cellStyle name="Normal 2 3 3 2 2 2 3 2 8 2" xfId="22085"/>
    <cellStyle name="Normal 2 3 3 2 2 2 3 2 9" xfId="22086"/>
    <cellStyle name="Normal 2 3 3 2 2 2 3 2 9 2" xfId="22087"/>
    <cellStyle name="Normal 2 3 3 2 2 2 3 3" xfId="22088"/>
    <cellStyle name="Normal 2 3 3 2 2 2 3 3 10" xfId="22089"/>
    <cellStyle name="Normal 2 3 3 2 2 2 3 3 10 2" xfId="22090"/>
    <cellStyle name="Normal 2 3 3 2 2 2 3 3 11" xfId="22091"/>
    <cellStyle name="Normal 2 3 3 2 2 2 3 3 2" xfId="22092"/>
    <cellStyle name="Normal 2 3 3 2 2 2 3 3 2 2" xfId="22093"/>
    <cellStyle name="Normal 2 3 3 2 2 2 3 3 3" xfId="22094"/>
    <cellStyle name="Normal 2 3 3 2 2 2 3 3 3 2" xfId="22095"/>
    <cellStyle name="Normal 2 3 3 2 2 2 3 3 4" xfId="22096"/>
    <cellStyle name="Normal 2 3 3 2 2 2 3 3 4 2" xfId="22097"/>
    <cellStyle name="Normal 2 3 3 2 2 2 3 3 5" xfId="22098"/>
    <cellStyle name="Normal 2 3 3 2 2 2 3 3 5 2" xfId="22099"/>
    <cellStyle name="Normal 2 3 3 2 2 2 3 3 6" xfId="22100"/>
    <cellStyle name="Normal 2 3 3 2 2 2 3 3 6 2" xfId="22101"/>
    <cellStyle name="Normal 2 3 3 2 2 2 3 3 7" xfId="22102"/>
    <cellStyle name="Normal 2 3 3 2 2 2 3 3 7 2" xfId="22103"/>
    <cellStyle name="Normal 2 3 3 2 2 2 3 3 8" xfId="22104"/>
    <cellStyle name="Normal 2 3 3 2 2 2 3 3 8 2" xfId="22105"/>
    <cellStyle name="Normal 2 3 3 2 2 2 3 3 9" xfId="22106"/>
    <cellStyle name="Normal 2 3 3 2 2 2 3 3 9 2" xfId="22107"/>
    <cellStyle name="Normal 2 3 3 2 2 2 3 4" xfId="22108"/>
    <cellStyle name="Normal 2 3 3 2 2 2 3 4 2" xfId="22109"/>
    <cellStyle name="Normal 2 3 3 2 2 2 3 5" xfId="22110"/>
    <cellStyle name="Normal 2 3 3 2 2 2 3 5 2" xfId="22111"/>
    <cellStyle name="Normal 2 3 3 2 2 2 3 6" xfId="22112"/>
    <cellStyle name="Normal 2 3 3 2 2 2 3 6 2" xfId="22113"/>
    <cellStyle name="Normal 2 3 3 2 2 2 3 7" xfId="22114"/>
    <cellStyle name="Normal 2 3 3 2 2 2 3 7 2" xfId="22115"/>
    <cellStyle name="Normal 2 3 3 2 2 2 3 8" xfId="22116"/>
    <cellStyle name="Normal 2 3 3 2 2 2 3 8 2" xfId="22117"/>
    <cellStyle name="Normal 2 3 3 2 2 2 3 9" xfId="22118"/>
    <cellStyle name="Normal 2 3 3 2 2 2 3 9 2" xfId="22119"/>
    <cellStyle name="Normal 2 3 3 2 2 2 4" xfId="22120"/>
    <cellStyle name="Normal 2 3 3 2 2 2 4 10" xfId="22121"/>
    <cellStyle name="Normal 2 3 3 2 2 2 4 10 2" xfId="22122"/>
    <cellStyle name="Normal 2 3 3 2 2 2 4 11" xfId="22123"/>
    <cellStyle name="Normal 2 3 3 2 2 2 4 11 2" xfId="22124"/>
    <cellStyle name="Normal 2 3 3 2 2 2 4 12" xfId="22125"/>
    <cellStyle name="Normal 2 3 3 2 2 2 4 12 2" xfId="22126"/>
    <cellStyle name="Normal 2 3 3 2 2 2 4 13" xfId="22127"/>
    <cellStyle name="Normal 2 3 3 2 2 2 4 2" xfId="22128"/>
    <cellStyle name="Normal 2 3 3 2 2 2 4 2 10" xfId="22129"/>
    <cellStyle name="Normal 2 3 3 2 2 2 4 2 10 2" xfId="22130"/>
    <cellStyle name="Normal 2 3 3 2 2 2 4 2 11" xfId="22131"/>
    <cellStyle name="Normal 2 3 3 2 2 2 4 2 11 2" xfId="22132"/>
    <cellStyle name="Normal 2 3 3 2 2 2 4 2 12" xfId="22133"/>
    <cellStyle name="Normal 2 3 3 2 2 2 4 2 2" xfId="22134"/>
    <cellStyle name="Normal 2 3 3 2 2 2 4 2 2 10" xfId="22135"/>
    <cellStyle name="Normal 2 3 3 2 2 2 4 2 2 10 2" xfId="22136"/>
    <cellStyle name="Normal 2 3 3 2 2 2 4 2 2 11" xfId="22137"/>
    <cellStyle name="Normal 2 3 3 2 2 2 4 2 2 2" xfId="22138"/>
    <cellStyle name="Normal 2 3 3 2 2 2 4 2 2 2 2" xfId="22139"/>
    <cellStyle name="Normal 2 3 3 2 2 2 4 2 2 3" xfId="22140"/>
    <cellStyle name="Normal 2 3 3 2 2 2 4 2 2 3 2" xfId="22141"/>
    <cellStyle name="Normal 2 3 3 2 2 2 4 2 2 4" xfId="22142"/>
    <cellStyle name="Normal 2 3 3 2 2 2 4 2 2 4 2" xfId="22143"/>
    <cellStyle name="Normal 2 3 3 2 2 2 4 2 2 5" xfId="22144"/>
    <cellStyle name="Normal 2 3 3 2 2 2 4 2 2 5 2" xfId="22145"/>
    <cellStyle name="Normal 2 3 3 2 2 2 4 2 2 6" xfId="22146"/>
    <cellStyle name="Normal 2 3 3 2 2 2 4 2 2 6 2" xfId="22147"/>
    <cellStyle name="Normal 2 3 3 2 2 2 4 2 2 7" xfId="22148"/>
    <cellStyle name="Normal 2 3 3 2 2 2 4 2 2 7 2" xfId="22149"/>
    <cellStyle name="Normal 2 3 3 2 2 2 4 2 2 8" xfId="22150"/>
    <cellStyle name="Normal 2 3 3 2 2 2 4 2 2 8 2" xfId="22151"/>
    <cellStyle name="Normal 2 3 3 2 2 2 4 2 2 9" xfId="22152"/>
    <cellStyle name="Normal 2 3 3 2 2 2 4 2 2 9 2" xfId="22153"/>
    <cellStyle name="Normal 2 3 3 2 2 2 4 2 3" xfId="22154"/>
    <cellStyle name="Normal 2 3 3 2 2 2 4 2 3 2" xfId="22155"/>
    <cellStyle name="Normal 2 3 3 2 2 2 4 2 4" xfId="22156"/>
    <cellStyle name="Normal 2 3 3 2 2 2 4 2 4 2" xfId="22157"/>
    <cellStyle name="Normal 2 3 3 2 2 2 4 2 5" xfId="22158"/>
    <cellStyle name="Normal 2 3 3 2 2 2 4 2 5 2" xfId="22159"/>
    <cellStyle name="Normal 2 3 3 2 2 2 4 2 6" xfId="22160"/>
    <cellStyle name="Normal 2 3 3 2 2 2 4 2 6 2" xfId="22161"/>
    <cellStyle name="Normal 2 3 3 2 2 2 4 2 7" xfId="22162"/>
    <cellStyle name="Normal 2 3 3 2 2 2 4 2 7 2" xfId="22163"/>
    <cellStyle name="Normal 2 3 3 2 2 2 4 2 8" xfId="22164"/>
    <cellStyle name="Normal 2 3 3 2 2 2 4 2 8 2" xfId="22165"/>
    <cellStyle name="Normal 2 3 3 2 2 2 4 2 9" xfId="22166"/>
    <cellStyle name="Normal 2 3 3 2 2 2 4 2 9 2" xfId="22167"/>
    <cellStyle name="Normal 2 3 3 2 2 2 4 3" xfId="22168"/>
    <cellStyle name="Normal 2 3 3 2 2 2 4 3 10" xfId="22169"/>
    <cellStyle name="Normal 2 3 3 2 2 2 4 3 10 2" xfId="22170"/>
    <cellStyle name="Normal 2 3 3 2 2 2 4 3 11" xfId="22171"/>
    <cellStyle name="Normal 2 3 3 2 2 2 4 3 2" xfId="22172"/>
    <cellStyle name="Normal 2 3 3 2 2 2 4 3 2 2" xfId="22173"/>
    <cellStyle name="Normal 2 3 3 2 2 2 4 3 3" xfId="22174"/>
    <cellStyle name="Normal 2 3 3 2 2 2 4 3 3 2" xfId="22175"/>
    <cellStyle name="Normal 2 3 3 2 2 2 4 3 4" xfId="22176"/>
    <cellStyle name="Normal 2 3 3 2 2 2 4 3 4 2" xfId="22177"/>
    <cellStyle name="Normal 2 3 3 2 2 2 4 3 5" xfId="22178"/>
    <cellStyle name="Normal 2 3 3 2 2 2 4 3 5 2" xfId="22179"/>
    <cellStyle name="Normal 2 3 3 2 2 2 4 3 6" xfId="22180"/>
    <cellStyle name="Normal 2 3 3 2 2 2 4 3 6 2" xfId="22181"/>
    <cellStyle name="Normal 2 3 3 2 2 2 4 3 7" xfId="22182"/>
    <cellStyle name="Normal 2 3 3 2 2 2 4 3 7 2" xfId="22183"/>
    <cellStyle name="Normal 2 3 3 2 2 2 4 3 8" xfId="22184"/>
    <cellStyle name="Normal 2 3 3 2 2 2 4 3 8 2" xfId="22185"/>
    <cellStyle name="Normal 2 3 3 2 2 2 4 3 9" xfId="22186"/>
    <cellStyle name="Normal 2 3 3 2 2 2 4 3 9 2" xfId="22187"/>
    <cellStyle name="Normal 2 3 3 2 2 2 4 4" xfId="22188"/>
    <cellStyle name="Normal 2 3 3 2 2 2 4 4 2" xfId="22189"/>
    <cellStyle name="Normal 2 3 3 2 2 2 4 5" xfId="22190"/>
    <cellStyle name="Normal 2 3 3 2 2 2 4 5 2" xfId="22191"/>
    <cellStyle name="Normal 2 3 3 2 2 2 4 6" xfId="22192"/>
    <cellStyle name="Normal 2 3 3 2 2 2 4 6 2" xfId="22193"/>
    <cellStyle name="Normal 2 3 3 2 2 2 4 7" xfId="22194"/>
    <cellStyle name="Normal 2 3 3 2 2 2 4 7 2" xfId="22195"/>
    <cellStyle name="Normal 2 3 3 2 2 2 4 8" xfId="22196"/>
    <cellStyle name="Normal 2 3 3 2 2 2 4 8 2" xfId="22197"/>
    <cellStyle name="Normal 2 3 3 2 2 2 4 9" xfId="22198"/>
    <cellStyle name="Normal 2 3 3 2 2 2 4 9 2" xfId="22199"/>
    <cellStyle name="Normal 2 3 3 2 2 2 5" xfId="22200"/>
    <cellStyle name="Normal 2 3 3 2 2 2 5 10" xfId="22201"/>
    <cellStyle name="Normal 2 3 3 2 2 2 5 10 2" xfId="22202"/>
    <cellStyle name="Normal 2 3 3 2 2 2 5 11" xfId="22203"/>
    <cellStyle name="Normal 2 3 3 2 2 2 5 11 2" xfId="22204"/>
    <cellStyle name="Normal 2 3 3 2 2 2 5 12" xfId="22205"/>
    <cellStyle name="Normal 2 3 3 2 2 2 5 12 2" xfId="22206"/>
    <cellStyle name="Normal 2 3 3 2 2 2 5 13" xfId="22207"/>
    <cellStyle name="Normal 2 3 3 2 2 2 5 2" xfId="22208"/>
    <cellStyle name="Normal 2 3 3 2 2 2 5 2 10" xfId="22209"/>
    <cellStyle name="Normal 2 3 3 2 2 2 5 2 10 2" xfId="22210"/>
    <cellStyle name="Normal 2 3 3 2 2 2 5 2 11" xfId="22211"/>
    <cellStyle name="Normal 2 3 3 2 2 2 5 2 11 2" xfId="22212"/>
    <cellStyle name="Normal 2 3 3 2 2 2 5 2 12" xfId="22213"/>
    <cellStyle name="Normal 2 3 3 2 2 2 5 2 2" xfId="22214"/>
    <cellStyle name="Normal 2 3 3 2 2 2 5 2 2 10" xfId="22215"/>
    <cellStyle name="Normal 2 3 3 2 2 2 5 2 2 10 2" xfId="22216"/>
    <cellStyle name="Normal 2 3 3 2 2 2 5 2 2 11" xfId="22217"/>
    <cellStyle name="Normal 2 3 3 2 2 2 5 2 2 2" xfId="22218"/>
    <cellStyle name="Normal 2 3 3 2 2 2 5 2 2 2 2" xfId="22219"/>
    <cellStyle name="Normal 2 3 3 2 2 2 5 2 2 3" xfId="22220"/>
    <cellStyle name="Normal 2 3 3 2 2 2 5 2 2 3 2" xfId="22221"/>
    <cellStyle name="Normal 2 3 3 2 2 2 5 2 2 4" xfId="22222"/>
    <cellStyle name="Normal 2 3 3 2 2 2 5 2 2 4 2" xfId="22223"/>
    <cellStyle name="Normal 2 3 3 2 2 2 5 2 2 5" xfId="22224"/>
    <cellStyle name="Normal 2 3 3 2 2 2 5 2 2 5 2" xfId="22225"/>
    <cellStyle name="Normal 2 3 3 2 2 2 5 2 2 6" xfId="22226"/>
    <cellStyle name="Normal 2 3 3 2 2 2 5 2 2 6 2" xfId="22227"/>
    <cellStyle name="Normal 2 3 3 2 2 2 5 2 2 7" xfId="22228"/>
    <cellStyle name="Normal 2 3 3 2 2 2 5 2 2 7 2" xfId="22229"/>
    <cellStyle name="Normal 2 3 3 2 2 2 5 2 2 8" xfId="22230"/>
    <cellStyle name="Normal 2 3 3 2 2 2 5 2 2 8 2" xfId="22231"/>
    <cellStyle name="Normal 2 3 3 2 2 2 5 2 2 9" xfId="22232"/>
    <cellStyle name="Normal 2 3 3 2 2 2 5 2 2 9 2" xfId="22233"/>
    <cellStyle name="Normal 2 3 3 2 2 2 5 2 3" xfId="22234"/>
    <cellStyle name="Normal 2 3 3 2 2 2 5 2 3 2" xfId="22235"/>
    <cellStyle name="Normal 2 3 3 2 2 2 5 2 4" xfId="22236"/>
    <cellStyle name="Normal 2 3 3 2 2 2 5 2 4 2" xfId="22237"/>
    <cellStyle name="Normal 2 3 3 2 2 2 5 2 5" xfId="22238"/>
    <cellStyle name="Normal 2 3 3 2 2 2 5 2 5 2" xfId="22239"/>
    <cellStyle name="Normal 2 3 3 2 2 2 5 2 6" xfId="22240"/>
    <cellStyle name="Normal 2 3 3 2 2 2 5 2 6 2" xfId="22241"/>
    <cellStyle name="Normal 2 3 3 2 2 2 5 2 7" xfId="22242"/>
    <cellStyle name="Normal 2 3 3 2 2 2 5 2 7 2" xfId="22243"/>
    <cellStyle name="Normal 2 3 3 2 2 2 5 2 8" xfId="22244"/>
    <cellStyle name="Normal 2 3 3 2 2 2 5 2 8 2" xfId="22245"/>
    <cellStyle name="Normal 2 3 3 2 2 2 5 2 9" xfId="22246"/>
    <cellStyle name="Normal 2 3 3 2 2 2 5 2 9 2" xfId="22247"/>
    <cellStyle name="Normal 2 3 3 2 2 2 5 3" xfId="22248"/>
    <cellStyle name="Normal 2 3 3 2 2 2 5 3 10" xfId="22249"/>
    <cellStyle name="Normal 2 3 3 2 2 2 5 3 10 2" xfId="22250"/>
    <cellStyle name="Normal 2 3 3 2 2 2 5 3 11" xfId="22251"/>
    <cellStyle name="Normal 2 3 3 2 2 2 5 3 2" xfId="22252"/>
    <cellStyle name="Normal 2 3 3 2 2 2 5 3 2 2" xfId="22253"/>
    <cellStyle name="Normal 2 3 3 2 2 2 5 3 3" xfId="22254"/>
    <cellStyle name="Normal 2 3 3 2 2 2 5 3 3 2" xfId="22255"/>
    <cellStyle name="Normal 2 3 3 2 2 2 5 3 4" xfId="22256"/>
    <cellStyle name="Normal 2 3 3 2 2 2 5 3 4 2" xfId="22257"/>
    <cellStyle name="Normal 2 3 3 2 2 2 5 3 5" xfId="22258"/>
    <cellStyle name="Normal 2 3 3 2 2 2 5 3 5 2" xfId="22259"/>
    <cellStyle name="Normal 2 3 3 2 2 2 5 3 6" xfId="22260"/>
    <cellStyle name="Normal 2 3 3 2 2 2 5 3 6 2" xfId="22261"/>
    <cellStyle name="Normal 2 3 3 2 2 2 5 3 7" xfId="22262"/>
    <cellStyle name="Normal 2 3 3 2 2 2 5 3 7 2" xfId="22263"/>
    <cellStyle name="Normal 2 3 3 2 2 2 5 3 8" xfId="22264"/>
    <cellStyle name="Normal 2 3 3 2 2 2 5 3 8 2" xfId="22265"/>
    <cellStyle name="Normal 2 3 3 2 2 2 5 3 9" xfId="22266"/>
    <cellStyle name="Normal 2 3 3 2 2 2 5 3 9 2" xfId="22267"/>
    <cellStyle name="Normal 2 3 3 2 2 2 5 4" xfId="22268"/>
    <cellStyle name="Normal 2 3 3 2 2 2 5 4 2" xfId="22269"/>
    <cellStyle name="Normal 2 3 3 2 2 2 5 5" xfId="22270"/>
    <cellStyle name="Normal 2 3 3 2 2 2 5 5 2" xfId="22271"/>
    <cellStyle name="Normal 2 3 3 2 2 2 5 6" xfId="22272"/>
    <cellStyle name="Normal 2 3 3 2 2 2 5 6 2" xfId="22273"/>
    <cellStyle name="Normal 2 3 3 2 2 2 5 7" xfId="22274"/>
    <cellStyle name="Normal 2 3 3 2 2 2 5 7 2" xfId="22275"/>
    <cellStyle name="Normal 2 3 3 2 2 2 5 8" xfId="22276"/>
    <cellStyle name="Normal 2 3 3 2 2 2 5 8 2" xfId="22277"/>
    <cellStyle name="Normal 2 3 3 2 2 2 5 9" xfId="22278"/>
    <cellStyle name="Normal 2 3 3 2 2 2 5 9 2" xfId="22279"/>
    <cellStyle name="Normal 2 3 3 2 2 2 6" xfId="22280"/>
    <cellStyle name="Normal 2 3 3 2 2 3" xfId="22281"/>
    <cellStyle name="Normal 2 3 3 2 2 3 2" xfId="22282"/>
    <cellStyle name="Normal 2 3 3 2 2 4" xfId="22283"/>
    <cellStyle name="Normal 2 3 3 2 2 4 2" xfId="22284"/>
    <cellStyle name="Normal 2 3 3 2 2 5" xfId="22285"/>
    <cellStyle name="Normal 2 3 3 2 2 5 2" xfId="22286"/>
    <cellStyle name="Normal 2 3 3 2 2 6" xfId="22287"/>
    <cellStyle name="Normal 2 3 3 2 2 6 2" xfId="22288"/>
    <cellStyle name="Normal 2 3 3 2 2 7" xfId="22289"/>
    <cellStyle name="Normal 2 3 3 2 2 7 10" xfId="22290"/>
    <cellStyle name="Normal 2 3 3 2 2 7 10 2" xfId="22291"/>
    <cellStyle name="Normal 2 3 3 2 2 7 11" xfId="22292"/>
    <cellStyle name="Normal 2 3 3 2 2 7 11 2" xfId="22293"/>
    <cellStyle name="Normal 2 3 3 2 2 7 12" xfId="22294"/>
    <cellStyle name="Normal 2 3 3 2 2 7 2" xfId="22295"/>
    <cellStyle name="Normal 2 3 3 2 2 7 2 10" xfId="22296"/>
    <cellStyle name="Normal 2 3 3 2 2 7 2 10 2" xfId="22297"/>
    <cellStyle name="Normal 2 3 3 2 2 7 2 11" xfId="22298"/>
    <cellStyle name="Normal 2 3 3 2 2 7 2 2" xfId="22299"/>
    <cellStyle name="Normal 2 3 3 2 2 7 2 2 2" xfId="22300"/>
    <cellStyle name="Normal 2 3 3 2 2 7 2 3" xfId="22301"/>
    <cellStyle name="Normal 2 3 3 2 2 7 2 3 2" xfId="22302"/>
    <cellStyle name="Normal 2 3 3 2 2 7 2 4" xfId="22303"/>
    <cellStyle name="Normal 2 3 3 2 2 7 2 4 2" xfId="22304"/>
    <cellStyle name="Normal 2 3 3 2 2 7 2 5" xfId="22305"/>
    <cellStyle name="Normal 2 3 3 2 2 7 2 5 2" xfId="22306"/>
    <cellStyle name="Normal 2 3 3 2 2 7 2 6" xfId="22307"/>
    <cellStyle name="Normal 2 3 3 2 2 7 2 6 2" xfId="22308"/>
    <cellStyle name="Normal 2 3 3 2 2 7 2 7" xfId="22309"/>
    <cellStyle name="Normal 2 3 3 2 2 7 2 7 2" xfId="22310"/>
    <cellStyle name="Normal 2 3 3 2 2 7 2 8" xfId="22311"/>
    <cellStyle name="Normal 2 3 3 2 2 7 2 8 2" xfId="22312"/>
    <cellStyle name="Normal 2 3 3 2 2 7 2 9" xfId="22313"/>
    <cellStyle name="Normal 2 3 3 2 2 7 2 9 2" xfId="22314"/>
    <cellStyle name="Normal 2 3 3 2 2 7 3" xfId="22315"/>
    <cellStyle name="Normal 2 3 3 2 2 7 3 2" xfId="22316"/>
    <cellStyle name="Normal 2 3 3 2 2 7 4" xfId="22317"/>
    <cellStyle name="Normal 2 3 3 2 2 7 4 2" xfId="22318"/>
    <cellStyle name="Normal 2 3 3 2 2 7 5" xfId="22319"/>
    <cellStyle name="Normal 2 3 3 2 2 7 5 2" xfId="22320"/>
    <cellStyle name="Normal 2 3 3 2 2 7 6" xfId="22321"/>
    <cellStyle name="Normal 2 3 3 2 2 7 6 2" xfId="22322"/>
    <cellStyle name="Normal 2 3 3 2 2 7 7" xfId="22323"/>
    <cellStyle name="Normal 2 3 3 2 2 7 7 2" xfId="22324"/>
    <cellStyle name="Normal 2 3 3 2 2 7 8" xfId="22325"/>
    <cellStyle name="Normal 2 3 3 2 2 7 8 2" xfId="22326"/>
    <cellStyle name="Normal 2 3 3 2 2 7 9" xfId="22327"/>
    <cellStyle name="Normal 2 3 3 2 2 7 9 2" xfId="22328"/>
    <cellStyle name="Normal 2 3 3 2 2 8" xfId="22329"/>
    <cellStyle name="Normal 2 3 3 2 2 8 10" xfId="22330"/>
    <cellStyle name="Normal 2 3 3 2 2 8 10 2" xfId="22331"/>
    <cellStyle name="Normal 2 3 3 2 2 8 11" xfId="22332"/>
    <cellStyle name="Normal 2 3 3 2 2 8 2" xfId="22333"/>
    <cellStyle name="Normal 2 3 3 2 2 8 2 2" xfId="22334"/>
    <cellStyle name="Normal 2 3 3 2 2 8 3" xfId="22335"/>
    <cellStyle name="Normal 2 3 3 2 2 8 3 2" xfId="22336"/>
    <cellStyle name="Normal 2 3 3 2 2 8 4" xfId="22337"/>
    <cellStyle name="Normal 2 3 3 2 2 8 4 2" xfId="22338"/>
    <cellStyle name="Normal 2 3 3 2 2 8 5" xfId="22339"/>
    <cellStyle name="Normal 2 3 3 2 2 8 5 2" xfId="22340"/>
    <cellStyle name="Normal 2 3 3 2 2 8 6" xfId="22341"/>
    <cellStyle name="Normal 2 3 3 2 2 8 6 2" xfId="22342"/>
    <cellStyle name="Normal 2 3 3 2 2 8 7" xfId="22343"/>
    <cellStyle name="Normal 2 3 3 2 2 8 7 2" xfId="22344"/>
    <cellStyle name="Normal 2 3 3 2 2 8 8" xfId="22345"/>
    <cellStyle name="Normal 2 3 3 2 2 8 8 2" xfId="22346"/>
    <cellStyle name="Normal 2 3 3 2 2 8 9" xfId="22347"/>
    <cellStyle name="Normal 2 3 3 2 2 8 9 2" xfId="22348"/>
    <cellStyle name="Normal 2 3 3 2 2 9" xfId="22349"/>
    <cellStyle name="Normal 2 3 3 2 2 9 2" xfId="22350"/>
    <cellStyle name="Normal 2 3 3 2 3" xfId="22351"/>
    <cellStyle name="Normal 2 3 3 2 3 2" xfId="22352"/>
    <cellStyle name="Normal 2 3 3 2 4" xfId="22353"/>
    <cellStyle name="Normal 2 3 3 2 4 2" xfId="22354"/>
    <cellStyle name="Normal 2 3 3 2 5" xfId="22355"/>
    <cellStyle name="Normal 2 3 3 2 5 2" xfId="22356"/>
    <cellStyle name="Normal 2 3 3 2 6" xfId="22357"/>
    <cellStyle name="Normal 2 3 3 2 6 10" xfId="22358"/>
    <cellStyle name="Normal 2 3 3 2 6 10 2" xfId="22359"/>
    <cellStyle name="Normal 2 3 3 2 6 11" xfId="22360"/>
    <cellStyle name="Normal 2 3 3 2 6 11 2" xfId="22361"/>
    <cellStyle name="Normal 2 3 3 2 6 12" xfId="22362"/>
    <cellStyle name="Normal 2 3 3 2 6 12 2" xfId="22363"/>
    <cellStyle name="Normal 2 3 3 2 6 13" xfId="22364"/>
    <cellStyle name="Normal 2 3 3 2 6 13 2" xfId="22365"/>
    <cellStyle name="Normal 2 3 3 2 6 14" xfId="22366"/>
    <cellStyle name="Normal 2 3 3 2 6 14 2" xfId="22367"/>
    <cellStyle name="Normal 2 3 3 2 6 15" xfId="22368"/>
    <cellStyle name="Normal 2 3 3 2 6 15 2" xfId="22369"/>
    <cellStyle name="Normal 2 3 3 2 6 16" xfId="22370"/>
    <cellStyle name="Normal 2 3 3 2 6 16 2" xfId="22371"/>
    <cellStyle name="Normal 2 3 3 2 6 17" xfId="22372"/>
    <cellStyle name="Normal 2 3 3 2 6 2" xfId="22373"/>
    <cellStyle name="Normal 2 3 3 2 6 2 2" xfId="22374"/>
    <cellStyle name="Normal 2 3 3 2 6 3" xfId="22375"/>
    <cellStyle name="Normal 2 3 3 2 6 3 2" xfId="22376"/>
    <cellStyle name="Normal 2 3 3 2 6 4" xfId="22377"/>
    <cellStyle name="Normal 2 3 3 2 6 4 2" xfId="22378"/>
    <cellStyle name="Normal 2 3 3 2 6 5" xfId="22379"/>
    <cellStyle name="Normal 2 3 3 2 6 5 2" xfId="22380"/>
    <cellStyle name="Normal 2 3 3 2 6 6" xfId="22381"/>
    <cellStyle name="Normal 2 3 3 2 6 6 10" xfId="22382"/>
    <cellStyle name="Normal 2 3 3 2 6 6 10 2" xfId="22383"/>
    <cellStyle name="Normal 2 3 3 2 6 6 11" xfId="22384"/>
    <cellStyle name="Normal 2 3 3 2 6 6 11 2" xfId="22385"/>
    <cellStyle name="Normal 2 3 3 2 6 6 12" xfId="22386"/>
    <cellStyle name="Normal 2 3 3 2 6 6 2" xfId="22387"/>
    <cellStyle name="Normal 2 3 3 2 6 6 2 10" xfId="22388"/>
    <cellStyle name="Normal 2 3 3 2 6 6 2 10 2" xfId="22389"/>
    <cellStyle name="Normal 2 3 3 2 6 6 2 11" xfId="22390"/>
    <cellStyle name="Normal 2 3 3 2 6 6 2 2" xfId="22391"/>
    <cellStyle name="Normal 2 3 3 2 6 6 2 2 2" xfId="22392"/>
    <cellStyle name="Normal 2 3 3 2 6 6 2 3" xfId="22393"/>
    <cellStyle name="Normal 2 3 3 2 6 6 2 3 2" xfId="22394"/>
    <cellStyle name="Normal 2 3 3 2 6 6 2 4" xfId="22395"/>
    <cellStyle name="Normal 2 3 3 2 6 6 2 4 2" xfId="22396"/>
    <cellStyle name="Normal 2 3 3 2 6 6 2 5" xfId="22397"/>
    <cellStyle name="Normal 2 3 3 2 6 6 2 5 2" xfId="22398"/>
    <cellStyle name="Normal 2 3 3 2 6 6 2 6" xfId="22399"/>
    <cellStyle name="Normal 2 3 3 2 6 6 2 6 2" xfId="22400"/>
    <cellStyle name="Normal 2 3 3 2 6 6 2 7" xfId="22401"/>
    <cellStyle name="Normal 2 3 3 2 6 6 2 7 2" xfId="22402"/>
    <cellStyle name="Normal 2 3 3 2 6 6 2 8" xfId="22403"/>
    <cellStyle name="Normal 2 3 3 2 6 6 2 8 2" xfId="22404"/>
    <cellStyle name="Normal 2 3 3 2 6 6 2 9" xfId="22405"/>
    <cellStyle name="Normal 2 3 3 2 6 6 2 9 2" xfId="22406"/>
    <cellStyle name="Normal 2 3 3 2 6 6 3" xfId="22407"/>
    <cellStyle name="Normal 2 3 3 2 6 6 3 2" xfId="22408"/>
    <cellStyle name="Normal 2 3 3 2 6 6 4" xfId="22409"/>
    <cellStyle name="Normal 2 3 3 2 6 6 4 2" xfId="22410"/>
    <cellStyle name="Normal 2 3 3 2 6 6 5" xfId="22411"/>
    <cellStyle name="Normal 2 3 3 2 6 6 5 2" xfId="22412"/>
    <cellStyle name="Normal 2 3 3 2 6 6 6" xfId="22413"/>
    <cellStyle name="Normal 2 3 3 2 6 6 6 2" xfId="22414"/>
    <cellStyle name="Normal 2 3 3 2 6 6 7" xfId="22415"/>
    <cellStyle name="Normal 2 3 3 2 6 6 7 2" xfId="22416"/>
    <cellStyle name="Normal 2 3 3 2 6 6 8" xfId="22417"/>
    <cellStyle name="Normal 2 3 3 2 6 6 8 2" xfId="22418"/>
    <cellStyle name="Normal 2 3 3 2 6 6 9" xfId="22419"/>
    <cellStyle name="Normal 2 3 3 2 6 6 9 2" xfId="22420"/>
    <cellStyle name="Normal 2 3 3 2 6 7" xfId="22421"/>
    <cellStyle name="Normal 2 3 3 2 6 7 10" xfId="22422"/>
    <cellStyle name="Normal 2 3 3 2 6 7 10 2" xfId="22423"/>
    <cellStyle name="Normal 2 3 3 2 6 7 11" xfId="22424"/>
    <cellStyle name="Normal 2 3 3 2 6 7 2" xfId="22425"/>
    <cellStyle name="Normal 2 3 3 2 6 7 2 2" xfId="22426"/>
    <cellStyle name="Normal 2 3 3 2 6 7 3" xfId="22427"/>
    <cellStyle name="Normal 2 3 3 2 6 7 3 2" xfId="22428"/>
    <cellStyle name="Normal 2 3 3 2 6 7 4" xfId="22429"/>
    <cellStyle name="Normal 2 3 3 2 6 7 4 2" xfId="22430"/>
    <cellStyle name="Normal 2 3 3 2 6 7 5" xfId="22431"/>
    <cellStyle name="Normal 2 3 3 2 6 7 5 2" xfId="22432"/>
    <cellStyle name="Normal 2 3 3 2 6 7 6" xfId="22433"/>
    <cellStyle name="Normal 2 3 3 2 6 7 6 2" xfId="22434"/>
    <cellStyle name="Normal 2 3 3 2 6 7 7" xfId="22435"/>
    <cellStyle name="Normal 2 3 3 2 6 7 7 2" xfId="22436"/>
    <cellStyle name="Normal 2 3 3 2 6 7 8" xfId="22437"/>
    <cellStyle name="Normal 2 3 3 2 6 7 8 2" xfId="22438"/>
    <cellStyle name="Normal 2 3 3 2 6 7 9" xfId="22439"/>
    <cellStyle name="Normal 2 3 3 2 6 7 9 2" xfId="22440"/>
    <cellStyle name="Normal 2 3 3 2 6 8" xfId="22441"/>
    <cellStyle name="Normal 2 3 3 2 6 8 2" xfId="22442"/>
    <cellStyle name="Normal 2 3 3 2 6 9" xfId="22443"/>
    <cellStyle name="Normal 2 3 3 2 6 9 2" xfId="22444"/>
    <cellStyle name="Normal 2 3 3 2 7" xfId="22445"/>
    <cellStyle name="Normal 2 3 3 2 7 10" xfId="22446"/>
    <cellStyle name="Normal 2 3 3 2 7 10 2" xfId="22447"/>
    <cellStyle name="Normal 2 3 3 2 7 11" xfId="22448"/>
    <cellStyle name="Normal 2 3 3 2 7 11 2" xfId="22449"/>
    <cellStyle name="Normal 2 3 3 2 7 12" xfId="22450"/>
    <cellStyle name="Normal 2 3 3 2 7 12 2" xfId="22451"/>
    <cellStyle name="Normal 2 3 3 2 7 13" xfId="22452"/>
    <cellStyle name="Normal 2 3 3 2 7 2" xfId="22453"/>
    <cellStyle name="Normal 2 3 3 2 7 2 10" xfId="22454"/>
    <cellStyle name="Normal 2 3 3 2 7 2 10 2" xfId="22455"/>
    <cellStyle name="Normal 2 3 3 2 7 2 11" xfId="22456"/>
    <cellStyle name="Normal 2 3 3 2 7 2 11 2" xfId="22457"/>
    <cellStyle name="Normal 2 3 3 2 7 2 12" xfId="22458"/>
    <cellStyle name="Normal 2 3 3 2 7 2 2" xfId="22459"/>
    <cellStyle name="Normal 2 3 3 2 7 2 2 10" xfId="22460"/>
    <cellStyle name="Normal 2 3 3 2 7 2 2 10 2" xfId="22461"/>
    <cellStyle name="Normal 2 3 3 2 7 2 2 11" xfId="22462"/>
    <cellStyle name="Normal 2 3 3 2 7 2 2 2" xfId="22463"/>
    <cellStyle name="Normal 2 3 3 2 7 2 2 2 2" xfId="22464"/>
    <cellStyle name="Normal 2 3 3 2 7 2 2 3" xfId="22465"/>
    <cellStyle name="Normal 2 3 3 2 7 2 2 3 2" xfId="22466"/>
    <cellStyle name="Normal 2 3 3 2 7 2 2 4" xfId="22467"/>
    <cellStyle name="Normal 2 3 3 2 7 2 2 4 2" xfId="22468"/>
    <cellStyle name="Normal 2 3 3 2 7 2 2 5" xfId="22469"/>
    <cellStyle name="Normal 2 3 3 2 7 2 2 5 2" xfId="22470"/>
    <cellStyle name="Normal 2 3 3 2 7 2 2 6" xfId="22471"/>
    <cellStyle name="Normal 2 3 3 2 7 2 2 6 2" xfId="22472"/>
    <cellStyle name="Normal 2 3 3 2 7 2 2 7" xfId="22473"/>
    <cellStyle name="Normal 2 3 3 2 7 2 2 7 2" xfId="22474"/>
    <cellStyle name="Normal 2 3 3 2 7 2 2 8" xfId="22475"/>
    <cellStyle name="Normal 2 3 3 2 7 2 2 8 2" xfId="22476"/>
    <cellStyle name="Normal 2 3 3 2 7 2 2 9" xfId="22477"/>
    <cellStyle name="Normal 2 3 3 2 7 2 2 9 2" xfId="22478"/>
    <cellStyle name="Normal 2 3 3 2 7 2 3" xfId="22479"/>
    <cellStyle name="Normal 2 3 3 2 7 2 3 2" xfId="22480"/>
    <cellStyle name="Normal 2 3 3 2 7 2 4" xfId="22481"/>
    <cellStyle name="Normal 2 3 3 2 7 2 4 2" xfId="22482"/>
    <cellStyle name="Normal 2 3 3 2 7 2 5" xfId="22483"/>
    <cellStyle name="Normal 2 3 3 2 7 2 5 2" xfId="22484"/>
    <cellStyle name="Normal 2 3 3 2 7 2 6" xfId="22485"/>
    <cellStyle name="Normal 2 3 3 2 7 2 6 2" xfId="22486"/>
    <cellStyle name="Normal 2 3 3 2 7 2 7" xfId="22487"/>
    <cellStyle name="Normal 2 3 3 2 7 2 7 2" xfId="22488"/>
    <cellStyle name="Normal 2 3 3 2 7 2 8" xfId="22489"/>
    <cellStyle name="Normal 2 3 3 2 7 2 8 2" xfId="22490"/>
    <cellStyle name="Normal 2 3 3 2 7 2 9" xfId="22491"/>
    <cellStyle name="Normal 2 3 3 2 7 2 9 2" xfId="22492"/>
    <cellStyle name="Normal 2 3 3 2 7 3" xfId="22493"/>
    <cellStyle name="Normal 2 3 3 2 7 3 10" xfId="22494"/>
    <cellStyle name="Normal 2 3 3 2 7 3 10 2" xfId="22495"/>
    <cellStyle name="Normal 2 3 3 2 7 3 11" xfId="22496"/>
    <cellStyle name="Normal 2 3 3 2 7 3 2" xfId="22497"/>
    <cellStyle name="Normal 2 3 3 2 7 3 2 2" xfId="22498"/>
    <cellStyle name="Normal 2 3 3 2 7 3 3" xfId="22499"/>
    <cellStyle name="Normal 2 3 3 2 7 3 3 2" xfId="22500"/>
    <cellStyle name="Normal 2 3 3 2 7 3 4" xfId="22501"/>
    <cellStyle name="Normal 2 3 3 2 7 3 4 2" xfId="22502"/>
    <cellStyle name="Normal 2 3 3 2 7 3 5" xfId="22503"/>
    <cellStyle name="Normal 2 3 3 2 7 3 5 2" xfId="22504"/>
    <cellStyle name="Normal 2 3 3 2 7 3 6" xfId="22505"/>
    <cellStyle name="Normal 2 3 3 2 7 3 6 2" xfId="22506"/>
    <cellStyle name="Normal 2 3 3 2 7 3 7" xfId="22507"/>
    <cellStyle name="Normal 2 3 3 2 7 3 7 2" xfId="22508"/>
    <cellStyle name="Normal 2 3 3 2 7 3 8" xfId="22509"/>
    <cellStyle name="Normal 2 3 3 2 7 3 8 2" xfId="22510"/>
    <cellStyle name="Normal 2 3 3 2 7 3 9" xfId="22511"/>
    <cellStyle name="Normal 2 3 3 2 7 3 9 2" xfId="22512"/>
    <cellStyle name="Normal 2 3 3 2 7 4" xfId="22513"/>
    <cellStyle name="Normal 2 3 3 2 7 4 2" xfId="22514"/>
    <cellStyle name="Normal 2 3 3 2 7 5" xfId="22515"/>
    <cellStyle name="Normal 2 3 3 2 7 5 2" xfId="22516"/>
    <cellStyle name="Normal 2 3 3 2 7 6" xfId="22517"/>
    <cellStyle name="Normal 2 3 3 2 7 6 2" xfId="22518"/>
    <cellStyle name="Normal 2 3 3 2 7 7" xfId="22519"/>
    <cellStyle name="Normal 2 3 3 2 7 7 2" xfId="22520"/>
    <cellStyle name="Normal 2 3 3 2 7 8" xfId="22521"/>
    <cellStyle name="Normal 2 3 3 2 7 8 2" xfId="22522"/>
    <cellStyle name="Normal 2 3 3 2 7 9" xfId="22523"/>
    <cellStyle name="Normal 2 3 3 2 7 9 2" xfId="22524"/>
    <cellStyle name="Normal 2 3 3 2 8" xfId="22525"/>
    <cellStyle name="Normal 2 3 3 2 8 10" xfId="22526"/>
    <cellStyle name="Normal 2 3 3 2 8 10 2" xfId="22527"/>
    <cellStyle name="Normal 2 3 3 2 8 11" xfId="22528"/>
    <cellStyle name="Normal 2 3 3 2 8 11 2" xfId="22529"/>
    <cellStyle name="Normal 2 3 3 2 8 12" xfId="22530"/>
    <cellStyle name="Normal 2 3 3 2 8 12 2" xfId="22531"/>
    <cellStyle name="Normal 2 3 3 2 8 13" xfId="22532"/>
    <cellStyle name="Normal 2 3 3 2 8 2" xfId="22533"/>
    <cellStyle name="Normal 2 3 3 2 8 2 10" xfId="22534"/>
    <cellStyle name="Normal 2 3 3 2 8 2 10 2" xfId="22535"/>
    <cellStyle name="Normal 2 3 3 2 8 2 11" xfId="22536"/>
    <cellStyle name="Normal 2 3 3 2 8 2 11 2" xfId="22537"/>
    <cellStyle name="Normal 2 3 3 2 8 2 12" xfId="22538"/>
    <cellStyle name="Normal 2 3 3 2 8 2 2" xfId="22539"/>
    <cellStyle name="Normal 2 3 3 2 8 2 2 10" xfId="22540"/>
    <cellStyle name="Normal 2 3 3 2 8 2 2 10 2" xfId="22541"/>
    <cellStyle name="Normal 2 3 3 2 8 2 2 11" xfId="22542"/>
    <cellStyle name="Normal 2 3 3 2 8 2 2 2" xfId="22543"/>
    <cellStyle name="Normal 2 3 3 2 8 2 2 2 2" xfId="22544"/>
    <cellStyle name="Normal 2 3 3 2 8 2 2 3" xfId="22545"/>
    <cellStyle name="Normal 2 3 3 2 8 2 2 3 2" xfId="22546"/>
    <cellStyle name="Normal 2 3 3 2 8 2 2 4" xfId="22547"/>
    <cellStyle name="Normal 2 3 3 2 8 2 2 4 2" xfId="22548"/>
    <cellStyle name="Normal 2 3 3 2 8 2 2 5" xfId="22549"/>
    <cellStyle name="Normal 2 3 3 2 8 2 2 5 2" xfId="22550"/>
    <cellStyle name="Normal 2 3 3 2 8 2 2 6" xfId="22551"/>
    <cellStyle name="Normal 2 3 3 2 8 2 2 6 2" xfId="22552"/>
    <cellStyle name="Normal 2 3 3 2 8 2 2 7" xfId="22553"/>
    <cellStyle name="Normal 2 3 3 2 8 2 2 7 2" xfId="22554"/>
    <cellStyle name="Normal 2 3 3 2 8 2 2 8" xfId="22555"/>
    <cellStyle name="Normal 2 3 3 2 8 2 2 8 2" xfId="22556"/>
    <cellStyle name="Normal 2 3 3 2 8 2 2 9" xfId="22557"/>
    <cellStyle name="Normal 2 3 3 2 8 2 2 9 2" xfId="22558"/>
    <cellStyle name="Normal 2 3 3 2 8 2 3" xfId="22559"/>
    <cellStyle name="Normal 2 3 3 2 8 2 3 2" xfId="22560"/>
    <cellStyle name="Normal 2 3 3 2 8 2 4" xfId="22561"/>
    <cellStyle name="Normal 2 3 3 2 8 2 4 2" xfId="22562"/>
    <cellStyle name="Normal 2 3 3 2 8 2 5" xfId="22563"/>
    <cellStyle name="Normal 2 3 3 2 8 2 5 2" xfId="22564"/>
    <cellStyle name="Normal 2 3 3 2 8 2 6" xfId="22565"/>
    <cellStyle name="Normal 2 3 3 2 8 2 6 2" xfId="22566"/>
    <cellStyle name="Normal 2 3 3 2 8 2 7" xfId="22567"/>
    <cellStyle name="Normal 2 3 3 2 8 2 7 2" xfId="22568"/>
    <cellStyle name="Normal 2 3 3 2 8 2 8" xfId="22569"/>
    <cellStyle name="Normal 2 3 3 2 8 2 8 2" xfId="22570"/>
    <cellStyle name="Normal 2 3 3 2 8 2 9" xfId="22571"/>
    <cellStyle name="Normal 2 3 3 2 8 2 9 2" xfId="22572"/>
    <cellStyle name="Normal 2 3 3 2 8 3" xfId="22573"/>
    <cellStyle name="Normal 2 3 3 2 8 3 10" xfId="22574"/>
    <cellStyle name="Normal 2 3 3 2 8 3 10 2" xfId="22575"/>
    <cellStyle name="Normal 2 3 3 2 8 3 11" xfId="22576"/>
    <cellStyle name="Normal 2 3 3 2 8 3 2" xfId="22577"/>
    <cellStyle name="Normal 2 3 3 2 8 3 2 2" xfId="22578"/>
    <cellStyle name="Normal 2 3 3 2 8 3 3" xfId="22579"/>
    <cellStyle name="Normal 2 3 3 2 8 3 3 2" xfId="22580"/>
    <cellStyle name="Normal 2 3 3 2 8 3 4" xfId="22581"/>
    <cellStyle name="Normal 2 3 3 2 8 3 4 2" xfId="22582"/>
    <cellStyle name="Normal 2 3 3 2 8 3 5" xfId="22583"/>
    <cellStyle name="Normal 2 3 3 2 8 3 5 2" xfId="22584"/>
    <cellStyle name="Normal 2 3 3 2 8 3 6" xfId="22585"/>
    <cellStyle name="Normal 2 3 3 2 8 3 6 2" xfId="22586"/>
    <cellStyle name="Normal 2 3 3 2 8 3 7" xfId="22587"/>
    <cellStyle name="Normal 2 3 3 2 8 3 7 2" xfId="22588"/>
    <cellStyle name="Normal 2 3 3 2 8 3 8" xfId="22589"/>
    <cellStyle name="Normal 2 3 3 2 8 3 8 2" xfId="22590"/>
    <cellStyle name="Normal 2 3 3 2 8 3 9" xfId="22591"/>
    <cellStyle name="Normal 2 3 3 2 8 3 9 2" xfId="22592"/>
    <cellStyle name="Normal 2 3 3 2 8 4" xfId="22593"/>
    <cellStyle name="Normal 2 3 3 2 8 4 2" xfId="22594"/>
    <cellStyle name="Normal 2 3 3 2 8 5" xfId="22595"/>
    <cellStyle name="Normal 2 3 3 2 8 5 2" xfId="22596"/>
    <cellStyle name="Normal 2 3 3 2 8 6" xfId="22597"/>
    <cellStyle name="Normal 2 3 3 2 8 6 2" xfId="22598"/>
    <cellStyle name="Normal 2 3 3 2 8 7" xfId="22599"/>
    <cellStyle name="Normal 2 3 3 2 8 7 2" xfId="22600"/>
    <cellStyle name="Normal 2 3 3 2 8 8" xfId="22601"/>
    <cellStyle name="Normal 2 3 3 2 8 8 2" xfId="22602"/>
    <cellStyle name="Normal 2 3 3 2 8 9" xfId="22603"/>
    <cellStyle name="Normal 2 3 3 2 8 9 2" xfId="22604"/>
    <cellStyle name="Normal 2 3 3 2 9" xfId="22605"/>
    <cellStyle name="Normal 2 3 3 2 9 10" xfId="22606"/>
    <cellStyle name="Normal 2 3 3 2 9 10 2" xfId="22607"/>
    <cellStyle name="Normal 2 3 3 2 9 11" xfId="22608"/>
    <cellStyle name="Normal 2 3 3 2 9 11 2" xfId="22609"/>
    <cellStyle name="Normal 2 3 3 2 9 12" xfId="22610"/>
    <cellStyle name="Normal 2 3 3 2 9 12 2" xfId="22611"/>
    <cellStyle name="Normal 2 3 3 2 9 13" xfId="22612"/>
    <cellStyle name="Normal 2 3 3 2 9 2" xfId="22613"/>
    <cellStyle name="Normal 2 3 3 2 9 2 10" xfId="22614"/>
    <cellStyle name="Normal 2 3 3 2 9 2 10 2" xfId="22615"/>
    <cellStyle name="Normal 2 3 3 2 9 2 11" xfId="22616"/>
    <cellStyle name="Normal 2 3 3 2 9 2 11 2" xfId="22617"/>
    <cellStyle name="Normal 2 3 3 2 9 2 12" xfId="22618"/>
    <cellStyle name="Normal 2 3 3 2 9 2 2" xfId="22619"/>
    <cellStyle name="Normal 2 3 3 2 9 2 2 10" xfId="22620"/>
    <cellStyle name="Normal 2 3 3 2 9 2 2 10 2" xfId="22621"/>
    <cellStyle name="Normal 2 3 3 2 9 2 2 11" xfId="22622"/>
    <cellStyle name="Normal 2 3 3 2 9 2 2 2" xfId="22623"/>
    <cellStyle name="Normal 2 3 3 2 9 2 2 2 2" xfId="22624"/>
    <cellStyle name="Normal 2 3 3 2 9 2 2 3" xfId="22625"/>
    <cellStyle name="Normal 2 3 3 2 9 2 2 3 2" xfId="22626"/>
    <cellStyle name="Normal 2 3 3 2 9 2 2 4" xfId="22627"/>
    <cellStyle name="Normal 2 3 3 2 9 2 2 4 2" xfId="22628"/>
    <cellStyle name="Normal 2 3 3 2 9 2 2 5" xfId="22629"/>
    <cellStyle name="Normal 2 3 3 2 9 2 2 5 2" xfId="22630"/>
    <cellStyle name="Normal 2 3 3 2 9 2 2 6" xfId="22631"/>
    <cellStyle name="Normal 2 3 3 2 9 2 2 6 2" xfId="22632"/>
    <cellStyle name="Normal 2 3 3 2 9 2 2 7" xfId="22633"/>
    <cellStyle name="Normal 2 3 3 2 9 2 2 7 2" xfId="22634"/>
    <cellStyle name="Normal 2 3 3 2 9 2 2 8" xfId="22635"/>
    <cellStyle name="Normal 2 3 3 2 9 2 2 8 2" xfId="22636"/>
    <cellStyle name="Normal 2 3 3 2 9 2 2 9" xfId="22637"/>
    <cellStyle name="Normal 2 3 3 2 9 2 2 9 2" xfId="22638"/>
    <cellStyle name="Normal 2 3 3 2 9 2 3" xfId="22639"/>
    <cellStyle name="Normal 2 3 3 2 9 2 3 2" xfId="22640"/>
    <cellStyle name="Normal 2 3 3 2 9 2 4" xfId="22641"/>
    <cellStyle name="Normal 2 3 3 2 9 2 4 2" xfId="22642"/>
    <cellStyle name="Normal 2 3 3 2 9 2 5" xfId="22643"/>
    <cellStyle name="Normal 2 3 3 2 9 2 5 2" xfId="22644"/>
    <cellStyle name="Normal 2 3 3 2 9 2 6" xfId="22645"/>
    <cellStyle name="Normal 2 3 3 2 9 2 6 2" xfId="22646"/>
    <cellStyle name="Normal 2 3 3 2 9 2 7" xfId="22647"/>
    <cellStyle name="Normal 2 3 3 2 9 2 7 2" xfId="22648"/>
    <cellStyle name="Normal 2 3 3 2 9 2 8" xfId="22649"/>
    <cellStyle name="Normal 2 3 3 2 9 2 8 2" xfId="22650"/>
    <cellStyle name="Normal 2 3 3 2 9 2 9" xfId="22651"/>
    <cellStyle name="Normal 2 3 3 2 9 2 9 2" xfId="22652"/>
    <cellStyle name="Normal 2 3 3 2 9 3" xfId="22653"/>
    <cellStyle name="Normal 2 3 3 2 9 3 10" xfId="22654"/>
    <cellStyle name="Normal 2 3 3 2 9 3 10 2" xfId="22655"/>
    <cellStyle name="Normal 2 3 3 2 9 3 11" xfId="22656"/>
    <cellStyle name="Normal 2 3 3 2 9 3 2" xfId="22657"/>
    <cellStyle name="Normal 2 3 3 2 9 3 2 2" xfId="22658"/>
    <cellStyle name="Normal 2 3 3 2 9 3 3" xfId="22659"/>
    <cellStyle name="Normal 2 3 3 2 9 3 3 2" xfId="22660"/>
    <cellStyle name="Normal 2 3 3 2 9 3 4" xfId="22661"/>
    <cellStyle name="Normal 2 3 3 2 9 3 4 2" xfId="22662"/>
    <cellStyle name="Normal 2 3 3 2 9 3 5" xfId="22663"/>
    <cellStyle name="Normal 2 3 3 2 9 3 5 2" xfId="22664"/>
    <cellStyle name="Normal 2 3 3 2 9 3 6" xfId="22665"/>
    <cellStyle name="Normal 2 3 3 2 9 3 6 2" xfId="22666"/>
    <cellStyle name="Normal 2 3 3 2 9 3 7" xfId="22667"/>
    <cellStyle name="Normal 2 3 3 2 9 3 7 2" xfId="22668"/>
    <cellStyle name="Normal 2 3 3 2 9 3 8" xfId="22669"/>
    <cellStyle name="Normal 2 3 3 2 9 3 8 2" xfId="22670"/>
    <cellStyle name="Normal 2 3 3 2 9 3 9" xfId="22671"/>
    <cellStyle name="Normal 2 3 3 2 9 3 9 2" xfId="22672"/>
    <cellStyle name="Normal 2 3 3 2 9 4" xfId="22673"/>
    <cellStyle name="Normal 2 3 3 2 9 4 2" xfId="22674"/>
    <cellStyle name="Normal 2 3 3 2 9 5" xfId="22675"/>
    <cellStyle name="Normal 2 3 3 2 9 5 2" xfId="22676"/>
    <cellStyle name="Normal 2 3 3 2 9 6" xfId="22677"/>
    <cellStyle name="Normal 2 3 3 2 9 6 2" xfId="22678"/>
    <cellStyle name="Normal 2 3 3 2 9 7" xfId="22679"/>
    <cellStyle name="Normal 2 3 3 2 9 7 2" xfId="22680"/>
    <cellStyle name="Normal 2 3 3 2 9 8" xfId="22681"/>
    <cellStyle name="Normal 2 3 3 2 9 8 2" xfId="22682"/>
    <cellStyle name="Normal 2 3 3 2 9 9" xfId="22683"/>
    <cellStyle name="Normal 2 3 3 2 9 9 2" xfId="22684"/>
    <cellStyle name="Normal 2 3 3 3" xfId="22685"/>
    <cellStyle name="Normal 2 3 3 3 2" xfId="22686"/>
    <cellStyle name="Normal 2 3 3 3 2 10" xfId="22687"/>
    <cellStyle name="Normal 2 3 3 3 2 10 2" xfId="22688"/>
    <cellStyle name="Normal 2 3 3 3 2 11" xfId="22689"/>
    <cellStyle name="Normal 2 3 3 3 2 11 2" xfId="22690"/>
    <cellStyle name="Normal 2 3 3 3 2 12" xfId="22691"/>
    <cellStyle name="Normal 2 3 3 3 2 12 2" xfId="22692"/>
    <cellStyle name="Normal 2 3 3 3 2 13" xfId="22693"/>
    <cellStyle name="Normal 2 3 3 3 2 13 2" xfId="22694"/>
    <cellStyle name="Normal 2 3 3 3 2 14" xfId="22695"/>
    <cellStyle name="Normal 2 3 3 3 2 14 2" xfId="22696"/>
    <cellStyle name="Normal 2 3 3 3 2 15" xfId="22697"/>
    <cellStyle name="Normal 2 3 3 3 2 15 2" xfId="22698"/>
    <cellStyle name="Normal 2 3 3 3 2 16" xfId="22699"/>
    <cellStyle name="Normal 2 3 3 3 2 16 2" xfId="22700"/>
    <cellStyle name="Normal 2 3 3 3 2 17" xfId="22701"/>
    <cellStyle name="Normal 2 3 3 3 2 2" xfId="22702"/>
    <cellStyle name="Normal 2 3 3 3 2 2 2" xfId="22703"/>
    <cellStyle name="Normal 2 3 3 3 2 2 2 10" xfId="22704"/>
    <cellStyle name="Normal 2 3 3 3 2 2 2 10 2" xfId="22705"/>
    <cellStyle name="Normal 2 3 3 3 2 2 2 11" xfId="22706"/>
    <cellStyle name="Normal 2 3 3 3 2 2 2 11 2" xfId="22707"/>
    <cellStyle name="Normal 2 3 3 3 2 2 2 12" xfId="22708"/>
    <cellStyle name="Normal 2 3 3 3 2 2 2 12 2" xfId="22709"/>
    <cellStyle name="Normal 2 3 3 3 2 2 2 13" xfId="22710"/>
    <cellStyle name="Normal 2 3 3 3 2 2 2 2" xfId="22711"/>
    <cellStyle name="Normal 2 3 3 3 2 2 2 2 10" xfId="22712"/>
    <cellStyle name="Normal 2 3 3 3 2 2 2 2 10 2" xfId="22713"/>
    <cellStyle name="Normal 2 3 3 3 2 2 2 2 11" xfId="22714"/>
    <cellStyle name="Normal 2 3 3 3 2 2 2 2 11 2" xfId="22715"/>
    <cellStyle name="Normal 2 3 3 3 2 2 2 2 12" xfId="22716"/>
    <cellStyle name="Normal 2 3 3 3 2 2 2 2 2" xfId="22717"/>
    <cellStyle name="Normal 2 3 3 3 2 2 2 2 2 10" xfId="22718"/>
    <cellStyle name="Normal 2 3 3 3 2 2 2 2 2 10 2" xfId="22719"/>
    <cellStyle name="Normal 2 3 3 3 2 2 2 2 2 11" xfId="22720"/>
    <cellStyle name="Normal 2 3 3 3 2 2 2 2 2 2" xfId="22721"/>
    <cellStyle name="Normal 2 3 3 3 2 2 2 2 2 2 2" xfId="22722"/>
    <cellStyle name="Normal 2 3 3 3 2 2 2 2 2 3" xfId="22723"/>
    <cellStyle name="Normal 2 3 3 3 2 2 2 2 2 3 2" xfId="22724"/>
    <cellStyle name="Normal 2 3 3 3 2 2 2 2 2 4" xfId="22725"/>
    <cellStyle name="Normal 2 3 3 3 2 2 2 2 2 4 2" xfId="22726"/>
    <cellStyle name="Normal 2 3 3 3 2 2 2 2 2 5" xfId="22727"/>
    <cellStyle name="Normal 2 3 3 3 2 2 2 2 2 5 2" xfId="22728"/>
    <cellStyle name="Normal 2 3 3 3 2 2 2 2 2 6" xfId="22729"/>
    <cellStyle name="Normal 2 3 3 3 2 2 2 2 2 6 2" xfId="22730"/>
    <cellStyle name="Normal 2 3 3 3 2 2 2 2 2 7" xfId="22731"/>
    <cellStyle name="Normal 2 3 3 3 2 2 2 2 2 7 2" xfId="22732"/>
    <cellStyle name="Normal 2 3 3 3 2 2 2 2 2 8" xfId="22733"/>
    <cellStyle name="Normal 2 3 3 3 2 2 2 2 2 8 2" xfId="22734"/>
    <cellStyle name="Normal 2 3 3 3 2 2 2 2 2 9" xfId="22735"/>
    <cellStyle name="Normal 2 3 3 3 2 2 2 2 2 9 2" xfId="22736"/>
    <cellStyle name="Normal 2 3 3 3 2 2 2 2 3" xfId="22737"/>
    <cellStyle name="Normal 2 3 3 3 2 2 2 2 3 2" xfId="22738"/>
    <cellStyle name="Normal 2 3 3 3 2 2 2 2 4" xfId="22739"/>
    <cellStyle name="Normal 2 3 3 3 2 2 2 2 4 2" xfId="22740"/>
    <cellStyle name="Normal 2 3 3 3 2 2 2 2 5" xfId="22741"/>
    <cellStyle name="Normal 2 3 3 3 2 2 2 2 5 2" xfId="22742"/>
    <cellStyle name="Normal 2 3 3 3 2 2 2 2 6" xfId="22743"/>
    <cellStyle name="Normal 2 3 3 3 2 2 2 2 6 2" xfId="22744"/>
    <cellStyle name="Normal 2 3 3 3 2 2 2 2 7" xfId="22745"/>
    <cellStyle name="Normal 2 3 3 3 2 2 2 2 7 2" xfId="22746"/>
    <cellStyle name="Normal 2 3 3 3 2 2 2 2 8" xfId="22747"/>
    <cellStyle name="Normal 2 3 3 3 2 2 2 2 8 2" xfId="22748"/>
    <cellStyle name="Normal 2 3 3 3 2 2 2 2 9" xfId="22749"/>
    <cellStyle name="Normal 2 3 3 3 2 2 2 2 9 2" xfId="22750"/>
    <cellStyle name="Normal 2 3 3 3 2 2 2 3" xfId="22751"/>
    <cellStyle name="Normal 2 3 3 3 2 2 2 3 10" xfId="22752"/>
    <cellStyle name="Normal 2 3 3 3 2 2 2 3 10 2" xfId="22753"/>
    <cellStyle name="Normal 2 3 3 3 2 2 2 3 11" xfId="22754"/>
    <cellStyle name="Normal 2 3 3 3 2 2 2 3 2" xfId="22755"/>
    <cellStyle name="Normal 2 3 3 3 2 2 2 3 2 2" xfId="22756"/>
    <cellStyle name="Normal 2 3 3 3 2 2 2 3 3" xfId="22757"/>
    <cellStyle name="Normal 2 3 3 3 2 2 2 3 3 2" xfId="22758"/>
    <cellStyle name="Normal 2 3 3 3 2 2 2 3 4" xfId="22759"/>
    <cellStyle name="Normal 2 3 3 3 2 2 2 3 4 2" xfId="22760"/>
    <cellStyle name="Normal 2 3 3 3 2 2 2 3 5" xfId="22761"/>
    <cellStyle name="Normal 2 3 3 3 2 2 2 3 5 2" xfId="22762"/>
    <cellStyle name="Normal 2 3 3 3 2 2 2 3 6" xfId="22763"/>
    <cellStyle name="Normal 2 3 3 3 2 2 2 3 6 2" xfId="22764"/>
    <cellStyle name="Normal 2 3 3 3 2 2 2 3 7" xfId="22765"/>
    <cellStyle name="Normal 2 3 3 3 2 2 2 3 7 2" xfId="22766"/>
    <cellStyle name="Normal 2 3 3 3 2 2 2 3 8" xfId="22767"/>
    <cellStyle name="Normal 2 3 3 3 2 2 2 3 8 2" xfId="22768"/>
    <cellStyle name="Normal 2 3 3 3 2 2 2 3 9" xfId="22769"/>
    <cellStyle name="Normal 2 3 3 3 2 2 2 3 9 2" xfId="22770"/>
    <cellStyle name="Normal 2 3 3 3 2 2 2 4" xfId="22771"/>
    <cellStyle name="Normal 2 3 3 3 2 2 2 4 2" xfId="22772"/>
    <cellStyle name="Normal 2 3 3 3 2 2 2 5" xfId="22773"/>
    <cellStyle name="Normal 2 3 3 3 2 2 2 5 2" xfId="22774"/>
    <cellStyle name="Normal 2 3 3 3 2 2 2 6" xfId="22775"/>
    <cellStyle name="Normal 2 3 3 3 2 2 2 6 2" xfId="22776"/>
    <cellStyle name="Normal 2 3 3 3 2 2 2 7" xfId="22777"/>
    <cellStyle name="Normal 2 3 3 3 2 2 2 7 2" xfId="22778"/>
    <cellStyle name="Normal 2 3 3 3 2 2 2 8" xfId="22779"/>
    <cellStyle name="Normal 2 3 3 3 2 2 2 8 2" xfId="22780"/>
    <cellStyle name="Normal 2 3 3 3 2 2 2 9" xfId="22781"/>
    <cellStyle name="Normal 2 3 3 3 2 2 2 9 2" xfId="22782"/>
    <cellStyle name="Normal 2 3 3 3 2 2 3" xfId="22783"/>
    <cellStyle name="Normal 2 3 3 3 2 2 3 10" xfId="22784"/>
    <cellStyle name="Normal 2 3 3 3 2 2 3 10 2" xfId="22785"/>
    <cellStyle name="Normal 2 3 3 3 2 2 3 11" xfId="22786"/>
    <cellStyle name="Normal 2 3 3 3 2 2 3 11 2" xfId="22787"/>
    <cellStyle name="Normal 2 3 3 3 2 2 3 12" xfId="22788"/>
    <cellStyle name="Normal 2 3 3 3 2 2 3 12 2" xfId="22789"/>
    <cellStyle name="Normal 2 3 3 3 2 2 3 13" xfId="22790"/>
    <cellStyle name="Normal 2 3 3 3 2 2 3 2" xfId="22791"/>
    <cellStyle name="Normal 2 3 3 3 2 2 3 2 10" xfId="22792"/>
    <cellStyle name="Normal 2 3 3 3 2 2 3 2 10 2" xfId="22793"/>
    <cellStyle name="Normal 2 3 3 3 2 2 3 2 11" xfId="22794"/>
    <cellStyle name="Normal 2 3 3 3 2 2 3 2 11 2" xfId="22795"/>
    <cellStyle name="Normal 2 3 3 3 2 2 3 2 12" xfId="22796"/>
    <cellStyle name="Normal 2 3 3 3 2 2 3 2 2" xfId="22797"/>
    <cellStyle name="Normal 2 3 3 3 2 2 3 2 2 10" xfId="22798"/>
    <cellStyle name="Normal 2 3 3 3 2 2 3 2 2 10 2" xfId="22799"/>
    <cellStyle name="Normal 2 3 3 3 2 2 3 2 2 11" xfId="22800"/>
    <cellStyle name="Normal 2 3 3 3 2 2 3 2 2 2" xfId="22801"/>
    <cellStyle name="Normal 2 3 3 3 2 2 3 2 2 2 2" xfId="22802"/>
    <cellStyle name="Normal 2 3 3 3 2 2 3 2 2 3" xfId="22803"/>
    <cellStyle name="Normal 2 3 3 3 2 2 3 2 2 3 2" xfId="22804"/>
    <cellStyle name="Normal 2 3 3 3 2 2 3 2 2 4" xfId="22805"/>
    <cellStyle name="Normal 2 3 3 3 2 2 3 2 2 4 2" xfId="22806"/>
    <cellStyle name="Normal 2 3 3 3 2 2 3 2 2 5" xfId="22807"/>
    <cellStyle name="Normal 2 3 3 3 2 2 3 2 2 5 2" xfId="22808"/>
    <cellStyle name="Normal 2 3 3 3 2 2 3 2 2 6" xfId="22809"/>
    <cellStyle name="Normal 2 3 3 3 2 2 3 2 2 6 2" xfId="22810"/>
    <cellStyle name="Normal 2 3 3 3 2 2 3 2 2 7" xfId="22811"/>
    <cellStyle name="Normal 2 3 3 3 2 2 3 2 2 7 2" xfId="22812"/>
    <cellStyle name="Normal 2 3 3 3 2 2 3 2 2 8" xfId="22813"/>
    <cellStyle name="Normal 2 3 3 3 2 2 3 2 2 8 2" xfId="22814"/>
    <cellStyle name="Normal 2 3 3 3 2 2 3 2 2 9" xfId="22815"/>
    <cellStyle name="Normal 2 3 3 3 2 2 3 2 2 9 2" xfId="22816"/>
    <cellStyle name="Normal 2 3 3 3 2 2 3 2 3" xfId="22817"/>
    <cellStyle name="Normal 2 3 3 3 2 2 3 2 3 2" xfId="22818"/>
    <cellStyle name="Normal 2 3 3 3 2 2 3 2 4" xfId="22819"/>
    <cellStyle name="Normal 2 3 3 3 2 2 3 2 4 2" xfId="22820"/>
    <cellStyle name="Normal 2 3 3 3 2 2 3 2 5" xfId="22821"/>
    <cellStyle name="Normal 2 3 3 3 2 2 3 2 5 2" xfId="22822"/>
    <cellStyle name="Normal 2 3 3 3 2 2 3 2 6" xfId="22823"/>
    <cellStyle name="Normal 2 3 3 3 2 2 3 2 6 2" xfId="22824"/>
    <cellStyle name="Normal 2 3 3 3 2 2 3 2 7" xfId="22825"/>
    <cellStyle name="Normal 2 3 3 3 2 2 3 2 7 2" xfId="22826"/>
    <cellStyle name="Normal 2 3 3 3 2 2 3 2 8" xfId="22827"/>
    <cellStyle name="Normal 2 3 3 3 2 2 3 2 8 2" xfId="22828"/>
    <cellStyle name="Normal 2 3 3 3 2 2 3 2 9" xfId="22829"/>
    <cellStyle name="Normal 2 3 3 3 2 2 3 2 9 2" xfId="22830"/>
    <cellStyle name="Normal 2 3 3 3 2 2 3 3" xfId="22831"/>
    <cellStyle name="Normal 2 3 3 3 2 2 3 3 10" xfId="22832"/>
    <cellStyle name="Normal 2 3 3 3 2 2 3 3 10 2" xfId="22833"/>
    <cellStyle name="Normal 2 3 3 3 2 2 3 3 11" xfId="22834"/>
    <cellStyle name="Normal 2 3 3 3 2 2 3 3 2" xfId="22835"/>
    <cellStyle name="Normal 2 3 3 3 2 2 3 3 2 2" xfId="22836"/>
    <cellStyle name="Normal 2 3 3 3 2 2 3 3 3" xfId="22837"/>
    <cellStyle name="Normal 2 3 3 3 2 2 3 3 3 2" xfId="22838"/>
    <cellStyle name="Normal 2 3 3 3 2 2 3 3 4" xfId="22839"/>
    <cellStyle name="Normal 2 3 3 3 2 2 3 3 4 2" xfId="22840"/>
    <cellStyle name="Normal 2 3 3 3 2 2 3 3 5" xfId="22841"/>
    <cellStyle name="Normal 2 3 3 3 2 2 3 3 5 2" xfId="22842"/>
    <cellStyle name="Normal 2 3 3 3 2 2 3 3 6" xfId="22843"/>
    <cellStyle name="Normal 2 3 3 3 2 2 3 3 6 2" xfId="22844"/>
    <cellStyle name="Normal 2 3 3 3 2 2 3 3 7" xfId="22845"/>
    <cellStyle name="Normal 2 3 3 3 2 2 3 3 7 2" xfId="22846"/>
    <cellStyle name="Normal 2 3 3 3 2 2 3 3 8" xfId="22847"/>
    <cellStyle name="Normal 2 3 3 3 2 2 3 3 8 2" xfId="22848"/>
    <cellStyle name="Normal 2 3 3 3 2 2 3 3 9" xfId="22849"/>
    <cellStyle name="Normal 2 3 3 3 2 2 3 3 9 2" xfId="22850"/>
    <cellStyle name="Normal 2 3 3 3 2 2 3 4" xfId="22851"/>
    <cellStyle name="Normal 2 3 3 3 2 2 3 4 2" xfId="22852"/>
    <cellStyle name="Normal 2 3 3 3 2 2 3 5" xfId="22853"/>
    <cellStyle name="Normal 2 3 3 3 2 2 3 5 2" xfId="22854"/>
    <cellStyle name="Normal 2 3 3 3 2 2 3 6" xfId="22855"/>
    <cellStyle name="Normal 2 3 3 3 2 2 3 6 2" xfId="22856"/>
    <cellStyle name="Normal 2 3 3 3 2 2 3 7" xfId="22857"/>
    <cellStyle name="Normal 2 3 3 3 2 2 3 7 2" xfId="22858"/>
    <cellStyle name="Normal 2 3 3 3 2 2 3 8" xfId="22859"/>
    <cellStyle name="Normal 2 3 3 3 2 2 3 8 2" xfId="22860"/>
    <cellStyle name="Normal 2 3 3 3 2 2 3 9" xfId="22861"/>
    <cellStyle name="Normal 2 3 3 3 2 2 3 9 2" xfId="22862"/>
    <cellStyle name="Normal 2 3 3 3 2 2 4" xfId="22863"/>
    <cellStyle name="Normal 2 3 3 3 2 2 4 10" xfId="22864"/>
    <cellStyle name="Normal 2 3 3 3 2 2 4 10 2" xfId="22865"/>
    <cellStyle name="Normal 2 3 3 3 2 2 4 11" xfId="22866"/>
    <cellStyle name="Normal 2 3 3 3 2 2 4 11 2" xfId="22867"/>
    <cellStyle name="Normal 2 3 3 3 2 2 4 12" xfId="22868"/>
    <cellStyle name="Normal 2 3 3 3 2 2 4 12 2" xfId="22869"/>
    <cellStyle name="Normal 2 3 3 3 2 2 4 13" xfId="22870"/>
    <cellStyle name="Normal 2 3 3 3 2 2 4 2" xfId="22871"/>
    <cellStyle name="Normal 2 3 3 3 2 2 4 2 10" xfId="22872"/>
    <cellStyle name="Normal 2 3 3 3 2 2 4 2 10 2" xfId="22873"/>
    <cellStyle name="Normal 2 3 3 3 2 2 4 2 11" xfId="22874"/>
    <cellStyle name="Normal 2 3 3 3 2 2 4 2 11 2" xfId="22875"/>
    <cellStyle name="Normal 2 3 3 3 2 2 4 2 12" xfId="22876"/>
    <cellStyle name="Normal 2 3 3 3 2 2 4 2 2" xfId="22877"/>
    <cellStyle name="Normal 2 3 3 3 2 2 4 2 2 10" xfId="22878"/>
    <cellStyle name="Normal 2 3 3 3 2 2 4 2 2 10 2" xfId="22879"/>
    <cellStyle name="Normal 2 3 3 3 2 2 4 2 2 11" xfId="22880"/>
    <cellStyle name="Normal 2 3 3 3 2 2 4 2 2 2" xfId="22881"/>
    <cellStyle name="Normal 2 3 3 3 2 2 4 2 2 2 2" xfId="22882"/>
    <cellStyle name="Normal 2 3 3 3 2 2 4 2 2 3" xfId="22883"/>
    <cellStyle name="Normal 2 3 3 3 2 2 4 2 2 3 2" xfId="22884"/>
    <cellStyle name="Normal 2 3 3 3 2 2 4 2 2 4" xfId="22885"/>
    <cellStyle name="Normal 2 3 3 3 2 2 4 2 2 4 2" xfId="22886"/>
    <cellStyle name="Normal 2 3 3 3 2 2 4 2 2 5" xfId="22887"/>
    <cellStyle name="Normal 2 3 3 3 2 2 4 2 2 5 2" xfId="22888"/>
    <cellStyle name="Normal 2 3 3 3 2 2 4 2 2 6" xfId="22889"/>
    <cellStyle name="Normal 2 3 3 3 2 2 4 2 2 6 2" xfId="22890"/>
    <cellStyle name="Normal 2 3 3 3 2 2 4 2 2 7" xfId="22891"/>
    <cellStyle name="Normal 2 3 3 3 2 2 4 2 2 7 2" xfId="22892"/>
    <cellStyle name="Normal 2 3 3 3 2 2 4 2 2 8" xfId="22893"/>
    <cellStyle name="Normal 2 3 3 3 2 2 4 2 2 8 2" xfId="22894"/>
    <cellStyle name="Normal 2 3 3 3 2 2 4 2 2 9" xfId="22895"/>
    <cellStyle name="Normal 2 3 3 3 2 2 4 2 2 9 2" xfId="22896"/>
    <cellStyle name="Normal 2 3 3 3 2 2 4 2 3" xfId="22897"/>
    <cellStyle name="Normal 2 3 3 3 2 2 4 2 3 2" xfId="22898"/>
    <cellStyle name="Normal 2 3 3 3 2 2 4 2 4" xfId="22899"/>
    <cellStyle name="Normal 2 3 3 3 2 2 4 2 4 2" xfId="22900"/>
    <cellStyle name="Normal 2 3 3 3 2 2 4 2 5" xfId="22901"/>
    <cellStyle name="Normal 2 3 3 3 2 2 4 2 5 2" xfId="22902"/>
    <cellStyle name="Normal 2 3 3 3 2 2 4 2 6" xfId="22903"/>
    <cellStyle name="Normal 2 3 3 3 2 2 4 2 6 2" xfId="22904"/>
    <cellStyle name="Normal 2 3 3 3 2 2 4 2 7" xfId="22905"/>
    <cellStyle name="Normal 2 3 3 3 2 2 4 2 7 2" xfId="22906"/>
    <cellStyle name="Normal 2 3 3 3 2 2 4 2 8" xfId="22907"/>
    <cellStyle name="Normal 2 3 3 3 2 2 4 2 8 2" xfId="22908"/>
    <cellStyle name="Normal 2 3 3 3 2 2 4 2 9" xfId="22909"/>
    <cellStyle name="Normal 2 3 3 3 2 2 4 2 9 2" xfId="22910"/>
    <cellStyle name="Normal 2 3 3 3 2 2 4 3" xfId="22911"/>
    <cellStyle name="Normal 2 3 3 3 2 2 4 3 10" xfId="22912"/>
    <cellStyle name="Normal 2 3 3 3 2 2 4 3 10 2" xfId="22913"/>
    <cellStyle name="Normal 2 3 3 3 2 2 4 3 11" xfId="22914"/>
    <cellStyle name="Normal 2 3 3 3 2 2 4 3 2" xfId="22915"/>
    <cellStyle name="Normal 2 3 3 3 2 2 4 3 2 2" xfId="22916"/>
    <cellStyle name="Normal 2 3 3 3 2 2 4 3 3" xfId="22917"/>
    <cellStyle name="Normal 2 3 3 3 2 2 4 3 3 2" xfId="22918"/>
    <cellStyle name="Normal 2 3 3 3 2 2 4 3 4" xfId="22919"/>
    <cellStyle name="Normal 2 3 3 3 2 2 4 3 4 2" xfId="22920"/>
    <cellStyle name="Normal 2 3 3 3 2 2 4 3 5" xfId="22921"/>
    <cellStyle name="Normal 2 3 3 3 2 2 4 3 5 2" xfId="22922"/>
    <cellStyle name="Normal 2 3 3 3 2 2 4 3 6" xfId="22923"/>
    <cellStyle name="Normal 2 3 3 3 2 2 4 3 6 2" xfId="22924"/>
    <cellStyle name="Normal 2 3 3 3 2 2 4 3 7" xfId="22925"/>
    <cellStyle name="Normal 2 3 3 3 2 2 4 3 7 2" xfId="22926"/>
    <cellStyle name="Normal 2 3 3 3 2 2 4 3 8" xfId="22927"/>
    <cellStyle name="Normal 2 3 3 3 2 2 4 3 8 2" xfId="22928"/>
    <cellStyle name="Normal 2 3 3 3 2 2 4 3 9" xfId="22929"/>
    <cellStyle name="Normal 2 3 3 3 2 2 4 3 9 2" xfId="22930"/>
    <cellStyle name="Normal 2 3 3 3 2 2 4 4" xfId="22931"/>
    <cellStyle name="Normal 2 3 3 3 2 2 4 4 2" xfId="22932"/>
    <cellStyle name="Normal 2 3 3 3 2 2 4 5" xfId="22933"/>
    <cellStyle name="Normal 2 3 3 3 2 2 4 5 2" xfId="22934"/>
    <cellStyle name="Normal 2 3 3 3 2 2 4 6" xfId="22935"/>
    <cellStyle name="Normal 2 3 3 3 2 2 4 6 2" xfId="22936"/>
    <cellStyle name="Normal 2 3 3 3 2 2 4 7" xfId="22937"/>
    <cellStyle name="Normal 2 3 3 3 2 2 4 7 2" xfId="22938"/>
    <cellStyle name="Normal 2 3 3 3 2 2 4 8" xfId="22939"/>
    <cellStyle name="Normal 2 3 3 3 2 2 4 8 2" xfId="22940"/>
    <cellStyle name="Normal 2 3 3 3 2 2 4 9" xfId="22941"/>
    <cellStyle name="Normal 2 3 3 3 2 2 4 9 2" xfId="22942"/>
    <cellStyle name="Normal 2 3 3 3 2 2 5" xfId="22943"/>
    <cellStyle name="Normal 2 3 3 3 2 2 5 10" xfId="22944"/>
    <cellStyle name="Normal 2 3 3 3 2 2 5 10 2" xfId="22945"/>
    <cellStyle name="Normal 2 3 3 3 2 2 5 11" xfId="22946"/>
    <cellStyle name="Normal 2 3 3 3 2 2 5 11 2" xfId="22947"/>
    <cellStyle name="Normal 2 3 3 3 2 2 5 12" xfId="22948"/>
    <cellStyle name="Normal 2 3 3 3 2 2 5 12 2" xfId="22949"/>
    <cellStyle name="Normal 2 3 3 3 2 2 5 13" xfId="22950"/>
    <cellStyle name="Normal 2 3 3 3 2 2 5 2" xfId="22951"/>
    <cellStyle name="Normal 2 3 3 3 2 2 5 2 10" xfId="22952"/>
    <cellStyle name="Normal 2 3 3 3 2 2 5 2 10 2" xfId="22953"/>
    <cellStyle name="Normal 2 3 3 3 2 2 5 2 11" xfId="22954"/>
    <cellStyle name="Normal 2 3 3 3 2 2 5 2 11 2" xfId="22955"/>
    <cellStyle name="Normal 2 3 3 3 2 2 5 2 12" xfId="22956"/>
    <cellStyle name="Normal 2 3 3 3 2 2 5 2 2" xfId="22957"/>
    <cellStyle name="Normal 2 3 3 3 2 2 5 2 2 10" xfId="22958"/>
    <cellStyle name="Normal 2 3 3 3 2 2 5 2 2 10 2" xfId="22959"/>
    <cellStyle name="Normal 2 3 3 3 2 2 5 2 2 11" xfId="22960"/>
    <cellStyle name="Normal 2 3 3 3 2 2 5 2 2 2" xfId="22961"/>
    <cellStyle name="Normal 2 3 3 3 2 2 5 2 2 2 2" xfId="22962"/>
    <cellStyle name="Normal 2 3 3 3 2 2 5 2 2 3" xfId="22963"/>
    <cellStyle name="Normal 2 3 3 3 2 2 5 2 2 3 2" xfId="22964"/>
    <cellStyle name="Normal 2 3 3 3 2 2 5 2 2 4" xfId="22965"/>
    <cellStyle name="Normal 2 3 3 3 2 2 5 2 2 4 2" xfId="22966"/>
    <cellStyle name="Normal 2 3 3 3 2 2 5 2 2 5" xfId="22967"/>
    <cellStyle name="Normal 2 3 3 3 2 2 5 2 2 5 2" xfId="22968"/>
    <cellStyle name="Normal 2 3 3 3 2 2 5 2 2 6" xfId="22969"/>
    <cellStyle name="Normal 2 3 3 3 2 2 5 2 2 6 2" xfId="22970"/>
    <cellStyle name="Normal 2 3 3 3 2 2 5 2 2 7" xfId="22971"/>
    <cellStyle name="Normal 2 3 3 3 2 2 5 2 2 7 2" xfId="22972"/>
    <cellStyle name="Normal 2 3 3 3 2 2 5 2 2 8" xfId="22973"/>
    <cellStyle name="Normal 2 3 3 3 2 2 5 2 2 8 2" xfId="22974"/>
    <cellStyle name="Normal 2 3 3 3 2 2 5 2 2 9" xfId="22975"/>
    <cellStyle name="Normal 2 3 3 3 2 2 5 2 2 9 2" xfId="22976"/>
    <cellStyle name="Normal 2 3 3 3 2 2 5 2 3" xfId="22977"/>
    <cellStyle name="Normal 2 3 3 3 2 2 5 2 3 2" xfId="22978"/>
    <cellStyle name="Normal 2 3 3 3 2 2 5 2 4" xfId="22979"/>
    <cellStyle name="Normal 2 3 3 3 2 2 5 2 4 2" xfId="22980"/>
    <cellStyle name="Normal 2 3 3 3 2 2 5 2 5" xfId="22981"/>
    <cellStyle name="Normal 2 3 3 3 2 2 5 2 5 2" xfId="22982"/>
    <cellStyle name="Normal 2 3 3 3 2 2 5 2 6" xfId="22983"/>
    <cellStyle name="Normal 2 3 3 3 2 2 5 2 6 2" xfId="22984"/>
    <cellStyle name="Normal 2 3 3 3 2 2 5 2 7" xfId="22985"/>
    <cellStyle name="Normal 2 3 3 3 2 2 5 2 7 2" xfId="22986"/>
    <cellStyle name="Normal 2 3 3 3 2 2 5 2 8" xfId="22987"/>
    <cellStyle name="Normal 2 3 3 3 2 2 5 2 8 2" xfId="22988"/>
    <cellStyle name="Normal 2 3 3 3 2 2 5 2 9" xfId="22989"/>
    <cellStyle name="Normal 2 3 3 3 2 2 5 2 9 2" xfId="22990"/>
    <cellStyle name="Normal 2 3 3 3 2 2 5 3" xfId="22991"/>
    <cellStyle name="Normal 2 3 3 3 2 2 5 3 10" xfId="22992"/>
    <cellStyle name="Normal 2 3 3 3 2 2 5 3 10 2" xfId="22993"/>
    <cellStyle name="Normal 2 3 3 3 2 2 5 3 11" xfId="22994"/>
    <cellStyle name="Normal 2 3 3 3 2 2 5 3 2" xfId="22995"/>
    <cellStyle name="Normal 2 3 3 3 2 2 5 3 2 2" xfId="22996"/>
    <cellStyle name="Normal 2 3 3 3 2 2 5 3 3" xfId="22997"/>
    <cellStyle name="Normal 2 3 3 3 2 2 5 3 3 2" xfId="22998"/>
    <cellStyle name="Normal 2 3 3 3 2 2 5 3 4" xfId="22999"/>
    <cellStyle name="Normal 2 3 3 3 2 2 5 3 4 2" xfId="23000"/>
    <cellStyle name="Normal 2 3 3 3 2 2 5 3 5" xfId="23001"/>
    <cellStyle name="Normal 2 3 3 3 2 2 5 3 5 2" xfId="23002"/>
    <cellStyle name="Normal 2 3 3 3 2 2 5 3 6" xfId="23003"/>
    <cellStyle name="Normal 2 3 3 3 2 2 5 3 6 2" xfId="23004"/>
    <cellStyle name="Normal 2 3 3 3 2 2 5 3 7" xfId="23005"/>
    <cellStyle name="Normal 2 3 3 3 2 2 5 3 7 2" xfId="23006"/>
    <cellStyle name="Normal 2 3 3 3 2 2 5 3 8" xfId="23007"/>
    <cellStyle name="Normal 2 3 3 3 2 2 5 3 8 2" xfId="23008"/>
    <cellStyle name="Normal 2 3 3 3 2 2 5 3 9" xfId="23009"/>
    <cellStyle name="Normal 2 3 3 3 2 2 5 3 9 2" xfId="23010"/>
    <cellStyle name="Normal 2 3 3 3 2 2 5 4" xfId="23011"/>
    <cellStyle name="Normal 2 3 3 3 2 2 5 4 2" xfId="23012"/>
    <cellStyle name="Normal 2 3 3 3 2 2 5 5" xfId="23013"/>
    <cellStyle name="Normal 2 3 3 3 2 2 5 5 2" xfId="23014"/>
    <cellStyle name="Normal 2 3 3 3 2 2 5 6" xfId="23015"/>
    <cellStyle name="Normal 2 3 3 3 2 2 5 6 2" xfId="23016"/>
    <cellStyle name="Normal 2 3 3 3 2 2 5 7" xfId="23017"/>
    <cellStyle name="Normal 2 3 3 3 2 2 5 7 2" xfId="23018"/>
    <cellStyle name="Normal 2 3 3 3 2 2 5 8" xfId="23019"/>
    <cellStyle name="Normal 2 3 3 3 2 2 5 8 2" xfId="23020"/>
    <cellStyle name="Normal 2 3 3 3 2 2 5 9" xfId="23021"/>
    <cellStyle name="Normal 2 3 3 3 2 2 5 9 2" xfId="23022"/>
    <cellStyle name="Normal 2 3 3 3 2 2 6" xfId="23023"/>
    <cellStyle name="Normal 2 3 3 3 2 3" xfId="23024"/>
    <cellStyle name="Normal 2 3 3 3 2 3 2" xfId="23025"/>
    <cellStyle name="Normal 2 3 3 3 2 4" xfId="23026"/>
    <cellStyle name="Normal 2 3 3 3 2 4 2" xfId="23027"/>
    <cellStyle name="Normal 2 3 3 3 2 5" xfId="23028"/>
    <cellStyle name="Normal 2 3 3 3 2 5 2" xfId="23029"/>
    <cellStyle name="Normal 2 3 3 3 2 6" xfId="23030"/>
    <cellStyle name="Normal 2 3 3 3 2 6 10" xfId="23031"/>
    <cellStyle name="Normal 2 3 3 3 2 6 10 2" xfId="23032"/>
    <cellStyle name="Normal 2 3 3 3 2 6 11" xfId="23033"/>
    <cellStyle name="Normal 2 3 3 3 2 6 11 2" xfId="23034"/>
    <cellStyle name="Normal 2 3 3 3 2 6 12" xfId="23035"/>
    <cellStyle name="Normal 2 3 3 3 2 6 2" xfId="23036"/>
    <cellStyle name="Normal 2 3 3 3 2 6 2 10" xfId="23037"/>
    <cellStyle name="Normal 2 3 3 3 2 6 2 10 2" xfId="23038"/>
    <cellStyle name="Normal 2 3 3 3 2 6 2 11" xfId="23039"/>
    <cellStyle name="Normal 2 3 3 3 2 6 2 2" xfId="23040"/>
    <cellStyle name="Normal 2 3 3 3 2 6 2 2 2" xfId="23041"/>
    <cellStyle name="Normal 2 3 3 3 2 6 2 3" xfId="23042"/>
    <cellStyle name="Normal 2 3 3 3 2 6 2 3 2" xfId="23043"/>
    <cellStyle name="Normal 2 3 3 3 2 6 2 4" xfId="23044"/>
    <cellStyle name="Normal 2 3 3 3 2 6 2 4 2" xfId="23045"/>
    <cellStyle name="Normal 2 3 3 3 2 6 2 5" xfId="23046"/>
    <cellStyle name="Normal 2 3 3 3 2 6 2 5 2" xfId="23047"/>
    <cellStyle name="Normal 2 3 3 3 2 6 2 6" xfId="23048"/>
    <cellStyle name="Normal 2 3 3 3 2 6 2 6 2" xfId="23049"/>
    <cellStyle name="Normal 2 3 3 3 2 6 2 7" xfId="23050"/>
    <cellStyle name="Normal 2 3 3 3 2 6 2 7 2" xfId="23051"/>
    <cellStyle name="Normal 2 3 3 3 2 6 2 8" xfId="23052"/>
    <cellStyle name="Normal 2 3 3 3 2 6 2 8 2" xfId="23053"/>
    <cellStyle name="Normal 2 3 3 3 2 6 2 9" xfId="23054"/>
    <cellStyle name="Normal 2 3 3 3 2 6 2 9 2" xfId="23055"/>
    <cellStyle name="Normal 2 3 3 3 2 6 3" xfId="23056"/>
    <cellStyle name="Normal 2 3 3 3 2 6 3 2" xfId="23057"/>
    <cellStyle name="Normal 2 3 3 3 2 6 4" xfId="23058"/>
    <cellStyle name="Normal 2 3 3 3 2 6 4 2" xfId="23059"/>
    <cellStyle name="Normal 2 3 3 3 2 6 5" xfId="23060"/>
    <cellStyle name="Normal 2 3 3 3 2 6 5 2" xfId="23061"/>
    <cellStyle name="Normal 2 3 3 3 2 6 6" xfId="23062"/>
    <cellStyle name="Normal 2 3 3 3 2 6 6 2" xfId="23063"/>
    <cellStyle name="Normal 2 3 3 3 2 6 7" xfId="23064"/>
    <cellStyle name="Normal 2 3 3 3 2 6 7 2" xfId="23065"/>
    <cellStyle name="Normal 2 3 3 3 2 6 8" xfId="23066"/>
    <cellStyle name="Normal 2 3 3 3 2 6 8 2" xfId="23067"/>
    <cellStyle name="Normal 2 3 3 3 2 6 9" xfId="23068"/>
    <cellStyle name="Normal 2 3 3 3 2 6 9 2" xfId="23069"/>
    <cellStyle name="Normal 2 3 3 3 2 7" xfId="23070"/>
    <cellStyle name="Normal 2 3 3 3 2 7 10" xfId="23071"/>
    <cellStyle name="Normal 2 3 3 3 2 7 10 2" xfId="23072"/>
    <cellStyle name="Normal 2 3 3 3 2 7 11" xfId="23073"/>
    <cellStyle name="Normal 2 3 3 3 2 7 2" xfId="23074"/>
    <cellStyle name="Normal 2 3 3 3 2 7 2 2" xfId="23075"/>
    <cellStyle name="Normal 2 3 3 3 2 7 3" xfId="23076"/>
    <cellStyle name="Normal 2 3 3 3 2 7 3 2" xfId="23077"/>
    <cellStyle name="Normal 2 3 3 3 2 7 4" xfId="23078"/>
    <cellStyle name="Normal 2 3 3 3 2 7 4 2" xfId="23079"/>
    <cellStyle name="Normal 2 3 3 3 2 7 5" xfId="23080"/>
    <cellStyle name="Normal 2 3 3 3 2 7 5 2" xfId="23081"/>
    <cellStyle name="Normal 2 3 3 3 2 7 6" xfId="23082"/>
    <cellStyle name="Normal 2 3 3 3 2 7 6 2" xfId="23083"/>
    <cellStyle name="Normal 2 3 3 3 2 7 7" xfId="23084"/>
    <cellStyle name="Normal 2 3 3 3 2 7 7 2" xfId="23085"/>
    <cellStyle name="Normal 2 3 3 3 2 7 8" xfId="23086"/>
    <cellStyle name="Normal 2 3 3 3 2 7 8 2" xfId="23087"/>
    <cellStyle name="Normal 2 3 3 3 2 7 9" xfId="23088"/>
    <cellStyle name="Normal 2 3 3 3 2 7 9 2" xfId="23089"/>
    <cellStyle name="Normal 2 3 3 3 2 8" xfId="23090"/>
    <cellStyle name="Normal 2 3 3 3 2 8 2" xfId="23091"/>
    <cellStyle name="Normal 2 3 3 3 2 9" xfId="23092"/>
    <cellStyle name="Normal 2 3 3 3 2 9 2" xfId="23093"/>
    <cellStyle name="Normal 2 3 3 3 3" xfId="23094"/>
    <cellStyle name="Normal 2 3 3 3 3 10" xfId="23095"/>
    <cellStyle name="Normal 2 3 3 3 3 10 2" xfId="23096"/>
    <cellStyle name="Normal 2 3 3 3 3 11" xfId="23097"/>
    <cellStyle name="Normal 2 3 3 3 3 11 2" xfId="23098"/>
    <cellStyle name="Normal 2 3 3 3 3 12" xfId="23099"/>
    <cellStyle name="Normal 2 3 3 3 3 12 2" xfId="23100"/>
    <cellStyle name="Normal 2 3 3 3 3 13" xfId="23101"/>
    <cellStyle name="Normal 2 3 3 3 3 2" xfId="23102"/>
    <cellStyle name="Normal 2 3 3 3 3 2 10" xfId="23103"/>
    <cellStyle name="Normal 2 3 3 3 3 2 10 2" xfId="23104"/>
    <cellStyle name="Normal 2 3 3 3 3 2 11" xfId="23105"/>
    <cellStyle name="Normal 2 3 3 3 3 2 11 2" xfId="23106"/>
    <cellStyle name="Normal 2 3 3 3 3 2 12" xfId="23107"/>
    <cellStyle name="Normal 2 3 3 3 3 2 2" xfId="23108"/>
    <cellStyle name="Normal 2 3 3 3 3 2 2 10" xfId="23109"/>
    <cellStyle name="Normal 2 3 3 3 3 2 2 10 2" xfId="23110"/>
    <cellStyle name="Normal 2 3 3 3 3 2 2 11" xfId="23111"/>
    <cellStyle name="Normal 2 3 3 3 3 2 2 2" xfId="23112"/>
    <cellStyle name="Normal 2 3 3 3 3 2 2 2 2" xfId="23113"/>
    <cellStyle name="Normal 2 3 3 3 3 2 2 3" xfId="23114"/>
    <cellStyle name="Normal 2 3 3 3 3 2 2 3 2" xfId="23115"/>
    <cellStyle name="Normal 2 3 3 3 3 2 2 4" xfId="23116"/>
    <cellStyle name="Normal 2 3 3 3 3 2 2 4 2" xfId="23117"/>
    <cellStyle name="Normal 2 3 3 3 3 2 2 5" xfId="23118"/>
    <cellStyle name="Normal 2 3 3 3 3 2 2 5 2" xfId="23119"/>
    <cellStyle name="Normal 2 3 3 3 3 2 2 6" xfId="23120"/>
    <cellStyle name="Normal 2 3 3 3 3 2 2 6 2" xfId="23121"/>
    <cellStyle name="Normal 2 3 3 3 3 2 2 7" xfId="23122"/>
    <cellStyle name="Normal 2 3 3 3 3 2 2 7 2" xfId="23123"/>
    <cellStyle name="Normal 2 3 3 3 3 2 2 8" xfId="23124"/>
    <cellStyle name="Normal 2 3 3 3 3 2 2 8 2" xfId="23125"/>
    <cellStyle name="Normal 2 3 3 3 3 2 2 9" xfId="23126"/>
    <cellStyle name="Normal 2 3 3 3 3 2 2 9 2" xfId="23127"/>
    <cellStyle name="Normal 2 3 3 3 3 2 3" xfId="23128"/>
    <cellStyle name="Normal 2 3 3 3 3 2 3 2" xfId="23129"/>
    <cellStyle name="Normal 2 3 3 3 3 2 4" xfId="23130"/>
    <cellStyle name="Normal 2 3 3 3 3 2 4 2" xfId="23131"/>
    <cellStyle name="Normal 2 3 3 3 3 2 5" xfId="23132"/>
    <cellStyle name="Normal 2 3 3 3 3 2 5 2" xfId="23133"/>
    <cellStyle name="Normal 2 3 3 3 3 2 6" xfId="23134"/>
    <cellStyle name="Normal 2 3 3 3 3 2 6 2" xfId="23135"/>
    <cellStyle name="Normal 2 3 3 3 3 2 7" xfId="23136"/>
    <cellStyle name="Normal 2 3 3 3 3 2 7 2" xfId="23137"/>
    <cellStyle name="Normal 2 3 3 3 3 2 8" xfId="23138"/>
    <cellStyle name="Normal 2 3 3 3 3 2 8 2" xfId="23139"/>
    <cellStyle name="Normal 2 3 3 3 3 2 9" xfId="23140"/>
    <cellStyle name="Normal 2 3 3 3 3 2 9 2" xfId="23141"/>
    <cellStyle name="Normal 2 3 3 3 3 3" xfId="23142"/>
    <cellStyle name="Normal 2 3 3 3 3 3 10" xfId="23143"/>
    <cellStyle name="Normal 2 3 3 3 3 3 10 2" xfId="23144"/>
    <cellStyle name="Normal 2 3 3 3 3 3 11" xfId="23145"/>
    <cellStyle name="Normal 2 3 3 3 3 3 2" xfId="23146"/>
    <cellStyle name="Normal 2 3 3 3 3 3 2 2" xfId="23147"/>
    <cellStyle name="Normal 2 3 3 3 3 3 3" xfId="23148"/>
    <cellStyle name="Normal 2 3 3 3 3 3 3 2" xfId="23149"/>
    <cellStyle name="Normal 2 3 3 3 3 3 4" xfId="23150"/>
    <cellStyle name="Normal 2 3 3 3 3 3 4 2" xfId="23151"/>
    <cellStyle name="Normal 2 3 3 3 3 3 5" xfId="23152"/>
    <cellStyle name="Normal 2 3 3 3 3 3 5 2" xfId="23153"/>
    <cellStyle name="Normal 2 3 3 3 3 3 6" xfId="23154"/>
    <cellStyle name="Normal 2 3 3 3 3 3 6 2" xfId="23155"/>
    <cellStyle name="Normal 2 3 3 3 3 3 7" xfId="23156"/>
    <cellStyle name="Normal 2 3 3 3 3 3 7 2" xfId="23157"/>
    <cellStyle name="Normal 2 3 3 3 3 3 8" xfId="23158"/>
    <cellStyle name="Normal 2 3 3 3 3 3 8 2" xfId="23159"/>
    <cellStyle name="Normal 2 3 3 3 3 3 9" xfId="23160"/>
    <cellStyle name="Normal 2 3 3 3 3 3 9 2" xfId="23161"/>
    <cellStyle name="Normal 2 3 3 3 3 4" xfId="23162"/>
    <cellStyle name="Normal 2 3 3 3 3 4 2" xfId="23163"/>
    <cellStyle name="Normal 2 3 3 3 3 5" xfId="23164"/>
    <cellStyle name="Normal 2 3 3 3 3 5 2" xfId="23165"/>
    <cellStyle name="Normal 2 3 3 3 3 6" xfId="23166"/>
    <cellStyle name="Normal 2 3 3 3 3 6 2" xfId="23167"/>
    <cellStyle name="Normal 2 3 3 3 3 7" xfId="23168"/>
    <cellStyle name="Normal 2 3 3 3 3 7 2" xfId="23169"/>
    <cellStyle name="Normal 2 3 3 3 3 8" xfId="23170"/>
    <cellStyle name="Normal 2 3 3 3 3 8 2" xfId="23171"/>
    <cellStyle name="Normal 2 3 3 3 3 9" xfId="23172"/>
    <cellStyle name="Normal 2 3 3 3 3 9 2" xfId="23173"/>
    <cellStyle name="Normal 2 3 3 3 4" xfId="23174"/>
    <cellStyle name="Normal 2 3 3 3 4 10" xfId="23175"/>
    <cellStyle name="Normal 2 3 3 3 4 10 2" xfId="23176"/>
    <cellStyle name="Normal 2 3 3 3 4 11" xfId="23177"/>
    <cellStyle name="Normal 2 3 3 3 4 11 2" xfId="23178"/>
    <cellStyle name="Normal 2 3 3 3 4 12" xfId="23179"/>
    <cellStyle name="Normal 2 3 3 3 4 12 2" xfId="23180"/>
    <cellStyle name="Normal 2 3 3 3 4 13" xfId="23181"/>
    <cellStyle name="Normal 2 3 3 3 4 2" xfId="23182"/>
    <cellStyle name="Normal 2 3 3 3 4 2 10" xfId="23183"/>
    <cellStyle name="Normal 2 3 3 3 4 2 10 2" xfId="23184"/>
    <cellStyle name="Normal 2 3 3 3 4 2 11" xfId="23185"/>
    <cellStyle name="Normal 2 3 3 3 4 2 11 2" xfId="23186"/>
    <cellStyle name="Normal 2 3 3 3 4 2 12" xfId="23187"/>
    <cellStyle name="Normal 2 3 3 3 4 2 2" xfId="23188"/>
    <cellStyle name="Normal 2 3 3 3 4 2 2 10" xfId="23189"/>
    <cellStyle name="Normal 2 3 3 3 4 2 2 10 2" xfId="23190"/>
    <cellStyle name="Normal 2 3 3 3 4 2 2 11" xfId="23191"/>
    <cellStyle name="Normal 2 3 3 3 4 2 2 2" xfId="23192"/>
    <cellStyle name="Normal 2 3 3 3 4 2 2 2 2" xfId="23193"/>
    <cellStyle name="Normal 2 3 3 3 4 2 2 3" xfId="23194"/>
    <cellStyle name="Normal 2 3 3 3 4 2 2 3 2" xfId="23195"/>
    <cellStyle name="Normal 2 3 3 3 4 2 2 4" xfId="23196"/>
    <cellStyle name="Normal 2 3 3 3 4 2 2 4 2" xfId="23197"/>
    <cellStyle name="Normal 2 3 3 3 4 2 2 5" xfId="23198"/>
    <cellStyle name="Normal 2 3 3 3 4 2 2 5 2" xfId="23199"/>
    <cellStyle name="Normal 2 3 3 3 4 2 2 6" xfId="23200"/>
    <cellStyle name="Normal 2 3 3 3 4 2 2 6 2" xfId="23201"/>
    <cellStyle name="Normal 2 3 3 3 4 2 2 7" xfId="23202"/>
    <cellStyle name="Normal 2 3 3 3 4 2 2 7 2" xfId="23203"/>
    <cellStyle name="Normal 2 3 3 3 4 2 2 8" xfId="23204"/>
    <cellStyle name="Normal 2 3 3 3 4 2 2 8 2" xfId="23205"/>
    <cellStyle name="Normal 2 3 3 3 4 2 2 9" xfId="23206"/>
    <cellStyle name="Normal 2 3 3 3 4 2 2 9 2" xfId="23207"/>
    <cellStyle name="Normal 2 3 3 3 4 2 3" xfId="23208"/>
    <cellStyle name="Normal 2 3 3 3 4 2 3 2" xfId="23209"/>
    <cellStyle name="Normal 2 3 3 3 4 2 4" xfId="23210"/>
    <cellStyle name="Normal 2 3 3 3 4 2 4 2" xfId="23211"/>
    <cellStyle name="Normal 2 3 3 3 4 2 5" xfId="23212"/>
    <cellStyle name="Normal 2 3 3 3 4 2 5 2" xfId="23213"/>
    <cellStyle name="Normal 2 3 3 3 4 2 6" xfId="23214"/>
    <cellStyle name="Normal 2 3 3 3 4 2 6 2" xfId="23215"/>
    <cellStyle name="Normal 2 3 3 3 4 2 7" xfId="23216"/>
    <cellStyle name="Normal 2 3 3 3 4 2 7 2" xfId="23217"/>
    <cellStyle name="Normal 2 3 3 3 4 2 8" xfId="23218"/>
    <cellStyle name="Normal 2 3 3 3 4 2 8 2" xfId="23219"/>
    <cellStyle name="Normal 2 3 3 3 4 2 9" xfId="23220"/>
    <cellStyle name="Normal 2 3 3 3 4 2 9 2" xfId="23221"/>
    <cellStyle name="Normal 2 3 3 3 4 3" xfId="23222"/>
    <cellStyle name="Normal 2 3 3 3 4 3 10" xfId="23223"/>
    <cellStyle name="Normal 2 3 3 3 4 3 10 2" xfId="23224"/>
    <cellStyle name="Normal 2 3 3 3 4 3 11" xfId="23225"/>
    <cellStyle name="Normal 2 3 3 3 4 3 2" xfId="23226"/>
    <cellStyle name="Normal 2 3 3 3 4 3 2 2" xfId="23227"/>
    <cellStyle name="Normal 2 3 3 3 4 3 3" xfId="23228"/>
    <cellStyle name="Normal 2 3 3 3 4 3 3 2" xfId="23229"/>
    <cellStyle name="Normal 2 3 3 3 4 3 4" xfId="23230"/>
    <cellStyle name="Normal 2 3 3 3 4 3 4 2" xfId="23231"/>
    <cellStyle name="Normal 2 3 3 3 4 3 5" xfId="23232"/>
    <cellStyle name="Normal 2 3 3 3 4 3 5 2" xfId="23233"/>
    <cellStyle name="Normal 2 3 3 3 4 3 6" xfId="23234"/>
    <cellStyle name="Normal 2 3 3 3 4 3 6 2" xfId="23235"/>
    <cellStyle name="Normal 2 3 3 3 4 3 7" xfId="23236"/>
    <cellStyle name="Normal 2 3 3 3 4 3 7 2" xfId="23237"/>
    <cellStyle name="Normal 2 3 3 3 4 3 8" xfId="23238"/>
    <cellStyle name="Normal 2 3 3 3 4 3 8 2" xfId="23239"/>
    <cellStyle name="Normal 2 3 3 3 4 3 9" xfId="23240"/>
    <cellStyle name="Normal 2 3 3 3 4 3 9 2" xfId="23241"/>
    <cellStyle name="Normal 2 3 3 3 4 4" xfId="23242"/>
    <cellStyle name="Normal 2 3 3 3 4 4 2" xfId="23243"/>
    <cellStyle name="Normal 2 3 3 3 4 5" xfId="23244"/>
    <cellStyle name="Normal 2 3 3 3 4 5 2" xfId="23245"/>
    <cellStyle name="Normal 2 3 3 3 4 6" xfId="23246"/>
    <cellStyle name="Normal 2 3 3 3 4 6 2" xfId="23247"/>
    <cellStyle name="Normal 2 3 3 3 4 7" xfId="23248"/>
    <cellStyle name="Normal 2 3 3 3 4 7 2" xfId="23249"/>
    <cellStyle name="Normal 2 3 3 3 4 8" xfId="23250"/>
    <cellStyle name="Normal 2 3 3 3 4 8 2" xfId="23251"/>
    <cellStyle name="Normal 2 3 3 3 4 9" xfId="23252"/>
    <cellStyle name="Normal 2 3 3 3 4 9 2" xfId="23253"/>
    <cellStyle name="Normal 2 3 3 3 5" xfId="23254"/>
    <cellStyle name="Normal 2 3 3 3 5 10" xfId="23255"/>
    <cellStyle name="Normal 2 3 3 3 5 10 2" xfId="23256"/>
    <cellStyle name="Normal 2 3 3 3 5 11" xfId="23257"/>
    <cellStyle name="Normal 2 3 3 3 5 11 2" xfId="23258"/>
    <cellStyle name="Normal 2 3 3 3 5 12" xfId="23259"/>
    <cellStyle name="Normal 2 3 3 3 5 12 2" xfId="23260"/>
    <cellStyle name="Normal 2 3 3 3 5 13" xfId="23261"/>
    <cellStyle name="Normal 2 3 3 3 5 2" xfId="23262"/>
    <cellStyle name="Normal 2 3 3 3 5 2 10" xfId="23263"/>
    <cellStyle name="Normal 2 3 3 3 5 2 10 2" xfId="23264"/>
    <cellStyle name="Normal 2 3 3 3 5 2 11" xfId="23265"/>
    <cellStyle name="Normal 2 3 3 3 5 2 11 2" xfId="23266"/>
    <cellStyle name="Normal 2 3 3 3 5 2 12" xfId="23267"/>
    <cellStyle name="Normal 2 3 3 3 5 2 2" xfId="23268"/>
    <cellStyle name="Normal 2 3 3 3 5 2 2 10" xfId="23269"/>
    <cellStyle name="Normal 2 3 3 3 5 2 2 10 2" xfId="23270"/>
    <cellStyle name="Normal 2 3 3 3 5 2 2 11" xfId="23271"/>
    <cellStyle name="Normal 2 3 3 3 5 2 2 2" xfId="23272"/>
    <cellStyle name="Normal 2 3 3 3 5 2 2 2 2" xfId="23273"/>
    <cellStyle name="Normal 2 3 3 3 5 2 2 3" xfId="23274"/>
    <cellStyle name="Normal 2 3 3 3 5 2 2 3 2" xfId="23275"/>
    <cellStyle name="Normal 2 3 3 3 5 2 2 4" xfId="23276"/>
    <cellStyle name="Normal 2 3 3 3 5 2 2 4 2" xfId="23277"/>
    <cellStyle name="Normal 2 3 3 3 5 2 2 5" xfId="23278"/>
    <cellStyle name="Normal 2 3 3 3 5 2 2 5 2" xfId="23279"/>
    <cellStyle name="Normal 2 3 3 3 5 2 2 6" xfId="23280"/>
    <cellStyle name="Normal 2 3 3 3 5 2 2 6 2" xfId="23281"/>
    <cellStyle name="Normal 2 3 3 3 5 2 2 7" xfId="23282"/>
    <cellStyle name="Normal 2 3 3 3 5 2 2 7 2" xfId="23283"/>
    <cellStyle name="Normal 2 3 3 3 5 2 2 8" xfId="23284"/>
    <cellStyle name="Normal 2 3 3 3 5 2 2 8 2" xfId="23285"/>
    <cellStyle name="Normal 2 3 3 3 5 2 2 9" xfId="23286"/>
    <cellStyle name="Normal 2 3 3 3 5 2 2 9 2" xfId="23287"/>
    <cellStyle name="Normal 2 3 3 3 5 2 3" xfId="23288"/>
    <cellStyle name="Normal 2 3 3 3 5 2 3 2" xfId="23289"/>
    <cellStyle name="Normal 2 3 3 3 5 2 4" xfId="23290"/>
    <cellStyle name="Normal 2 3 3 3 5 2 4 2" xfId="23291"/>
    <cellStyle name="Normal 2 3 3 3 5 2 5" xfId="23292"/>
    <cellStyle name="Normal 2 3 3 3 5 2 5 2" xfId="23293"/>
    <cellStyle name="Normal 2 3 3 3 5 2 6" xfId="23294"/>
    <cellStyle name="Normal 2 3 3 3 5 2 6 2" xfId="23295"/>
    <cellStyle name="Normal 2 3 3 3 5 2 7" xfId="23296"/>
    <cellStyle name="Normal 2 3 3 3 5 2 7 2" xfId="23297"/>
    <cellStyle name="Normal 2 3 3 3 5 2 8" xfId="23298"/>
    <cellStyle name="Normal 2 3 3 3 5 2 8 2" xfId="23299"/>
    <cellStyle name="Normal 2 3 3 3 5 2 9" xfId="23300"/>
    <cellStyle name="Normal 2 3 3 3 5 2 9 2" xfId="23301"/>
    <cellStyle name="Normal 2 3 3 3 5 3" xfId="23302"/>
    <cellStyle name="Normal 2 3 3 3 5 3 10" xfId="23303"/>
    <cellStyle name="Normal 2 3 3 3 5 3 10 2" xfId="23304"/>
    <cellStyle name="Normal 2 3 3 3 5 3 11" xfId="23305"/>
    <cellStyle name="Normal 2 3 3 3 5 3 2" xfId="23306"/>
    <cellStyle name="Normal 2 3 3 3 5 3 2 2" xfId="23307"/>
    <cellStyle name="Normal 2 3 3 3 5 3 3" xfId="23308"/>
    <cellStyle name="Normal 2 3 3 3 5 3 3 2" xfId="23309"/>
    <cellStyle name="Normal 2 3 3 3 5 3 4" xfId="23310"/>
    <cellStyle name="Normal 2 3 3 3 5 3 4 2" xfId="23311"/>
    <cellStyle name="Normal 2 3 3 3 5 3 5" xfId="23312"/>
    <cellStyle name="Normal 2 3 3 3 5 3 5 2" xfId="23313"/>
    <cellStyle name="Normal 2 3 3 3 5 3 6" xfId="23314"/>
    <cellStyle name="Normal 2 3 3 3 5 3 6 2" xfId="23315"/>
    <cellStyle name="Normal 2 3 3 3 5 3 7" xfId="23316"/>
    <cellStyle name="Normal 2 3 3 3 5 3 7 2" xfId="23317"/>
    <cellStyle name="Normal 2 3 3 3 5 3 8" xfId="23318"/>
    <cellStyle name="Normal 2 3 3 3 5 3 8 2" xfId="23319"/>
    <cellStyle name="Normal 2 3 3 3 5 3 9" xfId="23320"/>
    <cellStyle name="Normal 2 3 3 3 5 3 9 2" xfId="23321"/>
    <cellStyle name="Normal 2 3 3 3 5 4" xfId="23322"/>
    <cellStyle name="Normal 2 3 3 3 5 4 2" xfId="23323"/>
    <cellStyle name="Normal 2 3 3 3 5 5" xfId="23324"/>
    <cellStyle name="Normal 2 3 3 3 5 5 2" xfId="23325"/>
    <cellStyle name="Normal 2 3 3 3 5 6" xfId="23326"/>
    <cellStyle name="Normal 2 3 3 3 5 6 2" xfId="23327"/>
    <cellStyle name="Normal 2 3 3 3 5 7" xfId="23328"/>
    <cellStyle name="Normal 2 3 3 3 5 7 2" xfId="23329"/>
    <cellStyle name="Normal 2 3 3 3 5 8" xfId="23330"/>
    <cellStyle name="Normal 2 3 3 3 5 8 2" xfId="23331"/>
    <cellStyle name="Normal 2 3 3 3 5 9" xfId="23332"/>
    <cellStyle name="Normal 2 3 3 3 5 9 2" xfId="23333"/>
    <cellStyle name="Normal 2 3 3 3 6" xfId="23334"/>
    <cellStyle name="Normal 2 3 3 3 6 10" xfId="23335"/>
    <cellStyle name="Normal 2 3 3 3 6 10 2" xfId="23336"/>
    <cellStyle name="Normal 2 3 3 3 6 11" xfId="23337"/>
    <cellStyle name="Normal 2 3 3 3 6 11 2" xfId="23338"/>
    <cellStyle name="Normal 2 3 3 3 6 12" xfId="23339"/>
    <cellStyle name="Normal 2 3 3 3 6 12 2" xfId="23340"/>
    <cellStyle name="Normal 2 3 3 3 6 13" xfId="23341"/>
    <cellStyle name="Normal 2 3 3 3 6 2" xfId="23342"/>
    <cellStyle name="Normal 2 3 3 3 6 2 10" xfId="23343"/>
    <cellStyle name="Normal 2 3 3 3 6 2 10 2" xfId="23344"/>
    <cellStyle name="Normal 2 3 3 3 6 2 11" xfId="23345"/>
    <cellStyle name="Normal 2 3 3 3 6 2 11 2" xfId="23346"/>
    <cellStyle name="Normal 2 3 3 3 6 2 12" xfId="23347"/>
    <cellStyle name="Normal 2 3 3 3 6 2 2" xfId="23348"/>
    <cellStyle name="Normal 2 3 3 3 6 2 2 10" xfId="23349"/>
    <cellStyle name="Normal 2 3 3 3 6 2 2 10 2" xfId="23350"/>
    <cellStyle name="Normal 2 3 3 3 6 2 2 11" xfId="23351"/>
    <cellStyle name="Normal 2 3 3 3 6 2 2 2" xfId="23352"/>
    <cellStyle name="Normal 2 3 3 3 6 2 2 2 2" xfId="23353"/>
    <cellStyle name="Normal 2 3 3 3 6 2 2 3" xfId="23354"/>
    <cellStyle name="Normal 2 3 3 3 6 2 2 3 2" xfId="23355"/>
    <cellStyle name="Normal 2 3 3 3 6 2 2 4" xfId="23356"/>
    <cellStyle name="Normal 2 3 3 3 6 2 2 4 2" xfId="23357"/>
    <cellStyle name="Normal 2 3 3 3 6 2 2 5" xfId="23358"/>
    <cellStyle name="Normal 2 3 3 3 6 2 2 5 2" xfId="23359"/>
    <cellStyle name="Normal 2 3 3 3 6 2 2 6" xfId="23360"/>
    <cellStyle name="Normal 2 3 3 3 6 2 2 6 2" xfId="23361"/>
    <cellStyle name="Normal 2 3 3 3 6 2 2 7" xfId="23362"/>
    <cellStyle name="Normal 2 3 3 3 6 2 2 7 2" xfId="23363"/>
    <cellStyle name="Normal 2 3 3 3 6 2 2 8" xfId="23364"/>
    <cellStyle name="Normal 2 3 3 3 6 2 2 8 2" xfId="23365"/>
    <cellStyle name="Normal 2 3 3 3 6 2 2 9" xfId="23366"/>
    <cellStyle name="Normal 2 3 3 3 6 2 2 9 2" xfId="23367"/>
    <cellStyle name="Normal 2 3 3 3 6 2 3" xfId="23368"/>
    <cellStyle name="Normal 2 3 3 3 6 2 3 2" xfId="23369"/>
    <cellStyle name="Normal 2 3 3 3 6 2 4" xfId="23370"/>
    <cellStyle name="Normal 2 3 3 3 6 2 4 2" xfId="23371"/>
    <cellStyle name="Normal 2 3 3 3 6 2 5" xfId="23372"/>
    <cellStyle name="Normal 2 3 3 3 6 2 5 2" xfId="23373"/>
    <cellStyle name="Normal 2 3 3 3 6 2 6" xfId="23374"/>
    <cellStyle name="Normal 2 3 3 3 6 2 6 2" xfId="23375"/>
    <cellStyle name="Normal 2 3 3 3 6 2 7" xfId="23376"/>
    <cellStyle name="Normal 2 3 3 3 6 2 7 2" xfId="23377"/>
    <cellStyle name="Normal 2 3 3 3 6 2 8" xfId="23378"/>
    <cellStyle name="Normal 2 3 3 3 6 2 8 2" xfId="23379"/>
    <cellStyle name="Normal 2 3 3 3 6 2 9" xfId="23380"/>
    <cellStyle name="Normal 2 3 3 3 6 2 9 2" xfId="23381"/>
    <cellStyle name="Normal 2 3 3 3 6 3" xfId="23382"/>
    <cellStyle name="Normal 2 3 3 3 6 3 10" xfId="23383"/>
    <cellStyle name="Normal 2 3 3 3 6 3 10 2" xfId="23384"/>
    <cellStyle name="Normal 2 3 3 3 6 3 11" xfId="23385"/>
    <cellStyle name="Normal 2 3 3 3 6 3 2" xfId="23386"/>
    <cellStyle name="Normal 2 3 3 3 6 3 2 2" xfId="23387"/>
    <cellStyle name="Normal 2 3 3 3 6 3 3" xfId="23388"/>
    <cellStyle name="Normal 2 3 3 3 6 3 3 2" xfId="23389"/>
    <cellStyle name="Normal 2 3 3 3 6 3 4" xfId="23390"/>
    <cellStyle name="Normal 2 3 3 3 6 3 4 2" xfId="23391"/>
    <cellStyle name="Normal 2 3 3 3 6 3 5" xfId="23392"/>
    <cellStyle name="Normal 2 3 3 3 6 3 5 2" xfId="23393"/>
    <cellStyle name="Normal 2 3 3 3 6 3 6" xfId="23394"/>
    <cellStyle name="Normal 2 3 3 3 6 3 6 2" xfId="23395"/>
    <cellStyle name="Normal 2 3 3 3 6 3 7" xfId="23396"/>
    <cellStyle name="Normal 2 3 3 3 6 3 7 2" xfId="23397"/>
    <cellStyle name="Normal 2 3 3 3 6 3 8" xfId="23398"/>
    <cellStyle name="Normal 2 3 3 3 6 3 8 2" xfId="23399"/>
    <cellStyle name="Normal 2 3 3 3 6 3 9" xfId="23400"/>
    <cellStyle name="Normal 2 3 3 3 6 3 9 2" xfId="23401"/>
    <cellStyle name="Normal 2 3 3 3 6 4" xfId="23402"/>
    <cellStyle name="Normal 2 3 3 3 6 4 2" xfId="23403"/>
    <cellStyle name="Normal 2 3 3 3 6 5" xfId="23404"/>
    <cellStyle name="Normal 2 3 3 3 6 5 2" xfId="23405"/>
    <cellStyle name="Normal 2 3 3 3 6 6" xfId="23406"/>
    <cellStyle name="Normal 2 3 3 3 6 6 2" xfId="23407"/>
    <cellStyle name="Normal 2 3 3 3 6 7" xfId="23408"/>
    <cellStyle name="Normal 2 3 3 3 6 7 2" xfId="23409"/>
    <cellStyle name="Normal 2 3 3 3 6 8" xfId="23410"/>
    <cellStyle name="Normal 2 3 3 3 6 8 2" xfId="23411"/>
    <cellStyle name="Normal 2 3 3 3 6 9" xfId="23412"/>
    <cellStyle name="Normal 2 3 3 3 6 9 2" xfId="23413"/>
    <cellStyle name="Normal 2 3 3 3 7" xfId="23414"/>
    <cellStyle name="Normal 2 3 3 4" xfId="23415"/>
    <cellStyle name="Normal 2 3 3 4 10" xfId="23416"/>
    <cellStyle name="Normal 2 3 3 4 10 2" xfId="23417"/>
    <cellStyle name="Normal 2 3 3 4 11" xfId="23418"/>
    <cellStyle name="Normal 2 3 3 4 11 2" xfId="23419"/>
    <cellStyle name="Normal 2 3 3 4 12" xfId="23420"/>
    <cellStyle name="Normal 2 3 3 4 12 2" xfId="23421"/>
    <cellStyle name="Normal 2 3 3 4 13" xfId="23422"/>
    <cellStyle name="Normal 2 3 3 4 2" xfId="23423"/>
    <cellStyle name="Normal 2 3 3 4 2 10" xfId="23424"/>
    <cellStyle name="Normal 2 3 3 4 2 10 2" xfId="23425"/>
    <cellStyle name="Normal 2 3 3 4 2 11" xfId="23426"/>
    <cellStyle name="Normal 2 3 3 4 2 11 2" xfId="23427"/>
    <cellStyle name="Normal 2 3 3 4 2 12" xfId="23428"/>
    <cellStyle name="Normal 2 3 3 4 2 2" xfId="23429"/>
    <cellStyle name="Normal 2 3 3 4 2 2 10" xfId="23430"/>
    <cellStyle name="Normal 2 3 3 4 2 2 10 2" xfId="23431"/>
    <cellStyle name="Normal 2 3 3 4 2 2 11" xfId="23432"/>
    <cellStyle name="Normal 2 3 3 4 2 2 2" xfId="23433"/>
    <cellStyle name="Normal 2 3 3 4 2 2 2 2" xfId="23434"/>
    <cellStyle name="Normal 2 3 3 4 2 2 3" xfId="23435"/>
    <cellStyle name="Normal 2 3 3 4 2 2 3 2" xfId="23436"/>
    <cellStyle name="Normal 2 3 3 4 2 2 4" xfId="23437"/>
    <cellStyle name="Normal 2 3 3 4 2 2 4 2" xfId="23438"/>
    <cellStyle name="Normal 2 3 3 4 2 2 5" xfId="23439"/>
    <cellStyle name="Normal 2 3 3 4 2 2 5 2" xfId="23440"/>
    <cellStyle name="Normal 2 3 3 4 2 2 6" xfId="23441"/>
    <cellStyle name="Normal 2 3 3 4 2 2 6 2" xfId="23442"/>
    <cellStyle name="Normal 2 3 3 4 2 2 7" xfId="23443"/>
    <cellStyle name="Normal 2 3 3 4 2 2 7 2" xfId="23444"/>
    <cellStyle name="Normal 2 3 3 4 2 2 8" xfId="23445"/>
    <cellStyle name="Normal 2 3 3 4 2 2 8 2" xfId="23446"/>
    <cellStyle name="Normal 2 3 3 4 2 2 9" xfId="23447"/>
    <cellStyle name="Normal 2 3 3 4 2 2 9 2" xfId="23448"/>
    <cellStyle name="Normal 2 3 3 4 2 3" xfId="23449"/>
    <cellStyle name="Normal 2 3 3 4 2 3 2" xfId="23450"/>
    <cellStyle name="Normal 2 3 3 4 2 4" xfId="23451"/>
    <cellStyle name="Normal 2 3 3 4 2 4 2" xfId="23452"/>
    <cellStyle name="Normal 2 3 3 4 2 5" xfId="23453"/>
    <cellStyle name="Normal 2 3 3 4 2 5 2" xfId="23454"/>
    <cellStyle name="Normal 2 3 3 4 2 6" xfId="23455"/>
    <cellStyle name="Normal 2 3 3 4 2 6 2" xfId="23456"/>
    <cellStyle name="Normal 2 3 3 4 2 7" xfId="23457"/>
    <cellStyle name="Normal 2 3 3 4 2 7 2" xfId="23458"/>
    <cellStyle name="Normal 2 3 3 4 2 8" xfId="23459"/>
    <cellStyle name="Normal 2 3 3 4 2 8 2" xfId="23460"/>
    <cellStyle name="Normal 2 3 3 4 2 9" xfId="23461"/>
    <cellStyle name="Normal 2 3 3 4 2 9 2" xfId="23462"/>
    <cellStyle name="Normal 2 3 3 4 3" xfId="23463"/>
    <cellStyle name="Normal 2 3 3 4 3 10" xfId="23464"/>
    <cellStyle name="Normal 2 3 3 4 3 10 2" xfId="23465"/>
    <cellStyle name="Normal 2 3 3 4 3 11" xfId="23466"/>
    <cellStyle name="Normal 2 3 3 4 3 2" xfId="23467"/>
    <cellStyle name="Normal 2 3 3 4 3 2 2" xfId="23468"/>
    <cellStyle name="Normal 2 3 3 4 3 3" xfId="23469"/>
    <cellStyle name="Normal 2 3 3 4 3 3 2" xfId="23470"/>
    <cellStyle name="Normal 2 3 3 4 3 4" xfId="23471"/>
    <cellStyle name="Normal 2 3 3 4 3 4 2" xfId="23472"/>
    <cellStyle name="Normal 2 3 3 4 3 5" xfId="23473"/>
    <cellStyle name="Normal 2 3 3 4 3 5 2" xfId="23474"/>
    <cellStyle name="Normal 2 3 3 4 3 6" xfId="23475"/>
    <cellStyle name="Normal 2 3 3 4 3 6 2" xfId="23476"/>
    <cellStyle name="Normal 2 3 3 4 3 7" xfId="23477"/>
    <cellStyle name="Normal 2 3 3 4 3 7 2" xfId="23478"/>
    <cellStyle name="Normal 2 3 3 4 3 8" xfId="23479"/>
    <cellStyle name="Normal 2 3 3 4 3 8 2" xfId="23480"/>
    <cellStyle name="Normal 2 3 3 4 3 9" xfId="23481"/>
    <cellStyle name="Normal 2 3 3 4 3 9 2" xfId="23482"/>
    <cellStyle name="Normal 2 3 3 4 4" xfId="23483"/>
    <cellStyle name="Normal 2 3 3 4 4 2" xfId="23484"/>
    <cellStyle name="Normal 2 3 3 4 5" xfId="23485"/>
    <cellStyle name="Normal 2 3 3 4 5 2" xfId="23486"/>
    <cellStyle name="Normal 2 3 3 4 6" xfId="23487"/>
    <cellStyle name="Normal 2 3 3 4 6 2" xfId="23488"/>
    <cellStyle name="Normal 2 3 3 4 7" xfId="23489"/>
    <cellStyle name="Normal 2 3 3 4 7 2" xfId="23490"/>
    <cellStyle name="Normal 2 3 3 4 8" xfId="23491"/>
    <cellStyle name="Normal 2 3 3 4 8 2" xfId="23492"/>
    <cellStyle name="Normal 2 3 3 4 9" xfId="23493"/>
    <cellStyle name="Normal 2 3 3 4 9 2" xfId="23494"/>
    <cellStyle name="Normal 2 3 3 5" xfId="23495"/>
    <cellStyle name="Normal 2 3 3 5 10" xfId="23496"/>
    <cellStyle name="Normal 2 3 3 5 10 2" xfId="23497"/>
    <cellStyle name="Normal 2 3 3 5 11" xfId="23498"/>
    <cellStyle name="Normal 2 3 3 5 11 2" xfId="23499"/>
    <cellStyle name="Normal 2 3 3 5 12" xfId="23500"/>
    <cellStyle name="Normal 2 3 3 5 12 2" xfId="23501"/>
    <cellStyle name="Normal 2 3 3 5 13" xfId="23502"/>
    <cellStyle name="Normal 2 3 3 5 2" xfId="23503"/>
    <cellStyle name="Normal 2 3 3 5 2 10" xfId="23504"/>
    <cellStyle name="Normal 2 3 3 5 2 10 2" xfId="23505"/>
    <cellStyle name="Normal 2 3 3 5 2 11" xfId="23506"/>
    <cellStyle name="Normal 2 3 3 5 2 11 2" xfId="23507"/>
    <cellStyle name="Normal 2 3 3 5 2 12" xfId="23508"/>
    <cellStyle name="Normal 2 3 3 5 2 2" xfId="23509"/>
    <cellStyle name="Normal 2 3 3 5 2 2 10" xfId="23510"/>
    <cellStyle name="Normal 2 3 3 5 2 2 10 2" xfId="23511"/>
    <cellStyle name="Normal 2 3 3 5 2 2 11" xfId="23512"/>
    <cellStyle name="Normal 2 3 3 5 2 2 2" xfId="23513"/>
    <cellStyle name="Normal 2 3 3 5 2 2 2 2" xfId="23514"/>
    <cellStyle name="Normal 2 3 3 5 2 2 3" xfId="23515"/>
    <cellStyle name="Normal 2 3 3 5 2 2 3 2" xfId="23516"/>
    <cellStyle name="Normal 2 3 3 5 2 2 4" xfId="23517"/>
    <cellStyle name="Normal 2 3 3 5 2 2 4 2" xfId="23518"/>
    <cellStyle name="Normal 2 3 3 5 2 2 5" xfId="23519"/>
    <cellStyle name="Normal 2 3 3 5 2 2 5 2" xfId="23520"/>
    <cellStyle name="Normal 2 3 3 5 2 2 6" xfId="23521"/>
    <cellStyle name="Normal 2 3 3 5 2 2 6 2" xfId="23522"/>
    <cellStyle name="Normal 2 3 3 5 2 2 7" xfId="23523"/>
    <cellStyle name="Normal 2 3 3 5 2 2 7 2" xfId="23524"/>
    <cellStyle name="Normal 2 3 3 5 2 2 8" xfId="23525"/>
    <cellStyle name="Normal 2 3 3 5 2 2 8 2" xfId="23526"/>
    <cellStyle name="Normal 2 3 3 5 2 2 9" xfId="23527"/>
    <cellStyle name="Normal 2 3 3 5 2 2 9 2" xfId="23528"/>
    <cellStyle name="Normal 2 3 3 5 2 3" xfId="23529"/>
    <cellStyle name="Normal 2 3 3 5 2 3 2" xfId="23530"/>
    <cellStyle name="Normal 2 3 3 5 2 4" xfId="23531"/>
    <cellStyle name="Normal 2 3 3 5 2 4 2" xfId="23532"/>
    <cellStyle name="Normal 2 3 3 5 2 5" xfId="23533"/>
    <cellStyle name="Normal 2 3 3 5 2 5 2" xfId="23534"/>
    <cellStyle name="Normal 2 3 3 5 2 6" xfId="23535"/>
    <cellStyle name="Normal 2 3 3 5 2 6 2" xfId="23536"/>
    <cellStyle name="Normal 2 3 3 5 2 7" xfId="23537"/>
    <cellStyle name="Normal 2 3 3 5 2 7 2" xfId="23538"/>
    <cellStyle name="Normal 2 3 3 5 2 8" xfId="23539"/>
    <cellStyle name="Normal 2 3 3 5 2 8 2" xfId="23540"/>
    <cellStyle name="Normal 2 3 3 5 2 9" xfId="23541"/>
    <cellStyle name="Normal 2 3 3 5 2 9 2" xfId="23542"/>
    <cellStyle name="Normal 2 3 3 5 3" xfId="23543"/>
    <cellStyle name="Normal 2 3 3 5 3 10" xfId="23544"/>
    <cellStyle name="Normal 2 3 3 5 3 10 2" xfId="23545"/>
    <cellStyle name="Normal 2 3 3 5 3 11" xfId="23546"/>
    <cellStyle name="Normal 2 3 3 5 3 2" xfId="23547"/>
    <cellStyle name="Normal 2 3 3 5 3 2 2" xfId="23548"/>
    <cellStyle name="Normal 2 3 3 5 3 3" xfId="23549"/>
    <cellStyle name="Normal 2 3 3 5 3 3 2" xfId="23550"/>
    <cellStyle name="Normal 2 3 3 5 3 4" xfId="23551"/>
    <cellStyle name="Normal 2 3 3 5 3 4 2" xfId="23552"/>
    <cellStyle name="Normal 2 3 3 5 3 5" xfId="23553"/>
    <cellStyle name="Normal 2 3 3 5 3 5 2" xfId="23554"/>
    <cellStyle name="Normal 2 3 3 5 3 6" xfId="23555"/>
    <cellStyle name="Normal 2 3 3 5 3 6 2" xfId="23556"/>
    <cellStyle name="Normal 2 3 3 5 3 7" xfId="23557"/>
    <cellStyle name="Normal 2 3 3 5 3 7 2" xfId="23558"/>
    <cellStyle name="Normal 2 3 3 5 3 8" xfId="23559"/>
    <cellStyle name="Normal 2 3 3 5 3 8 2" xfId="23560"/>
    <cellStyle name="Normal 2 3 3 5 3 9" xfId="23561"/>
    <cellStyle name="Normal 2 3 3 5 3 9 2" xfId="23562"/>
    <cellStyle name="Normal 2 3 3 5 4" xfId="23563"/>
    <cellStyle name="Normal 2 3 3 5 4 2" xfId="23564"/>
    <cellStyle name="Normal 2 3 3 5 5" xfId="23565"/>
    <cellStyle name="Normal 2 3 3 5 5 2" xfId="23566"/>
    <cellStyle name="Normal 2 3 3 5 6" xfId="23567"/>
    <cellStyle name="Normal 2 3 3 5 6 2" xfId="23568"/>
    <cellStyle name="Normal 2 3 3 5 7" xfId="23569"/>
    <cellStyle name="Normal 2 3 3 5 7 2" xfId="23570"/>
    <cellStyle name="Normal 2 3 3 5 8" xfId="23571"/>
    <cellStyle name="Normal 2 3 3 5 8 2" xfId="23572"/>
    <cellStyle name="Normal 2 3 3 5 9" xfId="23573"/>
    <cellStyle name="Normal 2 3 3 5 9 2" xfId="23574"/>
    <cellStyle name="Normal 2 3 3 6" xfId="23575"/>
    <cellStyle name="Normal 2 3 3 6 2" xfId="23576"/>
    <cellStyle name="Normal 2 3 3 6 2 10" xfId="23577"/>
    <cellStyle name="Normal 2 3 3 6 2 10 2" xfId="23578"/>
    <cellStyle name="Normal 2 3 3 6 2 11" xfId="23579"/>
    <cellStyle name="Normal 2 3 3 6 2 11 2" xfId="23580"/>
    <cellStyle name="Normal 2 3 3 6 2 12" xfId="23581"/>
    <cellStyle name="Normal 2 3 3 6 2 12 2" xfId="23582"/>
    <cellStyle name="Normal 2 3 3 6 2 13" xfId="23583"/>
    <cellStyle name="Normal 2 3 3 6 2 2" xfId="23584"/>
    <cellStyle name="Normal 2 3 3 6 2 2 10" xfId="23585"/>
    <cellStyle name="Normal 2 3 3 6 2 2 10 2" xfId="23586"/>
    <cellStyle name="Normal 2 3 3 6 2 2 11" xfId="23587"/>
    <cellStyle name="Normal 2 3 3 6 2 2 11 2" xfId="23588"/>
    <cellStyle name="Normal 2 3 3 6 2 2 12" xfId="23589"/>
    <cellStyle name="Normal 2 3 3 6 2 2 2" xfId="23590"/>
    <cellStyle name="Normal 2 3 3 6 2 2 2 10" xfId="23591"/>
    <cellStyle name="Normal 2 3 3 6 2 2 2 10 2" xfId="23592"/>
    <cellStyle name="Normal 2 3 3 6 2 2 2 11" xfId="23593"/>
    <cellStyle name="Normal 2 3 3 6 2 2 2 2" xfId="23594"/>
    <cellStyle name="Normal 2 3 3 6 2 2 2 2 2" xfId="23595"/>
    <cellStyle name="Normal 2 3 3 6 2 2 2 3" xfId="23596"/>
    <cellStyle name="Normal 2 3 3 6 2 2 2 3 2" xfId="23597"/>
    <cellStyle name="Normal 2 3 3 6 2 2 2 4" xfId="23598"/>
    <cellStyle name="Normal 2 3 3 6 2 2 2 4 2" xfId="23599"/>
    <cellStyle name="Normal 2 3 3 6 2 2 2 5" xfId="23600"/>
    <cellStyle name="Normal 2 3 3 6 2 2 2 5 2" xfId="23601"/>
    <cellStyle name="Normal 2 3 3 6 2 2 2 6" xfId="23602"/>
    <cellStyle name="Normal 2 3 3 6 2 2 2 6 2" xfId="23603"/>
    <cellStyle name="Normal 2 3 3 6 2 2 2 7" xfId="23604"/>
    <cellStyle name="Normal 2 3 3 6 2 2 2 7 2" xfId="23605"/>
    <cellStyle name="Normal 2 3 3 6 2 2 2 8" xfId="23606"/>
    <cellStyle name="Normal 2 3 3 6 2 2 2 8 2" xfId="23607"/>
    <cellStyle name="Normal 2 3 3 6 2 2 2 9" xfId="23608"/>
    <cellStyle name="Normal 2 3 3 6 2 2 2 9 2" xfId="23609"/>
    <cellStyle name="Normal 2 3 3 6 2 2 3" xfId="23610"/>
    <cellStyle name="Normal 2 3 3 6 2 2 3 2" xfId="23611"/>
    <cellStyle name="Normal 2 3 3 6 2 2 4" xfId="23612"/>
    <cellStyle name="Normal 2 3 3 6 2 2 4 2" xfId="23613"/>
    <cellStyle name="Normal 2 3 3 6 2 2 5" xfId="23614"/>
    <cellStyle name="Normal 2 3 3 6 2 2 5 2" xfId="23615"/>
    <cellStyle name="Normal 2 3 3 6 2 2 6" xfId="23616"/>
    <cellStyle name="Normal 2 3 3 6 2 2 6 2" xfId="23617"/>
    <cellStyle name="Normal 2 3 3 6 2 2 7" xfId="23618"/>
    <cellStyle name="Normal 2 3 3 6 2 2 7 2" xfId="23619"/>
    <cellStyle name="Normal 2 3 3 6 2 2 8" xfId="23620"/>
    <cellStyle name="Normal 2 3 3 6 2 2 8 2" xfId="23621"/>
    <cellStyle name="Normal 2 3 3 6 2 2 9" xfId="23622"/>
    <cellStyle name="Normal 2 3 3 6 2 2 9 2" xfId="23623"/>
    <cellStyle name="Normal 2 3 3 6 2 3" xfId="23624"/>
    <cellStyle name="Normal 2 3 3 6 2 3 10" xfId="23625"/>
    <cellStyle name="Normal 2 3 3 6 2 3 10 2" xfId="23626"/>
    <cellStyle name="Normal 2 3 3 6 2 3 11" xfId="23627"/>
    <cellStyle name="Normal 2 3 3 6 2 3 2" xfId="23628"/>
    <cellStyle name="Normal 2 3 3 6 2 3 2 2" xfId="23629"/>
    <cellStyle name="Normal 2 3 3 6 2 3 3" xfId="23630"/>
    <cellStyle name="Normal 2 3 3 6 2 3 3 2" xfId="23631"/>
    <cellStyle name="Normal 2 3 3 6 2 3 4" xfId="23632"/>
    <cellStyle name="Normal 2 3 3 6 2 3 4 2" xfId="23633"/>
    <cellStyle name="Normal 2 3 3 6 2 3 5" xfId="23634"/>
    <cellStyle name="Normal 2 3 3 6 2 3 5 2" xfId="23635"/>
    <cellStyle name="Normal 2 3 3 6 2 3 6" xfId="23636"/>
    <cellStyle name="Normal 2 3 3 6 2 3 6 2" xfId="23637"/>
    <cellStyle name="Normal 2 3 3 6 2 3 7" xfId="23638"/>
    <cellStyle name="Normal 2 3 3 6 2 3 7 2" xfId="23639"/>
    <cellStyle name="Normal 2 3 3 6 2 3 8" xfId="23640"/>
    <cellStyle name="Normal 2 3 3 6 2 3 8 2" xfId="23641"/>
    <cellStyle name="Normal 2 3 3 6 2 3 9" xfId="23642"/>
    <cellStyle name="Normal 2 3 3 6 2 3 9 2" xfId="23643"/>
    <cellStyle name="Normal 2 3 3 6 2 4" xfId="23644"/>
    <cellStyle name="Normal 2 3 3 6 2 4 2" xfId="23645"/>
    <cellStyle name="Normal 2 3 3 6 2 5" xfId="23646"/>
    <cellStyle name="Normal 2 3 3 6 2 5 2" xfId="23647"/>
    <cellStyle name="Normal 2 3 3 6 2 6" xfId="23648"/>
    <cellStyle name="Normal 2 3 3 6 2 6 2" xfId="23649"/>
    <cellStyle name="Normal 2 3 3 6 2 7" xfId="23650"/>
    <cellStyle name="Normal 2 3 3 6 2 7 2" xfId="23651"/>
    <cellStyle name="Normal 2 3 3 6 2 8" xfId="23652"/>
    <cellStyle name="Normal 2 3 3 6 2 8 2" xfId="23653"/>
    <cellStyle name="Normal 2 3 3 6 2 9" xfId="23654"/>
    <cellStyle name="Normal 2 3 3 6 2 9 2" xfId="23655"/>
    <cellStyle name="Normal 2 3 3 6 3" xfId="23656"/>
    <cellStyle name="Normal 2 3 3 6 3 10" xfId="23657"/>
    <cellStyle name="Normal 2 3 3 6 3 10 2" xfId="23658"/>
    <cellStyle name="Normal 2 3 3 6 3 11" xfId="23659"/>
    <cellStyle name="Normal 2 3 3 6 3 11 2" xfId="23660"/>
    <cellStyle name="Normal 2 3 3 6 3 12" xfId="23661"/>
    <cellStyle name="Normal 2 3 3 6 3 12 2" xfId="23662"/>
    <cellStyle name="Normal 2 3 3 6 3 13" xfId="23663"/>
    <cellStyle name="Normal 2 3 3 6 3 2" xfId="23664"/>
    <cellStyle name="Normal 2 3 3 6 3 2 10" xfId="23665"/>
    <cellStyle name="Normal 2 3 3 6 3 2 10 2" xfId="23666"/>
    <cellStyle name="Normal 2 3 3 6 3 2 11" xfId="23667"/>
    <cellStyle name="Normal 2 3 3 6 3 2 11 2" xfId="23668"/>
    <cellStyle name="Normal 2 3 3 6 3 2 12" xfId="23669"/>
    <cellStyle name="Normal 2 3 3 6 3 2 2" xfId="23670"/>
    <cellStyle name="Normal 2 3 3 6 3 2 2 10" xfId="23671"/>
    <cellStyle name="Normal 2 3 3 6 3 2 2 10 2" xfId="23672"/>
    <cellStyle name="Normal 2 3 3 6 3 2 2 11" xfId="23673"/>
    <cellStyle name="Normal 2 3 3 6 3 2 2 2" xfId="23674"/>
    <cellStyle name="Normal 2 3 3 6 3 2 2 2 2" xfId="23675"/>
    <cellStyle name="Normal 2 3 3 6 3 2 2 3" xfId="23676"/>
    <cellStyle name="Normal 2 3 3 6 3 2 2 3 2" xfId="23677"/>
    <cellStyle name="Normal 2 3 3 6 3 2 2 4" xfId="23678"/>
    <cellStyle name="Normal 2 3 3 6 3 2 2 4 2" xfId="23679"/>
    <cellStyle name="Normal 2 3 3 6 3 2 2 5" xfId="23680"/>
    <cellStyle name="Normal 2 3 3 6 3 2 2 5 2" xfId="23681"/>
    <cellStyle name="Normal 2 3 3 6 3 2 2 6" xfId="23682"/>
    <cellStyle name="Normal 2 3 3 6 3 2 2 6 2" xfId="23683"/>
    <cellStyle name="Normal 2 3 3 6 3 2 2 7" xfId="23684"/>
    <cellStyle name="Normal 2 3 3 6 3 2 2 7 2" xfId="23685"/>
    <cellStyle name="Normal 2 3 3 6 3 2 2 8" xfId="23686"/>
    <cellStyle name="Normal 2 3 3 6 3 2 2 8 2" xfId="23687"/>
    <cellStyle name="Normal 2 3 3 6 3 2 2 9" xfId="23688"/>
    <cellStyle name="Normal 2 3 3 6 3 2 2 9 2" xfId="23689"/>
    <cellStyle name="Normal 2 3 3 6 3 2 3" xfId="23690"/>
    <cellStyle name="Normal 2 3 3 6 3 2 3 2" xfId="23691"/>
    <cellStyle name="Normal 2 3 3 6 3 2 4" xfId="23692"/>
    <cellStyle name="Normal 2 3 3 6 3 2 4 2" xfId="23693"/>
    <cellStyle name="Normal 2 3 3 6 3 2 5" xfId="23694"/>
    <cellStyle name="Normal 2 3 3 6 3 2 5 2" xfId="23695"/>
    <cellStyle name="Normal 2 3 3 6 3 2 6" xfId="23696"/>
    <cellStyle name="Normal 2 3 3 6 3 2 6 2" xfId="23697"/>
    <cellStyle name="Normal 2 3 3 6 3 2 7" xfId="23698"/>
    <cellStyle name="Normal 2 3 3 6 3 2 7 2" xfId="23699"/>
    <cellStyle name="Normal 2 3 3 6 3 2 8" xfId="23700"/>
    <cellStyle name="Normal 2 3 3 6 3 2 8 2" xfId="23701"/>
    <cellStyle name="Normal 2 3 3 6 3 2 9" xfId="23702"/>
    <cellStyle name="Normal 2 3 3 6 3 2 9 2" xfId="23703"/>
    <cellStyle name="Normal 2 3 3 6 3 3" xfId="23704"/>
    <cellStyle name="Normal 2 3 3 6 3 3 10" xfId="23705"/>
    <cellStyle name="Normal 2 3 3 6 3 3 10 2" xfId="23706"/>
    <cellStyle name="Normal 2 3 3 6 3 3 11" xfId="23707"/>
    <cellStyle name="Normal 2 3 3 6 3 3 2" xfId="23708"/>
    <cellStyle name="Normal 2 3 3 6 3 3 2 2" xfId="23709"/>
    <cellStyle name="Normal 2 3 3 6 3 3 3" xfId="23710"/>
    <cellStyle name="Normal 2 3 3 6 3 3 3 2" xfId="23711"/>
    <cellStyle name="Normal 2 3 3 6 3 3 4" xfId="23712"/>
    <cellStyle name="Normal 2 3 3 6 3 3 4 2" xfId="23713"/>
    <cellStyle name="Normal 2 3 3 6 3 3 5" xfId="23714"/>
    <cellStyle name="Normal 2 3 3 6 3 3 5 2" xfId="23715"/>
    <cellStyle name="Normal 2 3 3 6 3 3 6" xfId="23716"/>
    <cellStyle name="Normal 2 3 3 6 3 3 6 2" xfId="23717"/>
    <cellStyle name="Normal 2 3 3 6 3 3 7" xfId="23718"/>
    <cellStyle name="Normal 2 3 3 6 3 3 7 2" xfId="23719"/>
    <cellStyle name="Normal 2 3 3 6 3 3 8" xfId="23720"/>
    <cellStyle name="Normal 2 3 3 6 3 3 8 2" xfId="23721"/>
    <cellStyle name="Normal 2 3 3 6 3 3 9" xfId="23722"/>
    <cellStyle name="Normal 2 3 3 6 3 3 9 2" xfId="23723"/>
    <cellStyle name="Normal 2 3 3 6 3 4" xfId="23724"/>
    <cellStyle name="Normal 2 3 3 6 3 4 2" xfId="23725"/>
    <cellStyle name="Normal 2 3 3 6 3 5" xfId="23726"/>
    <cellStyle name="Normal 2 3 3 6 3 5 2" xfId="23727"/>
    <cellStyle name="Normal 2 3 3 6 3 6" xfId="23728"/>
    <cellStyle name="Normal 2 3 3 6 3 6 2" xfId="23729"/>
    <cellStyle name="Normal 2 3 3 6 3 7" xfId="23730"/>
    <cellStyle name="Normal 2 3 3 6 3 7 2" xfId="23731"/>
    <cellStyle name="Normal 2 3 3 6 3 8" xfId="23732"/>
    <cellStyle name="Normal 2 3 3 6 3 8 2" xfId="23733"/>
    <cellStyle name="Normal 2 3 3 6 3 9" xfId="23734"/>
    <cellStyle name="Normal 2 3 3 6 3 9 2" xfId="23735"/>
    <cellStyle name="Normal 2 3 3 6 4" xfId="23736"/>
    <cellStyle name="Normal 2 3 3 6 4 10" xfId="23737"/>
    <cellStyle name="Normal 2 3 3 6 4 10 2" xfId="23738"/>
    <cellStyle name="Normal 2 3 3 6 4 11" xfId="23739"/>
    <cellStyle name="Normal 2 3 3 6 4 11 2" xfId="23740"/>
    <cellStyle name="Normal 2 3 3 6 4 12" xfId="23741"/>
    <cellStyle name="Normal 2 3 3 6 4 12 2" xfId="23742"/>
    <cellStyle name="Normal 2 3 3 6 4 13" xfId="23743"/>
    <cellStyle name="Normal 2 3 3 6 4 2" xfId="23744"/>
    <cellStyle name="Normal 2 3 3 6 4 2 10" xfId="23745"/>
    <cellStyle name="Normal 2 3 3 6 4 2 10 2" xfId="23746"/>
    <cellStyle name="Normal 2 3 3 6 4 2 11" xfId="23747"/>
    <cellStyle name="Normal 2 3 3 6 4 2 11 2" xfId="23748"/>
    <cellStyle name="Normal 2 3 3 6 4 2 12" xfId="23749"/>
    <cellStyle name="Normal 2 3 3 6 4 2 2" xfId="23750"/>
    <cellStyle name="Normal 2 3 3 6 4 2 2 10" xfId="23751"/>
    <cellStyle name="Normal 2 3 3 6 4 2 2 10 2" xfId="23752"/>
    <cellStyle name="Normal 2 3 3 6 4 2 2 11" xfId="23753"/>
    <cellStyle name="Normal 2 3 3 6 4 2 2 2" xfId="23754"/>
    <cellStyle name="Normal 2 3 3 6 4 2 2 2 2" xfId="23755"/>
    <cellStyle name="Normal 2 3 3 6 4 2 2 3" xfId="23756"/>
    <cellStyle name="Normal 2 3 3 6 4 2 2 3 2" xfId="23757"/>
    <cellStyle name="Normal 2 3 3 6 4 2 2 4" xfId="23758"/>
    <cellStyle name="Normal 2 3 3 6 4 2 2 4 2" xfId="23759"/>
    <cellStyle name="Normal 2 3 3 6 4 2 2 5" xfId="23760"/>
    <cellStyle name="Normal 2 3 3 6 4 2 2 5 2" xfId="23761"/>
    <cellStyle name="Normal 2 3 3 6 4 2 2 6" xfId="23762"/>
    <cellStyle name="Normal 2 3 3 6 4 2 2 6 2" xfId="23763"/>
    <cellStyle name="Normal 2 3 3 6 4 2 2 7" xfId="23764"/>
    <cellStyle name="Normal 2 3 3 6 4 2 2 7 2" xfId="23765"/>
    <cellStyle name="Normal 2 3 3 6 4 2 2 8" xfId="23766"/>
    <cellStyle name="Normal 2 3 3 6 4 2 2 8 2" xfId="23767"/>
    <cellStyle name="Normal 2 3 3 6 4 2 2 9" xfId="23768"/>
    <cellStyle name="Normal 2 3 3 6 4 2 2 9 2" xfId="23769"/>
    <cellStyle name="Normal 2 3 3 6 4 2 3" xfId="23770"/>
    <cellStyle name="Normal 2 3 3 6 4 2 3 2" xfId="23771"/>
    <cellStyle name="Normal 2 3 3 6 4 2 4" xfId="23772"/>
    <cellStyle name="Normal 2 3 3 6 4 2 4 2" xfId="23773"/>
    <cellStyle name="Normal 2 3 3 6 4 2 5" xfId="23774"/>
    <cellStyle name="Normal 2 3 3 6 4 2 5 2" xfId="23775"/>
    <cellStyle name="Normal 2 3 3 6 4 2 6" xfId="23776"/>
    <cellStyle name="Normal 2 3 3 6 4 2 6 2" xfId="23777"/>
    <cellStyle name="Normal 2 3 3 6 4 2 7" xfId="23778"/>
    <cellStyle name="Normal 2 3 3 6 4 2 7 2" xfId="23779"/>
    <cellStyle name="Normal 2 3 3 6 4 2 8" xfId="23780"/>
    <cellStyle name="Normal 2 3 3 6 4 2 8 2" xfId="23781"/>
    <cellStyle name="Normal 2 3 3 6 4 2 9" xfId="23782"/>
    <cellStyle name="Normal 2 3 3 6 4 2 9 2" xfId="23783"/>
    <cellStyle name="Normal 2 3 3 6 4 3" xfId="23784"/>
    <cellStyle name="Normal 2 3 3 6 4 3 10" xfId="23785"/>
    <cellStyle name="Normal 2 3 3 6 4 3 10 2" xfId="23786"/>
    <cellStyle name="Normal 2 3 3 6 4 3 11" xfId="23787"/>
    <cellStyle name="Normal 2 3 3 6 4 3 2" xfId="23788"/>
    <cellStyle name="Normal 2 3 3 6 4 3 2 2" xfId="23789"/>
    <cellStyle name="Normal 2 3 3 6 4 3 3" xfId="23790"/>
    <cellStyle name="Normal 2 3 3 6 4 3 3 2" xfId="23791"/>
    <cellStyle name="Normal 2 3 3 6 4 3 4" xfId="23792"/>
    <cellStyle name="Normal 2 3 3 6 4 3 4 2" xfId="23793"/>
    <cellStyle name="Normal 2 3 3 6 4 3 5" xfId="23794"/>
    <cellStyle name="Normal 2 3 3 6 4 3 5 2" xfId="23795"/>
    <cellStyle name="Normal 2 3 3 6 4 3 6" xfId="23796"/>
    <cellStyle name="Normal 2 3 3 6 4 3 6 2" xfId="23797"/>
    <cellStyle name="Normal 2 3 3 6 4 3 7" xfId="23798"/>
    <cellStyle name="Normal 2 3 3 6 4 3 7 2" xfId="23799"/>
    <cellStyle name="Normal 2 3 3 6 4 3 8" xfId="23800"/>
    <cellStyle name="Normal 2 3 3 6 4 3 8 2" xfId="23801"/>
    <cellStyle name="Normal 2 3 3 6 4 3 9" xfId="23802"/>
    <cellStyle name="Normal 2 3 3 6 4 3 9 2" xfId="23803"/>
    <cellStyle name="Normal 2 3 3 6 4 4" xfId="23804"/>
    <cellStyle name="Normal 2 3 3 6 4 4 2" xfId="23805"/>
    <cellStyle name="Normal 2 3 3 6 4 5" xfId="23806"/>
    <cellStyle name="Normal 2 3 3 6 4 5 2" xfId="23807"/>
    <cellStyle name="Normal 2 3 3 6 4 6" xfId="23808"/>
    <cellStyle name="Normal 2 3 3 6 4 6 2" xfId="23809"/>
    <cellStyle name="Normal 2 3 3 6 4 7" xfId="23810"/>
    <cellStyle name="Normal 2 3 3 6 4 7 2" xfId="23811"/>
    <cellStyle name="Normal 2 3 3 6 4 8" xfId="23812"/>
    <cellStyle name="Normal 2 3 3 6 4 8 2" xfId="23813"/>
    <cellStyle name="Normal 2 3 3 6 4 9" xfId="23814"/>
    <cellStyle name="Normal 2 3 3 6 4 9 2" xfId="23815"/>
    <cellStyle name="Normal 2 3 3 6 5" xfId="23816"/>
    <cellStyle name="Normal 2 3 3 6 5 10" xfId="23817"/>
    <cellStyle name="Normal 2 3 3 6 5 10 2" xfId="23818"/>
    <cellStyle name="Normal 2 3 3 6 5 11" xfId="23819"/>
    <cellStyle name="Normal 2 3 3 6 5 11 2" xfId="23820"/>
    <cellStyle name="Normal 2 3 3 6 5 12" xfId="23821"/>
    <cellStyle name="Normal 2 3 3 6 5 12 2" xfId="23822"/>
    <cellStyle name="Normal 2 3 3 6 5 13" xfId="23823"/>
    <cellStyle name="Normal 2 3 3 6 5 2" xfId="23824"/>
    <cellStyle name="Normal 2 3 3 6 5 2 10" xfId="23825"/>
    <cellStyle name="Normal 2 3 3 6 5 2 10 2" xfId="23826"/>
    <cellStyle name="Normal 2 3 3 6 5 2 11" xfId="23827"/>
    <cellStyle name="Normal 2 3 3 6 5 2 11 2" xfId="23828"/>
    <cellStyle name="Normal 2 3 3 6 5 2 12" xfId="23829"/>
    <cellStyle name="Normal 2 3 3 6 5 2 2" xfId="23830"/>
    <cellStyle name="Normal 2 3 3 6 5 2 2 10" xfId="23831"/>
    <cellStyle name="Normal 2 3 3 6 5 2 2 10 2" xfId="23832"/>
    <cellStyle name="Normal 2 3 3 6 5 2 2 11" xfId="23833"/>
    <cellStyle name="Normal 2 3 3 6 5 2 2 2" xfId="23834"/>
    <cellStyle name="Normal 2 3 3 6 5 2 2 2 2" xfId="23835"/>
    <cellStyle name="Normal 2 3 3 6 5 2 2 3" xfId="23836"/>
    <cellStyle name="Normal 2 3 3 6 5 2 2 3 2" xfId="23837"/>
    <cellStyle name="Normal 2 3 3 6 5 2 2 4" xfId="23838"/>
    <cellStyle name="Normal 2 3 3 6 5 2 2 4 2" xfId="23839"/>
    <cellStyle name="Normal 2 3 3 6 5 2 2 5" xfId="23840"/>
    <cellStyle name="Normal 2 3 3 6 5 2 2 5 2" xfId="23841"/>
    <cellStyle name="Normal 2 3 3 6 5 2 2 6" xfId="23842"/>
    <cellStyle name="Normal 2 3 3 6 5 2 2 6 2" xfId="23843"/>
    <cellStyle name="Normal 2 3 3 6 5 2 2 7" xfId="23844"/>
    <cellStyle name="Normal 2 3 3 6 5 2 2 7 2" xfId="23845"/>
    <cellStyle name="Normal 2 3 3 6 5 2 2 8" xfId="23846"/>
    <cellStyle name="Normal 2 3 3 6 5 2 2 8 2" xfId="23847"/>
    <cellStyle name="Normal 2 3 3 6 5 2 2 9" xfId="23848"/>
    <cellStyle name="Normal 2 3 3 6 5 2 2 9 2" xfId="23849"/>
    <cellStyle name="Normal 2 3 3 6 5 2 3" xfId="23850"/>
    <cellStyle name="Normal 2 3 3 6 5 2 3 2" xfId="23851"/>
    <cellStyle name="Normal 2 3 3 6 5 2 4" xfId="23852"/>
    <cellStyle name="Normal 2 3 3 6 5 2 4 2" xfId="23853"/>
    <cellStyle name="Normal 2 3 3 6 5 2 5" xfId="23854"/>
    <cellStyle name="Normal 2 3 3 6 5 2 5 2" xfId="23855"/>
    <cellStyle name="Normal 2 3 3 6 5 2 6" xfId="23856"/>
    <cellStyle name="Normal 2 3 3 6 5 2 6 2" xfId="23857"/>
    <cellStyle name="Normal 2 3 3 6 5 2 7" xfId="23858"/>
    <cellStyle name="Normal 2 3 3 6 5 2 7 2" xfId="23859"/>
    <cellStyle name="Normal 2 3 3 6 5 2 8" xfId="23860"/>
    <cellStyle name="Normal 2 3 3 6 5 2 8 2" xfId="23861"/>
    <cellStyle name="Normal 2 3 3 6 5 2 9" xfId="23862"/>
    <cellStyle name="Normal 2 3 3 6 5 2 9 2" xfId="23863"/>
    <cellStyle name="Normal 2 3 3 6 5 3" xfId="23864"/>
    <cellStyle name="Normal 2 3 3 6 5 3 10" xfId="23865"/>
    <cellStyle name="Normal 2 3 3 6 5 3 10 2" xfId="23866"/>
    <cellStyle name="Normal 2 3 3 6 5 3 11" xfId="23867"/>
    <cellStyle name="Normal 2 3 3 6 5 3 2" xfId="23868"/>
    <cellStyle name="Normal 2 3 3 6 5 3 2 2" xfId="23869"/>
    <cellStyle name="Normal 2 3 3 6 5 3 3" xfId="23870"/>
    <cellStyle name="Normal 2 3 3 6 5 3 3 2" xfId="23871"/>
    <cellStyle name="Normal 2 3 3 6 5 3 4" xfId="23872"/>
    <cellStyle name="Normal 2 3 3 6 5 3 4 2" xfId="23873"/>
    <cellStyle name="Normal 2 3 3 6 5 3 5" xfId="23874"/>
    <cellStyle name="Normal 2 3 3 6 5 3 5 2" xfId="23875"/>
    <cellStyle name="Normal 2 3 3 6 5 3 6" xfId="23876"/>
    <cellStyle name="Normal 2 3 3 6 5 3 6 2" xfId="23877"/>
    <cellStyle name="Normal 2 3 3 6 5 3 7" xfId="23878"/>
    <cellStyle name="Normal 2 3 3 6 5 3 7 2" xfId="23879"/>
    <cellStyle name="Normal 2 3 3 6 5 3 8" xfId="23880"/>
    <cellStyle name="Normal 2 3 3 6 5 3 8 2" xfId="23881"/>
    <cellStyle name="Normal 2 3 3 6 5 3 9" xfId="23882"/>
    <cellStyle name="Normal 2 3 3 6 5 3 9 2" xfId="23883"/>
    <cellStyle name="Normal 2 3 3 6 5 4" xfId="23884"/>
    <cellStyle name="Normal 2 3 3 6 5 4 2" xfId="23885"/>
    <cellStyle name="Normal 2 3 3 6 5 5" xfId="23886"/>
    <cellStyle name="Normal 2 3 3 6 5 5 2" xfId="23887"/>
    <cellStyle name="Normal 2 3 3 6 5 6" xfId="23888"/>
    <cellStyle name="Normal 2 3 3 6 5 6 2" xfId="23889"/>
    <cellStyle name="Normal 2 3 3 6 5 7" xfId="23890"/>
    <cellStyle name="Normal 2 3 3 6 5 7 2" xfId="23891"/>
    <cellStyle name="Normal 2 3 3 6 5 8" xfId="23892"/>
    <cellStyle name="Normal 2 3 3 6 5 8 2" xfId="23893"/>
    <cellStyle name="Normal 2 3 3 6 5 9" xfId="23894"/>
    <cellStyle name="Normal 2 3 3 6 5 9 2" xfId="23895"/>
    <cellStyle name="Normal 2 3 3 6 6" xfId="23896"/>
    <cellStyle name="Normal 2 3 3 7" xfId="23897"/>
    <cellStyle name="Normal 2 3 3 7 2" xfId="23898"/>
    <cellStyle name="Normal 2 3 3 8" xfId="23899"/>
    <cellStyle name="Normal 2 3 3 8 2" xfId="23900"/>
    <cellStyle name="Normal 2 3 3 9" xfId="23901"/>
    <cellStyle name="Normal 2 3 3 9 2" xfId="23902"/>
    <cellStyle name="Normal 2 3 4" xfId="23903"/>
    <cellStyle name="Normal 2 3 4 2" xfId="23904"/>
    <cellStyle name="Normal 2 3 5" xfId="23905"/>
    <cellStyle name="Normal 2 3 5 2" xfId="23906"/>
    <cellStyle name="Normal 2 3 6" xfId="23907"/>
    <cellStyle name="Normal 2 3 6 2" xfId="23908"/>
    <cellStyle name="Normal 2 3 7" xfId="23909"/>
    <cellStyle name="Normal 2 3 7 2" xfId="23910"/>
    <cellStyle name="Normal 2 3 8" xfId="23911"/>
    <cellStyle name="Normal 2 3 8 2" xfId="23912"/>
    <cellStyle name="Normal 2 3 9" xfId="23913"/>
    <cellStyle name="Normal 2 3 9 10" xfId="23914"/>
    <cellStyle name="Normal 2 3 9 10 2" xfId="23915"/>
    <cellStyle name="Normal 2 3 9 11" xfId="23916"/>
    <cellStyle name="Normal 2 3 9 11 2" xfId="23917"/>
    <cellStyle name="Normal 2 3 9 12" xfId="23918"/>
    <cellStyle name="Normal 2 3 9 12 2" xfId="23919"/>
    <cellStyle name="Normal 2 3 9 13" xfId="23920"/>
    <cellStyle name="Normal 2 3 9 13 2" xfId="23921"/>
    <cellStyle name="Normal 2 3 9 14" xfId="23922"/>
    <cellStyle name="Normal 2 3 9 14 2" xfId="23923"/>
    <cellStyle name="Normal 2 3 9 15" xfId="23924"/>
    <cellStyle name="Normal 2 3 9 15 2" xfId="23925"/>
    <cellStyle name="Normal 2 3 9 16" xfId="23926"/>
    <cellStyle name="Normal 2 3 9 16 2" xfId="23927"/>
    <cellStyle name="Normal 2 3 9 17" xfId="23928"/>
    <cellStyle name="Normal 2 3 9 17 2" xfId="23929"/>
    <cellStyle name="Normal 2 3 9 18" xfId="23930"/>
    <cellStyle name="Normal 2 3 9 2" xfId="23931"/>
    <cellStyle name="Normal 2 3 9 2 2" xfId="23932"/>
    <cellStyle name="Normal 2 3 9 2 2 10" xfId="23933"/>
    <cellStyle name="Normal 2 3 9 2 2 10 2" xfId="23934"/>
    <cellStyle name="Normal 2 3 9 2 2 11" xfId="23935"/>
    <cellStyle name="Normal 2 3 9 2 2 11 2" xfId="23936"/>
    <cellStyle name="Normal 2 3 9 2 2 12" xfId="23937"/>
    <cellStyle name="Normal 2 3 9 2 2 12 2" xfId="23938"/>
    <cellStyle name="Normal 2 3 9 2 2 13" xfId="23939"/>
    <cellStyle name="Normal 2 3 9 2 2 13 2" xfId="23940"/>
    <cellStyle name="Normal 2 3 9 2 2 14" xfId="23941"/>
    <cellStyle name="Normal 2 3 9 2 2 14 2" xfId="23942"/>
    <cellStyle name="Normal 2 3 9 2 2 15" xfId="23943"/>
    <cellStyle name="Normal 2 3 9 2 2 15 2" xfId="23944"/>
    <cellStyle name="Normal 2 3 9 2 2 16" xfId="23945"/>
    <cellStyle name="Normal 2 3 9 2 2 16 2" xfId="23946"/>
    <cellStyle name="Normal 2 3 9 2 2 17" xfId="23947"/>
    <cellStyle name="Normal 2 3 9 2 2 2" xfId="23948"/>
    <cellStyle name="Normal 2 3 9 2 2 2 2" xfId="23949"/>
    <cellStyle name="Normal 2 3 9 2 2 3" xfId="23950"/>
    <cellStyle name="Normal 2 3 9 2 2 3 2" xfId="23951"/>
    <cellStyle name="Normal 2 3 9 2 2 4" xfId="23952"/>
    <cellStyle name="Normal 2 3 9 2 2 4 2" xfId="23953"/>
    <cellStyle name="Normal 2 3 9 2 2 5" xfId="23954"/>
    <cellStyle name="Normal 2 3 9 2 2 5 2" xfId="23955"/>
    <cellStyle name="Normal 2 3 9 2 2 6" xfId="23956"/>
    <cellStyle name="Normal 2 3 9 2 2 6 10" xfId="23957"/>
    <cellStyle name="Normal 2 3 9 2 2 6 10 2" xfId="23958"/>
    <cellStyle name="Normal 2 3 9 2 2 6 11" xfId="23959"/>
    <cellStyle name="Normal 2 3 9 2 2 6 11 2" xfId="23960"/>
    <cellStyle name="Normal 2 3 9 2 2 6 12" xfId="23961"/>
    <cellStyle name="Normal 2 3 9 2 2 6 2" xfId="23962"/>
    <cellStyle name="Normal 2 3 9 2 2 6 2 10" xfId="23963"/>
    <cellStyle name="Normal 2 3 9 2 2 6 2 10 2" xfId="23964"/>
    <cellStyle name="Normal 2 3 9 2 2 6 2 11" xfId="23965"/>
    <cellStyle name="Normal 2 3 9 2 2 6 2 2" xfId="23966"/>
    <cellStyle name="Normal 2 3 9 2 2 6 2 2 2" xfId="23967"/>
    <cellStyle name="Normal 2 3 9 2 2 6 2 3" xfId="23968"/>
    <cellStyle name="Normal 2 3 9 2 2 6 2 3 2" xfId="23969"/>
    <cellStyle name="Normal 2 3 9 2 2 6 2 4" xfId="23970"/>
    <cellStyle name="Normal 2 3 9 2 2 6 2 4 2" xfId="23971"/>
    <cellStyle name="Normal 2 3 9 2 2 6 2 5" xfId="23972"/>
    <cellStyle name="Normal 2 3 9 2 2 6 2 5 2" xfId="23973"/>
    <cellStyle name="Normal 2 3 9 2 2 6 2 6" xfId="23974"/>
    <cellStyle name="Normal 2 3 9 2 2 6 2 6 2" xfId="23975"/>
    <cellStyle name="Normal 2 3 9 2 2 6 2 7" xfId="23976"/>
    <cellStyle name="Normal 2 3 9 2 2 6 2 7 2" xfId="23977"/>
    <cellStyle name="Normal 2 3 9 2 2 6 2 8" xfId="23978"/>
    <cellStyle name="Normal 2 3 9 2 2 6 2 8 2" xfId="23979"/>
    <cellStyle name="Normal 2 3 9 2 2 6 2 9" xfId="23980"/>
    <cellStyle name="Normal 2 3 9 2 2 6 2 9 2" xfId="23981"/>
    <cellStyle name="Normal 2 3 9 2 2 6 3" xfId="23982"/>
    <cellStyle name="Normal 2 3 9 2 2 6 3 2" xfId="23983"/>
    <cellStyle name="Normal 2 3 9 2 2 6 4" xfId="23984"/>
    <cellStyle name="Normal 2 3 9 2 2 6 4 2" xfId="23985"/>
    <cellStyle name="Normal 2 3 9 2 2 6 5" xfId="23986"/>
    <cellStyle name="Normal 2 3 9 2 2 6 5 2" xfId="23987"/>
    <cellStyle name="Normal 2 3 9 2 2 6 6" xfId="23988"/>
    <cellStyle name="Normal 2 3 9 2 2 6 6 2" xfId="23989"/>
    <cellStyle name="Normal 2 3 9 2 2 6 7" xfId="23990"/>
    <cellStyle name="Normal 2 3 9 2 2 6 7 2" xfId="23991"/>
    <cellStyle name="Normal 2 3 9 2 2 6 8" xfId="23992"/>
    <cellStyle name="Normal 2 3 9 2 2 6 8 2" xfId="23993"/>
    <cellStyle name="Normal 2 3 9 2 2 6 9" xfId="23994"/>
    <cellStyle name="Normal 2 3 9 2 2 6 9 2" xfId="23995"/>
    <cellStyle name="Normal 2 3 9 2 2 7" xfId="23996"/>
    <cellStyle name="Normal 2 3 9 2 2 7 10" xfId="23997"/>
    <cellStyle name="Normal 2 3 9 2 2 7 10 2" xfId="23998"/>
    <cellStyle name="Normal 2 3 9 2 2 7 11" xfId="23999"/>
    <cellStyle name="Normal 2 3 9 2 2 7 2" xfId="24000"/>
    <cellStyle name="Normal 2 3 9 2 2 7 2 2" xfId="24001"/>
    <cellStyle name="Normal 2 3 9 2 2 7 3" xfId="24002"/>
    <cellStyle name="Normal 2 3 9 2 2 7 3 2" xfId="24003"/>
    <cellStyle name="Normal 2 3 9 2 2 7 4" xfId="24004"/>
    <cellStyle name="Normal 2 3 9 2 2 7 4 2" xfId="24005"/>
    <cellStyle name="Normal 2 3 9 2 2 7 5" xfId="24006"/>
    <cellStyle name="Normal 2 3 9 2 2 7 5 2" xfId="24007"/>
    <cellStyle name="Normal 2 3 9 2 2 7 6" xfId="24008"/>
    <cellStyle name="Normal 2 3 9 2 2 7 6 2" xfId="24009"/>
    <cellStyle name="Normal 2 3 9 2 2 7 7" xfId="24010"/>
    <cellStyle name="Normal 2 3 9 2 2 7 7 2" xfId="24011"/>
    <cellStyle name="Normal 2 3 9 2 2 7 8" xfId="24012"/>
    <cellStyle name="Normal 2 3 9 2 2 7 8 2" xfId="24013"/>
    <cellStyle name="Normal 2 3 9 2 2 7 9" xfId="24014"/>
    <cellStyle name="Normal 2 3 9 2 2 7 9 2" xfId="24015"/>
    <cellStyle name="Normal 2 3 9 2 2 8" xfId="24016"/>
    <cellStyle name="Normal 2 3 9 2 2 8 2" xfId="24017"/>
    <cellStyle name="Normal 2 3 9 2 2 9" xfId="24018"/>
    <cellStyle name="Normal 2 3 9 2 2 9 2" xfId="24019"/>
    <cellStyle name="Normal 2 3 9 2 3" xfId="24020"/>
    <cellStyle name="Normal 2 3 9 2 3 10" xfId="24021"/>
    <cellStyle name="Normal 2 3 9 2 3 10 2" xfId="24022"/>
    <cellStyle name="Normal 2 3 9 2 3 11" xfId="24023"/>
    <cellStyle name="Normal 2 3 9 2 3 11 2" xfId="24024"/>
    <cellStyle name="Normal 2 3 9 2 3 12" xfId="24025"/>
    <cellStyle name="Normal 2 3 9 2 3 12 2" xfId="24026"/>
    <cellStyle name="Normal 2 3 9 2 3 13" xfId="24027"/>
    <cellStyle name="Normal 2 3 9 2 3 2" xfId="24028"/>
    <cellStyle name="Normal 2 3 9 2 3 2 10" xfId="24029"/>
    <cellStyle name="Normal 2 3 9 2 3 2 10 2" xfId="24030"/>
    <cellStyle name="Normal 2 3 9 2 3 2 11" xfId="24031"/>
    <cellStyle name="Normal 2 3 9 2 3 2 11 2" xfId="24032"/>
    <cellStyle name="Normal 2 3 9 2 3 2 12" xfId="24033"/>
    <cellStyle name="Normal 2 3 9 2 3 2 2" xfId="24034"/>
    <cellStyle name="Normal 2 3 9 2 3 2 2 10" xfId="24035"/>
    <cellStyle name="Normal 2 3 9 2 3 2 2 10 2" xfId="24036"/>
    <cellStyle name="Normal 2 3 9 2 3 2 2 11" xfId="24037"/>
    <cellStyle name="Normal 2 3 9 2 3 2 2 2" xfId="24038"/>
    <cellStyle name="Normal 2 3 9 2 3 2 2 2 2" xfId="24039"/>
    <cellStyle name="Normal 2 3 9 2 3 2 2 3" xfId="24040"/>
    <cellStyle name="Normal 2 3 9 2 3 2 2 3 2" xfId="24041"/>
    <cellStyle name="Normal 2 3 9 2 3 2 2 4" xfId="24042"/>
    <cellStyle name="Normal 2 3 9 2 3 2 2 4 2" xfId="24043"/>
    <cellStyle name="Normal 2 3 9 2 3 2 2 5" xfId="24044"/>
    <cellStyle name="Normal 2 3 9 2 3 2 2 5 2" xfId="24045"/>
    <cellStyle name="Normal 2 3 9 2 3 2 2 6" xfId="24046"/>
    <cellStyle name="Normal 2 3 9 2 3 2 2 6 2" xfId="24047"/>
    <cellStyle name="Normal 2 3 9 2 3 2 2 7" xfId="24048"/>
    <cellStyle name="Normal 2 3 9 2 3 2 2 7 2" xfId="24049"/>
    <cellStyle name="Normal 2 3 9 2 3 2 2 8" xfId="24050"/>
    <cellStyle name="Normal 2 3 9 2 3 2 2 8 2" xfId="24051"/>
    <cellStyle name="Normal 2 3 9 2 3 2 2 9" xfId="24052"/>
    <cellStyle name="Normal 2 3 9 2 3 2 2 9 2" xfId="24053"/>
    <cellStyle name="Normal 2 3 9 2 3 2 3" xfId="24054"/>
    <cellStyle name="Normal 2 3 9 2 3 2 3 2" xfId="24055"/>
    <cellStyle name="Normal 2 3 9 2 3 2 4" xfId="24056"/>
    <cellStyle name="Normal 2 3 9 2 3 2 4 2" xfId="24057"/>
    <cellStyle name="Normal 2 3 9 2 3 2 5" xfId="24058"/>
    <cellStyle name="Normal 2 3 9 2 3 2 5 2" xfId="24059"/>
    <cellStyle name="Normal 2 3 9 2 3 2 6" xfId="24060"/>
    <cellStyle name="Normal 2 3 9 2 3 2 6 2" xfId="24061"/>
    <cellStyle name="Normal 2 3 9 2 3 2 7" xfId="24062"/>
    <cellStyle name="Normal 2 3 9 2 3 2 7 2" xfId="24063"/>
    <cellStyle name="Normal 2 3 9 2 3 2 8" xfId="24064"/>
    <cellStyle name="Normal 2 3 9 2 3 2 8 2" xfId="24065"/>
    <cellStyle name="Normal 2 3 9 2 3 2 9" xfId="24066"/>
    <cellStyle name="Normal 2 3 9 2 3 2 9 2" xfId="24067"/>
    <cellStyle name="Normal 2 3 9 2 3 3" xfId="24068"/>
    <cellStyle name="Normal 2 3 9 2 3 3 10" xfId="24069"/>
    <cellStyle name="Normal 2 3 9 2 3 3 10 2" xfId="24070"/>
    <cellStyle name="Normal 2 3 9 2 3 3 11" xfId="24071"/>
    <cellStyle name="Normal 2 3 9 2 3 3 2" xfId="24072"/>
    <cellStyle name="Normal 2 3 9 2 3 3 2 2" xfId="24073"/>
    <cellStyle name="Normal 2 3 9 2 3 3 3" xfId="24074"/>
    <cellStyle name="Normal 2 3 9 2 3 3 3 2" xfId="24075"/>
    <cellStyle name="Normal 2 3 9 2 3 3 4" xfId="24076"/>
    <cellStyle name="Normal 2 3 9 2 3 3 4 2" xfId="24077"/>
    <cellStyle name="Normal 2 3 9 2 3 3 5" xfId="24078"/>
    <cellStyle name="Normal 2 3 9 2 3 3 5 2" xfId="24079"/>
    <cellStyle name="Normal 2 3 9 2 3 3 6" xfId="24080"/>
    <cellStyle name="Normal 2 3 9 2 3 3 6 2" xfId="24081"/>
    <cellStyle name="Normal 2 3 9 2 3 3 7" xfId="24082"/>
    <cellStyle name="Normal 2 3 9 2 3 3 7 2" xfId="24083"/>
    <cellStyle name="Normal 2 3 9 2 3 3 8" xfId="24084"/>
    <cellStyle name="Normal 2 3 9 2 3 3 8 2" xfId="24085"/>
    <cellStyle name="Normal 2 3 9 2 3 3 9" xfId="24086"/>
    <cellStyle name="Normal 2 3 9 2 3 3 9 2" xfId="24087"/>
    <cellStyle name="Normal 2 3 9 2 3 4" xfId="24088"/>
    <cellStyle name="Normal 2 3 9 2 3 4 2" xfId="24089"/>
    <cellStyle name="Normal 2 3 9 2 3 5" xfId="24090"/>
    <cellStyle name="Normal 2 3 9 2 3 5 2" xfId="24091"/>
    <cellStyle name="Normal 2 3 9 2 3 6" xfId="24092"/>
    <cellStyle name="Normal 2 3 9 2 3 6 2" xfId="24093"/>
    <cellStyle name="Normal 2 3 9 2 3 7" xfId="24094"/>
    <cellStyle name="Normal 2 3 9 2 3 7 2" xfId="24095"/>
    <cellStyle name="Normal 2 3 9 2 3 8" xfId="24096"/>
    <cellStyle name="Normal 2 3 9 2 3 8 2" xfId="24097"/>
    <cellStyle name="Normal 2 3 9 2 3 9" xfId="24098"/>
    <cellStyle name="Normal 2 3 9 2 3 9 2" xfId="24099"/>
    <cellStyle name="Normal 2 3 9 2 4" xfId="24100"/>
    <cellStyle name="Normal 2 3 9 2 4 10" xfId="24101"/>
    <cellStyle name="Normal 2 3 9 2 4 10 2" xfId="24102"/>
    <cellStyle name="Normal 2 3 9 2 4 11" xfId="24103"/>
    <cellStyle name="Normal 2 3 9 2 4 11 2" xfId="24104"/>
    <cellStyle name="Normal 2 3 9 2 4 12" xfId="24105"/>
    <cellStyle name="Normal 2 3 9 2 4 12 2" xfId="24106"/>
    <cellStyle name="Normal 2 3 9 2 4 13" xfId="24107"/>
    <cellStyle name="Normal 2 3 9 2 4 2" xfId="24108"/>
    <cellStyle name="Normal 2 3 9 2 4 2 10" xfId="24109"/>
    <cellStyle name="Normal 2 3 9 2 4 2 10 2" xfId="24110"/>
    <cellStyle name="Normal 2 3 9 2 4 2 11" xfId="24111"/>
    <cellStyle name="Normal 2 3 9 2 4 2 11 2" xfId="24112"/>
    <cellStyle name="Normal 2 3 9 2 4 2 12" xfId="24113"/>
    <cellStyle name="Normal 2 3 9 2 4 2 2" xfId="24114"/>
    <cellStyle name="Normal 2 3 9 2 4 2 2 10" xfId="24115"/>
    <cellStyle name="Normal 2 3 9 2 4 2 2 10 2" xfId="24116"/>
    <cellStyle name="Normal 2 3 9 2 4 2 2 11" xfId="24117"/>
    <cellStyle name="Normal 2 3 9 2 4 2 2 2" xfId="24118"/>
    <cellStyle name="Normal 2 3 9 2 4 2 2 2 2" xfId="24119"/>
    <cellStyle name="Normal 2 3 9 2 4 2 2 3" xfId="24120"/>
    <cellStyle name="Normal 2 3 9 2 4 2 2 3 2" xfId="24121"/>
    <cellStyle name="Normal 2 3 9 2 4 2 2 4" xfId="24122"/>
    <cellStyle name="Normal 2 3 9 2 4 2 2 4 2" xfId="24123"/>
    <cellStyle name="Normal 2 3 9 2 4 2 2 5" xfId="24124"/>
    <cellStyle name="Normal 2 3 9 2 4 2 2 5 2" xfId="24125"/>
    <cellStyle name="Normal 2 3 9 2 4 2 2 6" xfId="24126"/>
    <cellStyle name="Normal 2 3 9 2 4 2 2 6 2" xfId="24127"/>
    <cellStyle name="Normal 2 3 9 2 4 2 2 7" xfId="24128"/>
    <cellStyle name="Normal 2 3 9 2 4 2 2 7 2" xfId="24129"/>
    <cellStyle name="Normal 2 3 9 2 4 2 2 8" xfId="24130"/>
    <cellStyle name="Normal 2 3 9 2 4 2 2 8 2" xfId="24131"/>
    <cellStyle name="Normal 2 3 9 2 4 2 2 9" xfId="24132"/>
    <cellStyle name="Normal 2 3 9 2 4 2 2 9 2" xfId="24133"/>
    <cellStyle name="Normal 2 3 9 2 4 2 3" xfId="24134"/>
    <cellStyle name="Normal 2 3 9 2 4 2 3 2" xfId="24135"/>
    <cellStyle name="Normal 2 3 9 2 4 2 4" xfId="24136"/>
    <cellStyle name="Normal 2 3 9 2 4 2 4 2" xfId="24137"/>
    <cellStyle name="Normal 2 3 9 2 4 2 5" xfId="24138"/>
    <cellStyle name="Normal 2 3 9 2 4 2 5 2" xfId="24139"/>
    <cellStyle name="Normal 2 3 9 2 4 2 6" xfId="24140"/>
    <cellStyle name="Normal 2 3 9 2 4 2 6 2" xfId="24141"/>
    <cellStyle name="Normal 2 3 9 2 4 2 7" xfId="24142"/>
    <cellStyle name="Normal 2 3 9 2 4 2 7 2" xfId="24143"/>
    <cellStyle name="Normal 2 3 9 2 4 2 8" xfId="24144"/>
    <cellStyle name="Normal 2 3 9 2 4 2 8 2" xfId="24145"/>
    <cellStyle name="Normal 2 3 9 2 4 2 9" xfId="24146"/>
    <cellStyle name="Normal 2 3 9 2 4 2 9 2" xfId="24147"/>
    <cellStyle name="Normal 2 3 9 2 4 3" xfId="24148"/>
    <cellStyle name="Normal 2 3 9 2 4 3 10" xfId="24149"/>
    <cellStyle name="Normal 2 3 9 2 4 3 10 2" xfId="24150"/>
    <cellStyle name="Normal 2 3 9 2 4 3 11" xfId="24151"/>
    <cellStyle name="Normal 2 3 9 2 4 3 2" xfId="24152"/>
    <cellStyle name="Normal 2 3 9 2 4 3 2 2" xfId="24153"/>
    <cellStyle name="Normal 2 3 9 2 4 3 3" xfId="24154"/>
    <cellStyle name="Normal 2 3 9 2 4 3 3 2" xfId="24155"/>
    <cellStyle name="Normal 2 3 9 2 4 3 4" xfId="24156"/>
    <cellStyle name="Normal 2 3 9 2 4 3 4 2" xfId="24157"/>
    <cellStyle name="Normal 2 3 9 2 4 3 5" xfId="24158"/>
    <cellStyle name="Normal 2 3 9 2 4 3 5 2" xfId="24159"/>
    <cellStyle name="Normal 2 3 9 2 4 3 6" xfId="24160"/>
    <cellStyle name="Normal 2 3 9 2 4 3 6 2" xfId="24161"/>
    <cellStyle name="Normal 2 3 9 2 4 3 7" xfId="24162"/>
    <cellStyle name="Normal 2 3 9 2 4 3 7 2" xfId="24163"/>
    <cellStyle name="Normal 2 3 9 2 4 3 8" xfId="24164"/>
    <cellStyle name="Normal 2 3 9 2 4 3 8 2" xfId="24165"/>
    <cellStyle name="Normal 2 3 9 2 4 3 9" xfId="24166"/>
    <cellStyle name="Normal 2 3 9 2 4 3 9 2" xfId="24167"/>
    <cellStyle name="Normal 2 3 9 2 4 4" xfId="24168"/>
    <cellStyle name="Normal 2 3 9 2 4 4 2" xfId="24169"/>
    <cellStyle name="Normal 2 3 9 2 4 5" xfId="24170"/>
    <cellStyle name="Normal 2 3 9 2 4 5 2" xfId="24171"/>
    <cellStyle name="Normal 2 3 9 2 4 6" xfId="24172"/>
    <cellStyle name="Normal 2 3 9 2 4 6 2" xfId="24173"/>
    <cellStyle name="Normal 2 3 9 2 4 7" xfId="24174"/>
    <cellStyle name="Normal 2 3 9 2 4 7 2" xfId="24175"/>
    <cellStyle name="Normal 2 3 9 2 4 8" xfId="24176"/>
    <cellStyle name="Normal 2 3 9 2 4 8 2" xfId="24177"/>
    <cellStyle name="Normal 2 3 9 2 4 9" xfId="24178"/>
    <cellStyle name="Normal 2 3 9 2 4 9 2" xfId="24179"/>
    <cellStyle name="Normal 2 3 9 2 5" xfId="24180"/>
    <cellStyle name="Normal 2 3 9 2 5 10" xfId="24181"/>
    <cellStyle name="Normal 2 3 9 2 5 10 2" xfId="24182"/>
    <cellStyle name="Normal 2 3 9 2 5 11" xfId="24183"/>
    <cellStyle name="Normal 2 3 9 2 5 11 2" xfId="24184"/>
    <cellStyle name="Normal 2 3 9 2 5 12" xfId="24185"/>
    <cellStyle name="Normal 2 3 9 2 5 12 2" xfId="24186"/>
    <cellStyle name="Normal 2 3 9 2 5 13" xfId="24187"/>
    <cellStyle name="Normal 2 3 9 2 5 2" xfId="24188"/>
    <cellStyle name="Normal 2 3 9 2 5 2 10" xfId="24189"/>
    <cellStyle name="Normal 2 3 9 2 5 2 10 2" xfId="24190"/>
    <cellStyle name="Normal 2 3 9 2 5 2 11" xfId="24191"/>
    <cellStyle name="Normal 2 3 9 2 5 2 11 2" xfId="24192"/>
    <cellStyle name="Normal 2 3 9 2 5 2 12" xfId="24193"/>
    <cellStyle name="Normal 2 3 9 2 5 2 2" xfId="24194"/>
    <cellStyle name="Normal 2 3 9 2 5 2 2 10" xfId="24195"/>
    <cellStyle name="Normal 2 3 9 2 5 2 2 10 2" xfId="24196"/>
    <cellStyle name="Normal 2 3 9 2 5 2 2 11" xfId="24197"/>
    <cellStyle name="Normal 2 3 9 2 5 2 2 2" xfId="24198"/>
    <cellStyle name="Normal 2 3 9 2 5 2 2 2 2" xfId="24199"/>
    <cellStyle name="Normal 2 3 9 2 5 2 2 3" xfId="24200"/>
    <cellStyle name="Normal 2 3 9 2 5 2 2 3 2" xfId="24201"/>
    <cellStyle name="Normal 2 3 9 2 5 2 2 4" xfId="24202"/>
    <cellStyle name="Normal 2 3 9 2 5 2 2 4 2" xfId="24203"/>
    <cellStyle name="Normal 2 3 9 2 5 2 2 5" xfId="24204"/>
    <cellStyle name="Normal 2 3 9 2 5 2 2 5 2" xfId="24205"/>
    <cellStyle name="Normal 2 3 9 2 5 2 2 6" xfId="24206"/>
    <cellStyle name="Normal 2 3 9 2 5 2 2 6 2" xfId="24207"/>
    <cellStyle name="Normal 2 3 9 2 5 2 2 7" xfId="24208"/>
    <cellStyle name="Normal 2 3 9 2 5 2 2 7 2" xfId="24209"/>
    <cellStyle name="Normal 2 3 9 2 5 2 2 8" xfId="24210"/>
    <cellStyle name="Normal 2 3 9 2 5 2 2 8 2" xfId="24211"/>
    <cellStyle name="Normal 2 3 9 2 5 2 2 9" xfId="24212"/>
    <cellStyle name="Normal 2 3 9 2 5 2 2 9 2" xfId="24213"/>
    <cellStyle name="Normal 2 3 9 2 5 2 3" xfId="24214"/>
    <cellStyle name="Normal 2 3 9 2 5 2 3 2" xfId="24215"/>
    <cellStyle name="Normal 2 3 9 2 5 2 4" xfId="24216"/>
    <cellStyle name="Normal 2 3 9 2 5 2 4 2" xfId="24217"/>
    <cellStyle name="Normal 2 3 9 2 5 2 5" xfId="24218"/>
    <cellStyle name="Normal 2 3 9 2 5 2 5 2" xfId="24219"/>
    <cellStyle name="Normal 2 3 9 2 5 2 6" xfId="24220"/>
    <cellStyle name="Normal 2 3 9 2 5 2 6 2" xfId="24221"/>
    <cellStyle name="Normal 2 3 9 2 5 2 7" xfId="24222"/>
    <cellStyle name="Normal 2 3 9 2 5 2 7 2" xfId="24223"/>
    <cellStyle name="Normal 2 3 9 2 5 2 8" xfId="24224"/>
    <cellStyle name="Normal 2 3 9 2 5 2 8 2" xfId="24225"/>
    <cellStyle name="Normal 2 3 9 2 5 2 9" xfId="24226"/>
    <cellStyle name="Normal 2 3 9 2 5 2 9 2" xfId="24227"/>
    <cellStyle name="Normal 2 3 9 2 5 3" xfId="24228"/>
    <cellStyle name="Normal 2 3 9 2 5 3 10" xfId="24229"/>
    <cellStyle name="Normal 2 3 9 2 5 3 10 2" xfId="24230"/>
    <cellStyle name="Normal 2 3 9 2 5 3 11" xfId="24231"/>
    <cellStyle name="Normal 2 3 9 2 5 3 2" xfId="24232"/>
    <cellStyle name="Normal 2 3 9 2 5 3 2 2" xfId="24233"/>
    <cellStyle name="Normal 2 3 9 2 5 3 3" xfId="24234"/>
    <cellStyle name="Normal 2 3 9 2 5 3 3 2" xfId="24235"/>
    <cellStyle name="Normal 2 3 9 2 5 3 4" xfId="24236"/>
    <cellStyle name="Normal 2 3 9 2 5 3 4 2" xfId="24237"/>
    <cellStyle name="Normal 2 3 9 2 5 3 5" xfId="24238"/>
    <cellStyle name="Normal 2 3 9 2 5 3 5 2" xfId="24239"/>
    <cellStyle name="Normal 2 3 9 2 5 3 6" xfId="24240"/>
    <cellStyle name="Normal 2 3 9 2 5 3 6 2" xfId="24241"/>
    <cellStyle name="Normal 2 3 9 2 5 3 7" xfId="24242"/>
    <cellStyle name="Normal 2 3 9 2 5 3 7 2" xfId="24243"/>
    <cellStyle name="Normal 2 3 9 2 5 3 8" xfId="24244"/>
    <cellStyle name="Normal 2 3 9 2 5 3 8 2" xfId="24245"/>
    <cellStyle name="Normal 2 3 9 2 5 3 9" xfId="24246"/>
    <cellStyle name="Normal 2 3 9 2 5 3 9 2" xfId="24247"/>
    <cellStyle name="Normal 2 3 9 2 5 4" xfId="24248"/>
    <cellStyle name="Normal 2 3 9 2 5 4 2" xfId="24249"/>
    <cellStyle name="Normal 2 3 9 2 5 5" xfId="24250"/>
    <cellStyle name="Normal 2 3 9 2 5 5 2" xfId="24251"/>
    <cellStyle name="Normal 2 3 9 2 5 6" xfId="24252"/>
    <cellStyle name="Normal 2 3 9 2 5 6 2" xfId="24253"/>
    <cellStyle name="Normal 2 3 9 2 5 7" xfId="24254"/>
    <cellStyle name="Normal 2 3 9 2 5 7 2" xfId="24255"/>
    <cellStyle name="Normal 2 3 9 2 5 8" xfId="24256"/>
    <cellStyle name="Normal 2 3 9 2 5 8 2" xfId="24257"/>
    <cellStyle name="Normal 2 3 9 2 5 9" xfId="24258"/>
    <cellStyle name="Normal 2 3 9 2 5 9 2" xfId="24259"/>
    <cellStyle name="Normal 2 3 9 2 6" xfId="24260"/>
    <cellStyle name="Normal 2 3 9 3" xfId="24261"/>
    <cellStyle name="Normal 2 3 9 3 2" xfId="24262"/>
    <cellStyle name="Normal 2 3 9 4" xfId="24263"/>
    <cellStyle name="Normal 2 3 9 4 2" xfId="24264"/>
    <cellStyle name="Normal 2 3 9 5" xfId="24265"/>
    <cellStyle name="Normal 2 3 9 5 2" xfId="24266"/>
    <cellStyle name="Normal 2 3 9 6" xfId="24267"/>
    <cellStyle name="Normal 2 3 9 6 2" xfId="24268"/>
    <cellStyle name="Normal 2 3 9 7" xfId="24269"/>
    <cellStyle name="Normal 2 3 9 7 10" xfId="24270"/>
    <cellStyle name="Normal 2 3 9 7 10 2" xfId="24271"/>
    <cellStyle name="Normal 2 3 9 7 11" xfId="24272"/>
    <cellStyle name="Normal 2 3 9 7 11 2" xfId="24273"/>
    <cellStyle name="Normal 2 3 9 7 12" xfId="24274"/>
    <cellStyle name="Normal 2 3 9 7 2" xfId="24275"/>
    <cellStyle name="Normal 2 3 9 7 2 10" xfId="24276"/>
    <cellStyle name="Normal 2 3 9 7 2 10 2" xfId="24277"/>
    <cellStyle name="Normal 2 3 9 7 2 11" xfId="24278"/>
    <cellStyle name="Normal 2 3 9 7 2 2" xfId="24279"/>
    <cellStyle name="Normal 2 3 9 7 2 2 2" xfId="24280"/>
    <cellStyle name="Normal 2 3 9 7 2 3" xfId="24281"/>
    <cellStyle name="Normal 2 3 9 7 2 3 2" xfId="24282"/>
    <cellStyle name="Normal 2 3 9 7 2 4" xfId="24283"/>
    <cellStyle name="Normal 2 3 9 7 2 4 2" xfId="24284"/>
    <cellStyle name="Normal 2 3 9 7 2 5" xfId="24285"/>
    <cellStyle name="Normal 2 3 9 7 2 5 2" xfId="24286"/>
    <cellStyle name="Normal 2 3 9 7 2 6" xfId="24287"/>
    <cellStyle name="Normal 2 3 9 7 2 6 2" xfId="24288"/>
    <cellStyle name="Normal 2 3 9 7 2 7" xfId="24289"/>
    <cellStyle name="Normal 2 3 9 7 2 7 2" xfId="24290"/>
    <cellStyle name="Normal 2 3 9 7 2 8" xfId="24291"/>
    <cellStyle name="Normal 2 3 9 7 2 8 2" xfId="24292"/>
    <cellStyle name="Normal 2 3 9 7 2 9" xfId="24293"/>
    <cellStyle name="Normal 2 3 9 7 2 9 2" xfId="24294"/>
    <cellStyle name="Normal 2 3 9 7 3" xfId="24295"/>
    <cellStyle name="Normal 2 3 9 7 3 2" xfId="24296"/>
    <cellStyle name="Normal 2 3 9 7 4" xfId="24297"/>
    <cellStyle name="Normal 2 3 9 7 4 2" xfId="24298"/>
    <cellStyle name="Normal 2 3 9 7 5" xfId="24299"/>
    <cellStyle name="Normal 2 3 9 7 5 2" xfId="24300"/>
    <cellStyle name="Normal 2 3 9 7 6" xfId="24301"/>
    <cellStyle name="Normal 2 3 9 7 6 2" xfId="24302"/>
    <cellStyle name="Normal 2 3 9 7 7" xfId="24303"/>
    <cellStyle name="Normal 2 3 9 7 7 2" xfId="24304"/>
    <cellStyle name="Normal 2 3 9 7 8" xfId="24305"/>
    <cellStyle name="Normal 2 3 9 7 8 2" xfId="24306"/>
    <cellStyle name="Normal 2 3 9 7 9" xfId="24307"/>
    <cellStyle name="Normal 2 3 9 7 9 2" xfId="24308"/>
    <cellStyle name="Normal 2 3 9 8" xfId="24309"/>
    <cellStyle name="Normal 2 3 9 8 10" xfId="24310"/>
    <cellStyle name="Normal 2 3 9 8 10 2" xfId="24311"/>
    <cellStyle name="Normal 2 3 9 8 11" xfId="24312"/>
    <cellStyle name="Normal 2 3 9 8 2" xfId="24313"/>
    <cellStyle name="Normal 2 3 9 8 2 2" xfId="24314"/>
    <cellStyle name="Normal 2 3 9 8 3" xfId="24315"/>
    <cellStyle name="Normal 2 3 9 8 3 2" xfId="24316"/>
    <cellStyle name="Normal 2 3 9 8 4" xfId="24317"/>
    <cellStyle name="Normal 2 3 9 8 4 2" xfId="24318"/>
    <cellStyle name="Normal 2 3 9 8 5" xfId="24319"/>
    <cellStyle name="Normal 2 3 9 8 5 2" xfId="24320"/>
    <cellStyle name="Normal 2 3 9 8 6" xfId="24321"/>
    <cellStyle name="Normal 2 3 9 8 6 2" xfId="24322"/>
    <cellStyle name="Normal 2 3 9 8 7" xfId="24323"/>
    <cellStyle name="Normal 2 3 9 8 7 2" xfId="24324"/>
    <cellStyle name="Normal 2 3 9 8 8" xfId="24325"/>
    <cellStyle name="Normal 2 3 9 8 8 2" xfId="24326"/>
    <cellStyle name="Normal 2 3 9 8 9" xfId="24327"/>
    <cellStyle name="Normal 2 3 9 8 9 2" xfId="24328"/>
    <cellStyle name="Normal 2 3 9 9" xfId="24329"/>
    <cellStyle name="Normal 2 3 9 9 2" xfId="24330"/>
    <cellStyle name="Normal 2 4" xfId="24331"/>
    <cellStyle name="Normal 2 4 10" xfId="24332"/>
    <cellStyle name="Normal 2 4 11" xfId="24333"/>
    <cellStyle name="Normal 2 4 12" xfId="24334"/>
    <cellStyle name="Normal 2 4 13" xfId="24335"/>
    <cellStyle name="Normal 2 4 14" xfId="24336"/>
    <cellStyle name="Normal 2 4 15" xfId="24337"/>
    <cellStyle name="Normal 2 4 16" xfId="24338"/>
    <cellStyle name="Normal 2 4 17" xfId="24339"/>
    <cellStyle name="Normal 2 4 18" xfId="24340"/>
    <cellStyle name="Normal 2 4 19" xfId="24341"/>
    <cellStyle name="Normal 2 4 2" xfId="24342"/>
    <cellStyle name="Normal 2 4 2 10" xfId="24343"/>
    <cellStyle name="Normal 2 4 2 10 10" xfId="24344"/>
    <cellStyle name="Normal 2 4 2 10 10 2" xfId="24345"/>
    <cellStyle name="Normal 2 4 2 10 11" xfId="24346"/>
    <cellStyle name="Normal 2 4 2 10 11 2" xfId="24347"/>
    <cellStyle name="Normal 2 4 2 10 12" xfId="24348"/>
    <cellStyle name="Normal 2 4 2 10 12 2" xfId="24349"/>
    <cellStyle name="Normal 2 4 2 10 13" xfId="24350"/>
    <cellStyle name="Normal 2 4 2 10 2" xfId="24351"/>
    <cellStyle name="Normal 2 4 2 10 2 10" xfId="24352"/>
    <cellStyle name="Normal 2 4 2 10 2 10 2" xfId="24353"/>
    <cellStyle name="Normal 2 4 2 10 2 11" xfId="24354"/>
    <cellStyle name="Normal 2 4 2 10 2 11 2" xfId="24355"/>
    <cellStyle name="Normal 2 4 2 10 2 12" xfId="24356"/>
    <cellStyle name="Normal 2 4 2 10 2 2" xfId="24357"/>
    <cellStyle name="Normal 2 4 2 10 2 2 10" xfId="24358"/>
    <cellStyle name="Normal 2 4 2 10 2 2 10 2" xfId="24359"/>
    <cellStyle name="Normal 2 4 2 10 2 2 11" xfId="24360"/>
    <cellStyle name="Normal 2 4 2 10 2 2 2" xfId="24361"/>
    <cellStyle name="Normal 2 4 2 10 2 2 2 2" xfId="24362"/>
    <cellStyle name="Normal 2 4 2 10 2 2 3" xfId="24363"/>
    <cellStyle name="Normal 2 4 2 10 2 2 3 2" xfId="24364"/>
    <cellStyle name="Normal 2 4 2 10 2 2 4" xfId="24365"/>
    <cellStyle name="Normal 2 4 2 10 2 2 4 2" xfId="24366"/>
    <cellStyle name="Normal 2 4 2 10 2 2 5" xfId="24367"/>
    <cellStyle name="Normal 2 4 2 10 2 2 5 2" xfId="24368"/>
    <cellStyle name="Normal 2 4 2 10 2 2 6" xfId="24369"/>
    <cellStyle name="Normal 2 4 2 10 2 2 6 2" xfId="24370"/>
    <cellStyle name="Normal 2 4 2 10 2 2 7" xfId="24371"/>
    <cellStyle name="Normal 2 4 2 10 2 2 7 2" xfId="24372"/>
    <cellStyle name="Normal 2 4 2 10 2 2 8" xfId="24373"/>
    <cellStyle name="Normal 2 4 2 10 2 2 8 2" xfId="24374"/>
    <cellStyle name="Normal 2 4 2 10 2 2 9" xfId="24375"/>
    <cellStyle name="Normal 2 4 2 10 2 2 9 2" xfId="24376"/>
    <cellStyle name="Normal 2 4 2 10 2 3" xfId="24377"/>
    <cellStyle name="Normal 2 4 2 10 2 3 2" xfId="24378"/>
    <cellStyle name="Normal 2 4 2 10 2 4" xfId="24379"/>
    <cellStyle name="Normal 2 4 2 10 2 4 2" xfId="24380"/>
    <cellStyle name="Normal 2 4 2 10 2 5" xfId="24381"/>
    <cellStyle name="Normal 2 4 2 10 2 5 2" xfId="24382"/>
    <cellStyle name="Normal 2 4 2 10 2 6" xfId="24383"/>
    <cellStyle name="Normal 2 4 2 10 2 6 2" xfId="24384"/>
    <cellStyle name="Normal 2 4 2 10 2 7" xfId="24385"/>
    <cellStyle name="Normal 2 4 2 10 2 7 2" xfId="24386"/>
    <cellStyle name="Normal 2 4 2 10 2 8" xfId="24387"/>
    <cellStyle name="Normal 2 4 2 10 2 8 2" xfId="24388"/>
    <cellStyle name="Normal 2 4 2 10 2 9" xfId="24389"/>
    <cellStyle name="Normal 2 4 2 10 2 9 2" xfId="24390"/>
    <cellStyle name="Normal 2 4 2 10 3" xfId="24391"/>
    <cellStyle name="Normal 2 4 2 10 3 10" xfId="24392"/>
    <cellStyle name="Normal 2 4 2 10 3 10 2" xfId="24393"/>
    <cellStyle name="Normal 2 4 2 10 3 11" xfId="24394"/>
    <cellStyle name="Normal 2 4 2 10 3 2" xfId="24395"/>
    <cellStyle name="Normal 2 4 2 10 3 2 2" xfId="24396"/>
    <cellStyle name="Normal 2 4 2 10 3 3" xfId="24397"/>
    <cellStyle name="Normal 2 4 2 10 3 3 2" xfId="24398"/>
    <cellStyle name="Normal 2 4 2 10 3 4" xfId="24399"/>
    <cellStyle name="Normal 2 4 2 10 3 4 2" xfId="24400"/>
    <cellStyle name="Normal 2 4 2 10 3 5" xfId="24401"/>
    <cellStyle name="Normal 2 4 2 10 3 5 2" xfId="24402"/>
    <cellStyle name="Normal 2 4 2 10 3 6" xfId="24403"/>
    <cellStyle name="Normal 2 4 2 10 3 6 2" xfId="24404"/>
    <cellStyle name="Normal 2 4 2 10 3 7" xfId="24405"/>
    <cellStyle name="Normal 2 4 2 10 3 7 2" xfId="24406"/>
    <cellStyle name="Normal 2 4 2 10 3 8" xfId="24407"/>
    <cellStyle name="Normal 2 4 2 10 3 8 2" xfId="24408"/>
    <cellStyle name="Normal 2 4 2 10 3 9" xfId="24409"/>
    <cellStyle name="Normal 2 4 2 10 3 9 2" xfId="24410"/>
    <cellStyle name="Normal 2 4 2 10 4" xfId="24411"/>
    <cellStyle name="Normal 2 4 2 10 4 2" xfId="24412"/>
    <cellStyle name="Normal 2 4 2 10 5" xfId="24413"/>
    <cellStyle name="Normal 2 4 2 10 5 2" xfId="24414"/>
    <cellStyle name="Normal 2 4 2 10 6" xfId="24415"/>
    <cellStyle name="Normal 2 4 2 10 6 2" xfId="24416"/>
    <cellStyle name="Normal 2 4 2 10 7" xfId="24417"/>
    <cellStyle name="Normal 2 4 2 10 7 2" xfId="24418"/>
    <cellStyle name="Normal 2 4 2 10 8" xfId="24419"/>
    <cellStyle name="Normal 2 4 2 10 8 2" xfId="24420"/>
    <cellStyle name="Normal 2 4 2 10 9" xfId="24421"/>
    <cellStyle name="Normal 2 4 2 10 9 2" xfId="24422"/>
    <cellStyle name="Normal 2 4 2 2" xfId="24423"/>
    <cellStyle name="Normal 2 4 2 2 2" xfId="24424"/>
    <cellStyle name="Normal 2 4 2 2 2 10" xfId="24425"/>
    <cellStyle name="Normal 2 4 2 2 2 10 2" xfId="24426"/>
    <cellStyle name="Normal 2 4 2 2 2 11" xfId="24427"/>
    <cellStyle name="Normal 2 4 2 2 2 11 2" xfId="24428"/>
    <cellStyle name="Normal 2 4 2 2 2 12" xfId="24429"/>
    <cellStyle name="Normal 2 4 2 2 2 12 2" xfId="24430"/>
    <cellStyle name="Normal 2 4 2 2 2 13" xfId="24431"/>
    <cellStyle name="Normal 2 4 2 2 2 13 2" xfId="24432"/>
    <cellStyle name="Normal 2 4 2 2 2 14" xfId="24433"/>
    <cellStyle name="Normal 2 4 2 2 2 14 2" xfId="24434"/>
    <cellStyle name="Normal 2 4 2 2 2 15" xfId="24435"/>
    <cellStyle name="Normal 2 4 2 2 2 15 2" xfId="24436"/>
    <cellStyle name="Normal 2 4 2 2 2 16" xfId="24437"/>
    <cellStyle name="Normal 2 4 2 2 2 16 2" xfId="24438"/>
    <cellStyle name="Normal 2 4 2 2 2 17" xfId="24439"/>
    <cellStyle name="Normal 2 4 2 2 2 2" xfId="24440"/>
    <cellStyle name="Normal 2 4 2 2 2 2 2" xfId="24441"/>
    <cellStyle name="Normal 2 4 2 2 2 2 2 10" xfId="24442"/>
    <cellStyle name="Normal 2 4 2 2 2 2 2 10 2" xfId="24443"/>
    <cellStyle name="Normal 2 4 2 2 2 2 2 11" xfId="24444"/>
    <cellStyle name="Normal 2 4 2 2 2 2 2 11 2" xfId="24445"/>
    <cellStyle name="Normal 2 4 2 2 2 2 2 12" xfId="24446"/>
    <cellStyle name="Normal 2 4 2 2 2 2 2 12 2" xfId="24447"/>
    <cellStyle name="Normal 2 4 2 2 2 2 2 13" xfId="24448"/>
    <cellStyle name="Normal 2 4 2 2 2 2 2 2" xfId="24449"/>
    <cellStyle name="Normal 2 4 2 2 2 2 2 2 10" xfId="24450"/>
    <cellStyle name="Normal 2 4 2 2 2 2 2 2 10 2" xfId="24451"/>
    <cellStyle name="Normal 2 4 2 2 2 2 2 2 11" xfId="24452"/>
    <cellStyle name="Normal 2 4 2 2 2 2 2 2 11 2" xfId="24453"/>
    <cellStyle name="Normal 2 4 2 2 2 2 2 2 12" xfId="24454"/>
    <cellStyle name="Normal 2 4 2 2 2 2 2 2 2" xfId="24455"/>
    <cellStyle name="Normal 2 4 2 2 2 2 2 2 2 10" xfId="24456"/>
    <cellStyle name="Normal 2 4 2 2 2 2 2 2 2 10 2" xfId="24457"/>
    <cellStyle name="Normal 2 4 2 2 2 2 2 2 2 11" xfId="24458"/>
    <cellStyle name="Normal 2 4 2 2 2 2 2 2 2 2" xfId="24459"/>
    <cellStyle name="Normal 2 4 2 2 2 2 2 2 2 2 2" xfId="24460"/>
    <cellStyle name="Normal 2 4 2 2 2 2 2 2 2 3" xfId="24461"/>
    <cellStyle name="Normal 2 4 2 2 2 2 2 2 2 3 2" xfId="24462"/>
    <cellStyle name="Normal 2 4 2 2 2 2 2 2 2 4" xfId="24463"/>
    <cellStyle name="Normal 2 4 2 2 2 2 2 2 2 4 2" xfId="24464"/>
    <cellStyle name="Normal 2 4 2 2 2 2 2 2 2 5" xfId="24465"/>
    <cellStyle name="Normal 2 4 2 2 2 2 2 2 2 5 2" xfId="24466"/>
    <cellStyle name="Normal 2 4 2 2 2 2 2 2 2 6" xfId="24467"/>
    <cellStyle name="Normal 2 4 2 2 2 2 2 2 2 6 2" xfId="24468"/>
    <cellStyle name="Normal 2 4 2 2 2 2 2 2 2 7" xfId="24469"/>
    <cellStyle name="Normal 2 4 2 2 2 2 2 2 2 7 2" xfId="24470"/>
    <cellStyle name="Normal 2 4 2 2 2 2 2 2 2 8" xfId="24471"/>
    <cellStyle name="Normal 2 4 2 2 2 2 2 2 2 8 2" xfId="24472"/>
    <cellStyle name="Normal 2 4 2 2 2 2 2 2 2 9" xfId="24473"/>
    <cellStyle name="Normal 2 4 2 2 2 2 2 2 2 9 2" xfId="24474"/>
    <cellStyle name="Normal 2 4 2 2 2 2 2 2 3" xfId="24475"/>
    <cellStyle name="Normal 2 4 2 2 2 2 2 2 3 2" xfId="24476"/>
    <cellStyle name="Normal 2 4 2 2 2 2 2 2 4" xfId="24477"/>
    <cellStyle name="Normal 2 4 2 2 2 2 2 2 4 2" xfId="24478"/>
    <cellStyle name="Normal 2 4 2 2 2 2 2 2 5" xfId="24479"/>
    <cellStyle name="Normal 2 4 2 2 2 2 2 2 5 2" xfId="24480"/>
    <cellStyle name="Normal 2 4 2 2 2 2 2 2 6" xfId="24481"/>
    <cellStyle name="Normal 2 4 2 2 2 2 2 2 6 2" xfId="24482"/>
    <cellStyle name="Normal 2 4 2 2 2 2 2 2 7" xfId="24483"/>
    <cellStyle name="Normal 2 4 2 2 2 2 2 2 7 2" xfId="24484"/>
    <cellStyle name="Normal 2 4 2 2 2 2 2 2 8" xfId="24485"/>
    <cellStyle name="Normal 2 4 2 2 2 2 2 2 8 2" xfId="24486"/>
    <cellStyle name="Normal 2 4 2 2 2 2 2 2 9" xfId="24487"/>
    <cellStyle name="Normal 2 4 2 2 2 2 2 2 9 2" xfId="24488"/>
    <cellStyle name="Normal 2 4 2 2 2 2 2 3" xfId="24489"/>
    <cellStyle name="Normal 2 4 2 2 2 2 2 3 10" xfId="24490"/>
    <cellStyle name="Normal 2 4 2 2 2 2 2 3 10 2" xfId="24491"/>
    <cellStyle name="Normal 2 4 2 2 2 2 2 3 11" xfId="24492"/>
    <cellStyle name="Normal 2 4 2 2 2 2 2 3 2" xfId="24493"/>
    <cellStyle name="Normal 2 4 2 2 2 2 2 3 2 2" xfId="24494"/>
    <cellStyle name="Normal 2 4 2 2 2 2 2 3 3" xfId="24495"/>
    <cellStyle name="Normal 2 4 2 2 2 2 2 3 3 2" xfId="24496"/>
    <cellStyle name="Normal 2 4 2 2 2 2 2 3 4" xfId="24497"/>
    <cellStyle name="Normal 2 4 2 2 2 2 2 3 4 2" xfId="24498"/>
    <cellStyle name="Normal 2 4 2 2 2 2 2 3 5" xfId="24499"/>
    <cellStyle name="Normal 2 4 2 2 2 2 2 3 5 2" xfId="24500"/>
    <cellStyle name="Normal 2 4 2 2 2 2 2 3 6" xfId="24501"/>
    <cellStyle name="Normal 2 4 2 2 2 2 2 3 6 2" xfId="24502"/>
    <cellStyle name="Normal 2 4 2 2 2 2 2 3 7" xfId="24503"/>
    <cellStyle name="Normal 2 4 2 2 2 2 2 3 7 2" xfId="24504"/>
    <cellStyle name="Normal 2 4 2 2 2 2 2 3 8" xfId="24505"/>
    <cellStyle name="Normal 2 4 2 2 2 2 2 3 8 2" xfId="24506"/>
    <cellStyle name="Normal 2 4 2 2 2 2 2 3 9" xfId="24507"/>
    <cellStyle name="Normal 2 4 2 2 2 2 2 3 9 2" xfId="24508"/>
    <cellStyle name="Normal 2 4 2 2 2 2 2 4" xfId="24509"/>
    <cellStyle name="Normal 2 4 2 2 2 2 2 4 2" xfId="24510"/>
    <cellStyle name="Normal 2 4 2 2 2 2 2 5" xfId="24511"/>
    <cellStyle name="Normal 2 4 2 2 2 2 2 5 2" xfId="24512"/>
    <cellStyle name="Normal 2 4 2 2 2 2 2 6" xfId="24513"/>
    <cellStyle name="Normal 2 4 2 2 2 2 2 6 2" xfId="24514"/>
    <cellStyle name="Normal 2 4 2 2 2 2 2 7" xfId="24515"/>
    <cellStyle name="Normal 2 4 2 2 2 2 2 7 2" xfId="24516"/>
    <cellStyle name="Normal 2 4 2 2 2 2 2 8" xfId="24517"/>
    <cellStyle name="Normal 2 4 2 2 2 2 2 8 2" xfId="24518"/>
    <cellStyle name="Normal 2 4 2 2 2 2 2 9" xfId="24519"/>
    <cellStyle name="Normal 2 4 2 2 2 2 2 9 2" xfId="24520"/>
    <cellStyle name="Normal 2 4 2 2 2 2 3" xfId="24521"/>
    <cellStyle name="Normal 2 4 2 2 2 2 3 10" xfId="24522"/>
    <cellStyle name="Normal 2 4 2 2 2 2 3 10 2" xfId="24523"/>
    <cellStyle name="Normal 2 4 2 2 2 2 3 11" xfId="24524"/>
    <cellStyle name="Normal 2 4 2 2 2 2 3 11 2" xfId="24525"/>
    <cellStyle name="Normal 2 4 2 2 2 2 3 12" xfId="24526"/>
    <cellStyle name="Normal 2 4 2 2 2 2 3 12 2" xfId="24527"/>
    <cellStyle name="Normal 2 4 2 2 2 2 3 13" xfId="24528"/>
    <cellStyle name="Normal 2 4 2 2 2 2 3 2" xfId="24529"/>
    <cellStyle name="Normal 2 4 2 2 2 2 3 2 10" xfId="24530"/>
    <cellStyle name="Normal 2 4 2 2 2 2 3 2 10 2" xfId="24531"/>
    <cellStyle name="Normal 2 4 2 2 2 2 3 2 11" xfId="24532"/>
    <cellStyle name="Normal 2 4 2 2 2 2 3 2 11 2" xfId="24533"/>
    <cellStyle name="Normal 2 4 2 2 2 2 3 2 12" xfId="24534"/>
    <cellStyle name="Normal 2 4 2 2 2 2 3 2 2" xfId="24535"/>
    <cellStyle name="Normal 2 4 2 2 2 2 3 2 2 10" xfId="24536"/>
    <cellStyle name="Normal 2 4 2 2 2 2 3 2 2 10 2" xfId="24537"/>
    <cellStyle name="Normal 2 4 2 2 2 2 3 2 2 11" xfId="24538"/>
    <cellStyle name="Normal 2 4 2 2 2 2 3 2 2 2" xfId="24539"/>
    <cellStyle name="Normal 2 4 2 2 2 2 3 2 2 2 2" xfId="24540"/>
    <cellStyle name="Normal 2 4 2 2 2 2 3 2 2 3" xfId="24541"/>
    <cellStyle name="Normal 2 4 2 2 2 2 3 2 2 3 2" xfId="24542"/>
    <cellStyle name="Normal 2 4 2 2 2 2 3 2 2 4" xfId="24543"/>
    <cellStyle name="Normal 2 4 2 2 2 2 3 2 2 4 2" xfId="24544"/>
    <cellStyle name="Normal 2 4 2 2 2 2 3 2 2 5" xfId="24545"/>
    <cellStyle name="Normal 2 4 2 2 2 2 3 2 2 5 2" xfId="24546"/>
    <cellStyle name="Normal 2 4 2 2 2 2 3 2 2 6" xfId="24547"/>
    <cellStyle name="Normal 2 4 2 2 2 2 3 2 2 6 2" xfId="24548"/>
    <cellStyle name="Normal 2 4 2 2 2 2 3 2 2 7" xfId="24549"/>
    <cellStyle name="Normal 2 4 2 2 2 2 3 2 2 7 2" xfId="24550"/>
    <cellStyle name="Normal 2 4 2 2 2 2 3 2 2 8" xfId="24551"/>
    <cellStyle name="Normal 2 4 2 2 2 2 3 2 2 8 2" xfId="24552"/>
    <cellStyle name="Normal 2 4 2 2 2 2 3 2 2 9" xfId="24553"/>
    <cellStyle name="Normal 2 4 2 2 2 2 3 2 2 9 2" xfId="24554"/>
    <cellStyle name="Normal 2 4 2 2 2 2 3 2 3" xfId="24555"/>
    <cellStyle name="Normal 2 4 2 2 2 2 3 2 3 2" xfId="24556"/>
    <cellStyle name="Normal 2 4 2 2 2 2 3 2 4" xfId="24557"/>
    <cellStyle name="Normal 2 4 2 2 2 2 3 2 4 2" xfId="24558"/>
    <cellStyle name="Normal 2 4 2 2 2 2 3 2 5" xfId="24559"/>
    <cellStyle name="Normal 2 4 2 2 2 2 3 2 5 2" xfId="24560"/>
    <cellStyle name="Normal 2 4 2 2 2 2 3 2 6" xfId="24561"/>
    <cellStyle name="Normal 2 4 2 2 2 2 3 2 6 2" xfId="24562"/>
    <cellStyle name="Normal 2 4 2 2 2 2 3 2 7" xfId="24563"/>
    <cellStyle name="Normal 2 4 2 2 2 2 3 2 7 2" xfId="24564"/>
    <cellStyle name="Normal 2 4 2 2 2 2 3 2 8" xfId="24565"/>
    <cellStyle name="Normal 2 4 2 2 2 2 3 2 8 2" xfId="24566"/>
    <cellStyle name="Normal 2 4 2 2 2 2 3 2 9" xfId="24567"/>
    <cellStyle name="Normal 2 4 2 2 2 2 3 2 9 2" xfId="24568"/>
    <cellStyle name="Normal 2 4 2 2 2 2 3 3" xfId="24569"/>
    <cellStyle name="Normal 2 4 2 2 2 2 3 3 10" xfId="24570"/>
    <cellStyle name="Normal 2 4 2 2 2 2 3 3 10 2" xfId="24571"/>
    <cellStyle name="Normal 2 4 2 2 2 2 3 3 11" xfId="24572"/>
    <cellStyle name="Normal 2 4 2 2 2 2 3 3 2" xfId="24573"/>
    <cellStyle name="Normal 2 4 2 2 2 2 3 3 2 2" xfId="24574"/>
    <cellStyle name="Normal 2 4 2 2 2 2 3 3 3" xfId="24575"/>
    <cellStyle name="Normal 2 4 2 2 2 2 3 3 3 2" xfId="24576"/>
    <cellStyle name="Normal 2 4 2 2 2 2 3 3 4" xfId="24577"/>
    <cellStyle name="Normal 2 4 2 2 2 2 3 3 4 2" xfId="24578"/>
    <cellStyle name="Normal 2 4 2 2 2 2 3 3 5" xfId="24579"/>
    <cellStyle name="Normal 2 4 2 2 2 2 3 3 5 2" xfId="24580"/>
    <cellStyle name="Normal 2 4 2 2 2 2 3 3 6" xfId="24581"/>
    <cellStyle name="Normal 2 4 2 2 2 2 3 3 6 2" xfId="24582"/>
    <cellStyle name="Normal 2 4 2 2 2 2 3 3 7" xfId="24583"/>
    <cellStyle name="Normal 2 4 2 2 2 2 3 3 7 2" xfId="24584"/>
    <cellStyle name="Normal 2 4 2 2 2 2 3 3 8" xfId="24585"/>
    <cellStyle name="Normal 2 4 2 2 2 2 3 3 8 2" xfId="24586"/>
    <cellStyle name="Normal 2 4 2 2 2 2 3 3 9" xfId="24587"/>
    <cellStyle name="Normal 2 4 2 2 2 2 3 3 9 2" xfId="24588"/>
    <cellStyle name="Normal 2 4 2 2 2 2 3 4" xfId="24589"/>
    <cellStyle name="Normal 2 4 2 2 2 2 3 4 2" xfId="24590"/>
    <cellStyle name="Normal 2 4 2 2 2 2 3 5" xfId="24591"/>
    <cellStyle name="Normal 2 4 2 2 2 2 3 5 2" xfId="24592"/>
    <cellStyle name="Normal 2 4 2 2 2 2 3 6" xfId="24593"/>
    <cellStyle name="Normal 2 4 2 2 2 2 3 6 2" xfId="24594"/>
    <cellStyle name="Normal 2 4 2 2 2 2 3 7" xfId="24595"/>
    <cellStyle name="Normal 2 4 2 2 2 2 3 7 2" xfId="24596"/>
    <cellStyle name="Normal 2 4 2 2 2 2 3 8" xfId="24597"/>
    <cellStyle name="Normal 2 4 2 2 2 2 3 8 2" xfId="24598"/>
    <cellStyle name="Normal 2 4 2 2 2 2 3 9" xfId="24599"/>
    <cellStyle name="Normal 2 4 2 2 2 2 3 9 2" xfId="24600"/>
    <cellStyle name="Normal 2 4 2 2 2 2 4" xfId="24601"/>
    <cellStyle name="Normal 2 4 2 2 2 2 4 10" xfId="24602"/>
    <cellStyle name="Normal 2 4 2 2 2 2 4 10 2" xfId="24603"/>
    <cellStyle name="Normal 2 4 2 2 2 2 4 11" xfId="24604"/>
    <cellStyle name="Normal 2 4 2 2 2 2 4 11 2" xfId="24605"/>
    <cellStyle name="Normal 2 4 2 2 2 2 4 12" xfId="24606"/>
    <cellStyle name="Normal 2 4 2 2 2 2 4 12 2" xfId="24607"/>
    <cellStyle name="Normal 2 4 2 2 2 2 4 13" xfId="24608"/>
    <cellStyle name="Normal 2 4 2 2 2 2 4 2" xfId="24609"/>
    <cellStyle name="Normal 2 4 2 2 2 2 4 2 10" xfId="24610"/>
    <cellStyle name="Normal 2 4 2 2 2 2 4 2 10 2" xfId="24611"/>
    <cellStyle name="Normal 2 4 2 2 2 2 4 2 11" xfId="24612"/>
    <cellStyle name="Normal 2 4 2 2 2 2 4 2 11 2" xfId="24613"/>
    <cellStyle name="Normal 2 4 2 2 2 2 4 2 12" xfId="24614"/>
    <cellStyle name="Normal 2 4 2 2 2 2 4 2 2" xfId="24615"/>
    <cellStyle name="Normal 2 4 2 2 2 2 4 2 2 10" xfId="24616"/>
    <cellStyle name="Normal 2 4 2 2 2 2 4 2 2 10 2" xfId="24617"/>
    <cellStyle name="Normal 2 4 2 2 2 2 4 2 2 11" xfId="24618"/>
    <cellStyle name="Normal 2 4 2 2 2 2 4 2 2 2" xfId="24619"/>
    <cellStyle name="Normal 2 4 2 2 2 2 4 2 2 2 2" xfId="24620"/>
    <cellStyle name="Normal 2 4 2 2 2 2 4 2 2 3" xfId="24621"/>
    <cellStyle name="Normal 2 4 2 2 2 2 4 2 2 3 2" xfId="24622"/>
    <cellStyle name="Normal 2 4 2 2 2 2 4 2 2 4" xfId="24623"/>
    <cellStyle name="Normal 2 4 2 2 2 2 4 2 2 4 2" xfId="24624"/>
    <cellStyle name="Normal 2 4 2 2 2 2 4 2 2 5" xfId="24625"/>
    <cellStyle name="Normal 2 4 2 2 2 2 4 2 2 5 2" xfId="24626"/>
    <cellStyle name="Normal 2 4 2 2 2 2 4 2 2 6" xfId="24627"/>
    <cellStyle name="Normal 2 4 2 2 2 2 4 2 2 6 2" xfId="24628"/>
    <cellStyle name="Normal 2 4 2 2 2 2 4 2 2 7" xfId="24629"/>
    <cellStyle name="Normal 2 4 2 2 2 2 4 2 2 7 2" xfId="24630"/>
    <cellStyle name="Normal 2 4 2 2 2 2 4 2 2 8" xfId="24631"/>
    <cellStyle name="Normal 2 4 2 2 2 2 4 2 2 8 2" xfId="24632"/>
    <cellStyle name="Normal 2 4 2 2 2 2 4 2 2 9" xfId="24633"/>
    <cellStyle name="Normal 2 4 2 2 2 2 4 2 2 9 2" xfId="24634"/>
    <cellStyle name="Normal 2 4 2 2 2 2 4 2 3" xfId="24635"/>
    <cellStyle name="Normal 2 4 2 2 2 2 4 2 3 2" xfId="24636"/>
    <cellStyle name="Normal 2 4 2 2 2 2 4 2 4" xfId="24637"/>
    <cellStyle name="Normal 2 4 2 2 2 2 4 2 4 2" xfId="24638"/>
    <cellStyle name="Normal 2 4 2 2 2 2 4 2 5" xfId="24639"/>
    <cellStyle name="Normal 2 4 2 2 2 2 4 2 5 2" xfId="24640"/>
    <cellStyle name="Normal 2 4 2 2 2 2 4 2 6" xfId="24641"/>
    <cellStyle name="Normal 2 4 2 2 2 2 4 2 6 2" xfId="24642"/>
    <cellStyle name="Normal 2 4 2 2 2 2 4 2 7" xfId="24643"/>
    <cellStyle name="Normal 2 4 2 2 2 2 4 2 7 2" xfId="24644"/>
    <cellStyle name="Normal 2 4 2 2 2 2 4 2 8" xfId="24645"/>
    <cellStyle name="Normal 2 4 2 2 2 2 4 2 8 2" xfId="24646"/>
    <cellStyle name="Normal 2 4 2 2 2 2 4 2 9" xfId="24647"/>
    <cellStyle name="Normal 2 4 2 2 2 2 4 2 9 2" xfId="24648"/>
    <cellStyle name="Normal 2 4 2 2 2 2 4 3" xfId="24649"/>
    <cellStyle name="Normal 2 4 2 2 2 2 4 3 10" xfId="24650"/>
    <cellStyle name="Normal 2 4 2 2 2 2 4 3 10 2" xfId="24651"/>
    <cellStyle name="Normal 2 4 2 2 2 2 4 3 11" xfId="24652"/>
    <cellStyle name="Normal 2 4 2 2 2 2 4 3 2" xfId="24653"/>
    <cellStyle name="Normal 2 4 2 2 2 2 4 3 2 2" xfId="24654"/>
    <cellStyle name="Normal 2 4 2 2 2 2 4 3 3" xfId="24655"/>
    <cellStyle name="Normal 2 4 2 2 2 2 4 3 3 2" xfId="24656"/>
    <cellStyle name="Normal 2 4 2 2 2 2 4 3 4" xfId="24657"/>
    <cellStyle name="Normal 2 4 2 2 2 2 4 3 4 2" xfId="24658"/>
    <cellStyle name="Normal 2 4 2 2 2 2 4 3 5" xfId="24659"/>
    <cellStyle name="Normal 2 4 2 2 2 2 4 3 5 2" xfId="24660"/>
    <cellStyle name="Normal 2 4 2 2 2 2 4 3 6" xfId="24661"/>
    <cellStyle name="Normal 2 4 2 2 2 2 4 3 6 2" xfId="24662"/>
    <cellStyle name="Normal 2 4 2 2 2 2 4 3 7" xfId="24663"/>
    <cellStyle name="Normal 2 4 2 2 2 2 4 3 7 2" xfId="24664"/>
    <cellStyle name="Normal 2 4 2 2 2 2 4 3 8" xfId="24665"/>
    <cellStyle name="Normal 2 4 2 2 2 2 4 3 8 2" xfId="24666"/>
    <cellStyle name="Normal 2 4 2 2 2 2 4 3 9" xfId="24667"/>
    <cellStyle name="Normal 2 4 2 2 2 2 4 3 9 2" xfId="24668"/>
    <cellStyle name="Normal 2 4 2 2 2 2 4 4" xfId="24669"/>
    <cellStyle name="Normal 2 4 2 2 2 2 4 4 2" xfId="24670"/>
    <cellStyle name="Normal 2 4 2 2 2 2 4 5" xfId="24671"/>
    <cellStyle name="Normal 2 4 2 2 2 2 4 5 2" xfId="24672"/>
    <cellStyle name="Normal 2 4 2 2 2 2 4 6" xfId="24673"/>
    <cellStyle name="Normal 2 4 2 2 2 2 4 6 2" xfId="24674"/>
    <cellStyle name="Normal 2 4 2 2 2 2 4 7" xfId="24675"/>
    <cellStyle name="Normal 2 4 2 2 2 2 4 7 2" xfId="24676"/>
    <cellStyle name="Normal 2 4 2 2 2 2 4 8" xfId="24677"/>
    <cellStyle name="Normal 2 4 2 2 2 2 4 8 2" xfId="24678"/>
    <cellStyle name="Normal 2 4 2 2 2 2 4 9" xfId="24679"/>
    <cellStyle name="Normal 2 4 2 2 2 2 4 9 2" xfId="24680"/>
    <cellStyle name="Normal 2 4 2 2 2 2 5" xfId="24681"/>
    <cellStyle name="Normal 2 4 2 2 2 2 5 10" xfId="24682"/>
    <cellStyle name="Normal 2 4 2 2 2 2 5 10 2" xfId="24683"/>
    <cellStyle name="Normal 2 4 2 2 2 2 5 11" xfId="24684"/>
    <cellStyle name="Normal 2 4 2 2 2 2 5 11 2" xfId="24685"/>
    <cellStyle name="Normal 2 4 2 2 2 2 5 12" xfId="24686"/>
    <cellStyle name="Normal 2 4 2 2 2 2 5 12 2" xfId="24687"/>
    <cellStyle name="Normal 2 4 2 2 2 2 5 13" xfId="24688"/>
    <cellStyle name="Normal 2 4 2 2 2 2 5 2" xfId="24689"/>
    <cellStyle name="Normal 2 4 2 2 2 2 5 2 10" xfId="24690"/>
    <cellStyle name="Normal 2 4 2 2 2 2 5 2 10 2" xfId="24691"/>
    <cellStyle name="Normal 2 4 2 2 2 2 5 2 11" xfId="24692"/>
    <cellStyle name="Normal 2 4 2 2 2 2 5 2 11 2" xfId="24693"/>
    <cellStyle name="Normal 2 4 2 2 2 2 5 2 12" xfId="24694"/>
    <cellStyle name="Normal 2 4 2 2 2 2 5 2 2" xfId="24695"/>
    <cellStyle name="Normal 2 4 2 2 2 2 5 2 2 10" xfId="24696"/>
    <cellStyle name="Normal 2 4 2 2 2 2 5 2 2 10 2" xfId="24697"/>
    <cellStyle name="Normal 2 4 2 2 2 2 5 2 2 11" xfId="24698"/>
    <cellStyle name="Normal 2 4 2 2 2 2 5 2 2 2" xfId="24699"/>
    <cellStyle name="Normal 2 4 2 2 2 2 5 2 2 2 2" xfId="24700"/>
    <cellStyle name="Normal 2 4 2 2 2 2 5 2 2 3" xfId="24701"/>
    <cellStyle name="Normal 2 4 2 2 2 2 5 2 2 3 2" xfId="24702"/>
    <cellStyle name="Normal 2 4 2 2 2 2 5 2 2 4" xfId="24703"/>
    <cellStyle name="Normal 2 4 2 2 2 2 5 2 2 4 2" xfId="24704"/>
    <cellStyle name="Normal 2 4 2 2 2 2 5 2 2 5" xfId="24705"/>
    <cellStyle name="Normal 2 4 2 2 2 2 5 2 2 5 2" xfId="24706"/>
    <cellStyle name="Normal 2 4 2 2 2 2 5 2 2 6" xfId="24707"/>
    <cellStyle name="Normal 2 4 2 2 2 2 5 2 2 6 2" xfId="24708"/>
    <cellStyle name="Normal 2 4 2 2 2 2 5 2 2 7" xfId="24709"/>
    <cellStyle name="Normal 2 4 2 2 2 2 5 2 2 7 2" xfId="24710"/>
    <cellStyle name="Normal 2 4 2 2 2 2 5 2 2 8" xfId="24711"/>
    <cellStyle name="Normal 2 4 2 2 2 2 5 2 2 8 2" xfId="24712"/>
    <cellStyle name="Normal 2 4 2 2 2 2 5 2 2 9" xfId="24713"/>
    <cellStyle name="Normal 2 4 2 2 2 2 5 2 2 9 2" xfId="24714"/>
    <cellStyle name="Normal 2 4 2 2 2 2 5 2 3" xfId="24715"/>
    <cellStyle name="Normal 2 4 2 2 2 2 5 2 3 2" xfId="24716"/>
    <cellStyle name="Normal 2 4 2 2 2 2 5 2 4" xfId="24717"/>
    <cellStyle name="Normal 2 4 2 2 2 2 5 2 4 2" xfId="24718"/>
    <cellStyle name="Normal 2 4 2 2 2 2 5 2 5" xfId="24719"/>
    <cellStyle name="Normal 2 4 2 2 2 2 5 2 5 2" xfId="24720"/>
    <cellStyle name="Normal 2 4 2 2 2 2 5 2 6" xfId="24721"/>
    <cellStyle name="Normal 2 4 2 2 2 2 5 2 6 2" xfId="24722"/>
    <cellStyle name="Normal 2 4 2 2 2 2 5 2 7" xfId="24723"/>
    <cellStyle name="Normal 2 4 2 2 2 2 5 2 7 2" xfId="24724"/>
    <cellStyle name="Normal 2 4 2 2 2 2 5 2 8" xfId="24725"/>
    <cellStyle name="Normal 2 4 2 2 2 2 5 2 8 2" xfId="24726"/>
    <cellStyle name="Normal 2 4 2 2 2 2 5 2 9" xfId="24727"/>
    <cellStyle name="Normal 2 4 2 2 2 2 5 2 9 2" xfId="24728"/>
    <cellStyle name="Normal 2 4 2 2 2 2 5 3" xfId="24729"/>
    <cellStyle name="Normal 2 4 2 2 2 2 5 3 10" xfId="24730"/>
    <cellStyle name="Normal 2 4 2 2 2 2 5 3 10 2" xfId="24731"/>
    <cellStyle name="Normal 2 4 2 2 2 2 5 3 11" xfId="24732"/>
    <cellStyle name="Normal 2 4 2 2 2 2 5 3 2" xfId="24733"/>
    <cellStyle name="Normal 2 4 2 2 2 2 5 3 2 2" xfId="24734"/>
    <cellStyle name="Normal 2 4 2 2 2 2 5 3 3" xfId="24735"/>
    <cellStyle name="Normal 2 4 2 2 2 2 5 3 3 2" xfId="24736"/>
    <cellStyle name="Normal 2 4 2 2 2 2 5 3 4" xfId="24737"/>
    <cellStyle name="Normal 2 4 2 2 2 2 5 3 4 2" xfId="24738"/>
    <cellStyle name="Normal 2 4 2 2 2 2 5 3 5" xfId="24739"/>
    <cellStyle name="Normal 2 4 2 2 2 2 5 3 5 2" xfId="24740"/>
    <cellStyle name="Normal 2 4 2 2 2 2 5 3 6" xfId="24741"/>
    <cellStyle name="Normal 2 4 2 2 2 2 5 3 6 2" xfId="24742"/>
    <cellStyle name="Normal 2 4 2 2 2 2 5 3 7" xfId="24743"/>
    <cellStyle name="Normal 2 4 2 2 2 2 5 3 7 2" xfId="24744"/>
    <cellStyle name="Normal 2 4 2 2 2 2 5 3 8" xfId="24745"/>
    <cellStyle name="Normal 2 4 2 2 2 2 5 3 8 2" xfId="24746"/>
    <cellStyle name="Normal 2 4 2 2 2 2 5 3 9" xfId="24747"/>
    <cellStyle name="Normal 2 4 2 2 2 2 5 3 9 2" xfId="24748"/>
    <cellStyle name="Normal 2 4 2 2 2 2 5 4" xfId="24749"/>
    <cellStyle name="Normal 2 4 2 2 2 2 5 4 2" xfId="24750"/>
    <cellStyle name="Normal 2 4 2 2 2 2 5 5" xfId="24751"/>
    <cellStyle name="Normal 2 4 2 2 2 2 5 5 2" xfId="24752"/>
    <cellStyle name="Normal 2 4 2 2 2 2 5 6" xfId="24753"/>
    <cellStyle name="Normal 2 4 2 2 2 2 5 6 2" xfId="24754"/>
    <cellStyle name="Normal 2 4 2 2 2 2 5 7" xfId="24755"/>
    <cellStyle name="Normal 2 4 2 2 2 2 5 7 2" xfId="24756"/>
    <cellStyle name="Normal 2 4 2 2 2 2 5 8" xfId="24757"/>
    <cellStyle name="Normal 2 4 2 2 2 2 5 8 2" xfId="24758"/>
    <cellStyle name="Normal 2 4 2 2 2 2 5 9" xfId="24759"/>
    <cellStyle name="Normal 2 4 2 2 2 2 5 9 2" xfId="24760"/>
    <cellStyle name="Normal 2 4 2 2 2 2 6" xfId="24761"/>
    <cellStyle name="Normal 2 4 2 2 2 3" xfId="24762"/>
    <cellStyle name="Normal 2 4 2 2 2 3 2" xfId="24763"/>
    <cellStyle name="Normal 2 4 2 2 2 4" xfId="24764"/>
    <cellStyle name="Normal 2 4 2 2 2 4 2" xfId="24765"/>
    <cellStyle name="Normal 2 4 2 2 2 5" xfId="24766"/>
    <cellStyle name="Normal 2 4 2 2 2 5 2" xfId="24767"/>
    <cellStyle name="Normal 2 4 2 2 2 6" xfId="24768"/>
    <cellStyle name="Normal 2 4 2 2 2 6 10" xfId="24769"/>
    <cellStyle name="Normal 2 4 2 2 2 6 10 2" xfId="24770"/>
    <cellStyle name="Normal 2 4 2 2 2 6 11" xfId="24771"/>
    <cellStyle name="Normal 2 4 2 2 2 6 11 2" xfId="24772"/>
    <cellStyle name="Normal 2 4 2 2 2 6 12" xfId="24773"/>
    <cellStyle name="Normal 2 4 2 2 2 6 2" xfId="24774"/>
    <cellStyle name="Normal 2 4 2 2 2 6 2 10" xfId="24775"/>
    <cellStyle name="Normal 2 4 2 2 2 6 2 10 2" xfId="24776"/>
    <cellStyle name="Normal 2 4 2 2 2 6 2 11" xfId="24777"/>
    <cellStyle name="Normal 2 4 2 2 2 6 2 2" xfId="24778"/>
    <cellStyle name="Normal 2 4 2 2 2 6 2 2 2" xfId="24779"/>
    <cellStyle name="Normal 2 4 2 2 2 6 2 3" xfId="24780"/>
    <cellStyle name="Normal 2 4 2 2 2 6 2 3 2" xfId="24781"/>
    <cellStyle name="Normal 2 4 2 2 2 6 2 4" xfId="24782"/>
    <cellStyle name="Normal 2 4 2 2 2 6 2 4 2" xfId="24783"/>
    <cellStyle name="Normal 2 4 2 2 2 6 2 5" xfId="24784"/>
    <cellStyle name="Normal 2 4 2 2 2 6 2 5 2" xfId="24785"/>
    <cellStyle name="Normal 2 4 2 2 2 6 2 6" xfId="24786"/>
    <cellStyle name="Normal 2 4 2 2 2 6 2 6 2" xfId="24787"/>
    <cellStyle name="Normal 2 4 2 2 2 6 2 7" xfId="24788"/>
    <cellStyle name="Normal 2 4 2 2 2 6 2 7 2" xfId="24789"/>
    <cellStyle name="Normal 2 4 2 2 2 6 2 8" xfId="24790"/>
    <cellStyle name="Normal 2 4 2 2 2 6 2 8 2" xfId="24791"/>
    <cellStyle name="Normal 2 4 2 2 2 6 2 9" xfId="24792"/>
    <cellStyle name="Normal 2 4 2 2 2 6 2 9 2" xfId="24793"/>
    <cellStyle name="Normal 2 4 2 2 2 6 3" xfId="24794"/>
    <cellStyle name="Normal 2 4 2 2 2 6 3 2" xfId="24795"/>
    <cellStyle name="Normal 2 4 2 2 2 6 4" xfId="24796"/>
    <cellStyle name="Normal 2 4 2 2 2 6 4 2" xfId="24797"/>
    <cellStyle name="Normal 2 4 2 2 2 6 5" xfId="24798"/>
    <cellStyle name="Normal 2 4 2 2 2 6 5 2" xfId="24799"/>
    <cellStyle name="Normal 2 4 2 2 2 6 6" xfId="24800"/>
    <cellStyle name="Normal 2 4 2 2 2 6 6 2" xfId="24801"/>
    <cellStyle name="Normal 2 4 2 2 2 6 7" xfId="24802"/>
    <cellStyle name="Normal 2 4 2 2 2 6 7 2" xfId="24803"/>
    <cellStyle name="Normal 2 4 2 2 2 6 8" xfId="24804"/>
    <cellStyle name="Normal 2 4 2 2 2 6 8 2" xfId="24805"/>
    <cellStyle name="Normal 2 4 2 2 2 6 9" xfId="24806"/>
    <cellStyle name="Normal 2 4 2 2 2 6 9 2" xfId="24807"/>
    <cellStyle name="Normal 2 4 2 2 2 7" xfId="24808"/>
    <cellStyle name="Normal 2 4 2 2 2 7 10" xfId="24809"/>
    <cellStyle name="Normal 2 4 2 2 2 7 10 2" xfId="24810"/>
    <cellStyle name="Normal 2 4 2 2 2 7 11" xfId="24811"/>
    <cellStyle name="Normal 2 4 2 2 2 7 2" xfId="24812"/>
    <cellStyle name="Normal 2 4 2 2 2 7 2 2" xfId="24813"/>
    <cellStyle name="Normal 2 4 2 2 2 7 3" xfId="24814"/>
    <cellStyle name="Normal 2 4 2 2 2 7 3 2" xfId="24815"/>
    <cellStyle name="Normal 2 4 2 2 2 7 4" xfId="24816"/>
    <cellStyle name="Normal 2 4 2 2 2 7 4 2" xfId="24817"/>
    <cellStyle name="Normal 2 4 2 2 2 7 5" xfId="24818"/>
    <cellStyle name="Normal 2 4 2 2 2 7 5 2" xfId="24819"/>
    <cellStyle name="Normal 2 4 2 2 2 7 6" xfId="24820"/>
    <cellStyle name="Normal 2 4 2 2 2 7 6 2" xfId="24821"/>
    <cellStyle name="Normal 2 4 2 2 2 7 7" xfId="24822"/>
    <cellStyle name="Normal 2 4 2 2 2 7 7 2" xfId="24823"/>
    <cellStyle name="Normal 2 4 2 2 2 7 8" xfId="24824"/>
    <cellStyle name="Normal 2 4 2 2 2 7 8 2" xfId="24825"/>
    <cellStyle name="Normal 2 4 2 2 2 7 9" xfId="24826"/>
    <cellStyle name="Normal 2 4 2 2 2 7 9 2" xfId="24827"/>
    <cellStyle name="Normal 2 4 2 2 2 8" xfId="24828"/>
    <cellStyle name="Normal 2 4 2 2 2 8 2" xfId="24829"/>
    <cellStyle name="Normal 2 4 2 2 2 9" xfId="24830"/>
    <cellStyle name="Normal 2 4 2 2 2 9 2" xfId="24831"/>
    <cellStyle name="Normal 2 4 2 2 3" xfId="24832"/>
    <cellStyle name="Normal 2 4 2 2 3 10" xfId="24833"/>
    <cellStyle name="Normal 2 4 2 2 3 10 2" xfId="24834"/>
    <cellStyle name="Normal 2 4 2 2 3 11" xfId="24835"/>
    <cellStyle name="Normal 2 4 2 2 3 11 2" xfId="24836"/>
    <cellStyle name="Normal 2 4 2 2 3 12" xfId="24837"/>
    <cellStyle name="Normal 2 4 2 2 3 12 2" xfId="24838"/>
    <cellStyle name="Normal 2 4 2 2 3 13" xfId="24839"/>
    <cellStyle name="Normal 2 4 2 2 3 2" xfId="24840"/>
    <cellStyle name="Normal 2 4 2 2 3 2 10" xfId="24841"/>
    <cellStyle name="Normal 2 4 2 2 3 2 10 2" xfId="24842"/>
    <cellStyle name="Normal 2 4 2 2 3 2 11" xfId="24843"/>
    <cellStyle name="Normal 2 4 2 2 3 2 11 2" xfId="24844"/>
    <cellStyle name="Normal 2 4 2 2 3 2 12" xfId="24845"/>
    <cellStyle name="Normal 2 4 2 2 3 2 2" xfId="24846"/>
    <cellStyle name="Normal 2 4 2 2 3 2 2 10" xfId="24847"/>
    <cellStyle name="Normal 2 4 2 2 3 2 2 10 2" xfId="24848"/>
    <cellStyle name="Normal 2 4 2 2 3 2 2 11" xfId="24849"/>
    <cellStyle name="Normal 2 4 2 2 3 2 2 2" xfId="24850"/>
    <cellStyle name="Normal 2 4 2 2 3 2 2 2 2" xfId="24851"/>
    <cellStyle name="Normal 2 4 2 2 3 2 2 3" xfId="24852"/>
    <cellStyle name="Normal 2 4 2 2 3 2 2 3 2" xfId="24853"/>
    <cellStyle name="Normal 2 4 2 2 3 2 2 4" xfId="24854"/>
    <cellStyle name="Normal 2 4 2 2 3 2 2 4 2" xfId="24855"/>
    <cellStyle name="Normal 2 4 2 2 3 2 2 5" xfId="24856"/>
    <cellStyle name="Normal 2 4 2 2 3 2 2 5 2" xfId="24857"/>
    <cellStyle name="Normal 2 4 2 2 3 2 2 6" xfId="24858"/>
    <cellStyle name="Normal 2 4 2 2 3 2 2 6 2" xfId="24859"/>
    <cellStyle name="Normal 2 4 2 2 3 2 2 7" xfId="24860"/>
    <cellStyle name="Normal 2 4 2 2 3 2 2 7 2" xfId="24861"/>
    <cellStyle name="Normal 2 4 2 2 3 2 2 8" xfId="24862"/>
    <cellStyle name="Normal 2 4 2 2 3 2 2 8 2" xfId="24863"/>
    <cellStyle name="Normal 2 4 2 2 3 2 2 9" xfId="24864"/>
    <cellStyle name="Normal 2 4 2 2 3 2 2 9 2" xfId="24865"/>
    <cellStyle name="Normal 2 4 2 2 3 2 3" xfId="24866"/>
    <cellStyle name="Normal 2 4 2 2 3 2 3 2" xfId="24867"/>
    <cellStyle name="Normal 2 4 2 2 3 2 4" xfId="24868"/>
    <cellStyle name="Normal 2 4 2 2 3 2 4 2" xfId="24869"/>
    <cellStyle name="Normal 2 4 2 2 3 2 5" xfId="24870"/>
    <cellStyle name="Normal 2 4 2 2 3 2 5 2" xfId="24871"/>
    <cellStyle name="Normal 2 4 2 2 3 2 6" xfId="24872"/>
    <cellStyle name="Normal 2 4 2 2 3 2 6 2" xfId="24873"/>
    <cellStyle name="Normal 2 4 2 2 3 2 7" xfId="24874"/>
    <cellStyle name="Normal 2 4 2 2 3 2 7 2" xfId="24875"/>
    <cellStyle name="Normal 2 4 2 2 3 2 8" xfId="24876"/>
    <cellStyle name="Normal 2 4 2 2 3 2 8 2" xfId="24877"/>
    <cellStyle name="Normal 2 4 2 2 3 2 9" xfId="24878"/>
    <cellStyle name="Normal 2 4 2 2 3 2 9 2" xfId="24879"/>
    <cellStyle name="Normal 2 4 2 2 3 3" xfId="24880"/>
    <cellStyle name="Normal 2 4 2 2 3 3 10" xfId="24881"/>
    <cellStyle name="Normal 2 4 2 2 3 3 10 2" xfId="24882"/>
    <cellStyle name="Normal 2 4 2 2 3 3 11" xfId="24883"/>
    <cellStyle name="Normal 2 4 2 2 3 3 2" xfId="24884"/>
    <cellStyle name="Normal 2 4 2 2 3 3 2 2" xfId="24885"/>
    <cellStyle name="Normal 2 4 2 2 3 3 3" xfId="24886"/>
    <cellStyle name="Normal 2 4 2 2 3 3 3 2" xfId="24887"/>
    <cellStyle name="Normal 2 4 2 2 3 3 4" xfId="24888"/>
    <cellStyle name="Normal 2 4 2 2 3 3 4 2" xfId="24889"/>
    <cellStyle name="Normal 2 4 2 2 3 3 5" xfId="24890"/>
    <cellStyle name="Normal 2 4 2 2 3 3 5 2" xfId="24891"/>
    <cellStyle name="Normal 2 4 2 2 3 3 6" xfId="24892"/>
    <cellStyle name="Normal 2 4 2 2 3 3 6 2" xfId="24893"/>
    <cellStyle name="Normal 2 4 2 2 3 3 7" xfId="24894"/>
    <cellStyle name="Normal 2 4 2 2 3 3 7 2" xfId="24895"/>
    <cellStyle name="Normal 2 4 2 2 3 3 8" xfId="24896"/>
    <cellStyle name="Normal 2 4 2 2 3 3 8 2" xfId="24897"/>
    <cellStyle name="Normal 2 4 2 2 3 3 9" xfId="24898"/>
    <cellStyle name="Normal 2 4 2 2 3 3 9 2" xfId="24899"/>
    <cellStyle name="Normal 2 4 2 2 3 4" xfId="24900"/>
    <cellStyle name="Normal 2 4 2 2 3 4 2" xfId="24901"/>
    <cellStyle name="Normal 2 4 2 2 3 5" xfId="24902"/>
    <cellStyle name="Normal 2 4 2 2 3 5 2" xfId="24903"/>
    <cellStyle name="Normal 2 4 2 2 3 6" xfId="24904"/>
    <cellStyle name="Normal 2 4 2 2 3 6 2" xfId="24905"/>
    <cellStyle name="Normal 2 4 2 2 3 7" xfId="24906"/>
    <cellStyle name="Normal 2 4 2 2 3 7 2" xfId="24907"/>
    <cellStyle name="Normal 2 4 2 2 3 8" xfId="24908"/>
    <cellStyle name="Normal 2 4 2 2 3 8 2" xfId="24909"/>
    <cellStyle name="Normal 2 4 2 2 3 9" xfId="24910"/>
    <cellStyle name="Normal 2 4 2 2 3 9 2" xfId="24911"/>
    <cellStyle name="Normal 2 4 2 2 4" xfId="24912"/>
    <cellStyle name="Normal 2 4 2 2 4 10" xfId="24913"/>
    <cellStyle name="Normal 2 4 2 2 4 10 2" xfId="24914"/>
    <cellStyle name="Normal 2 4 2 2 4 11" xfId="24915"/>
    <cellStyle name="Normal 2 4 2 2 4 11 2" xfId="24916"/>
    <cellStyle name="Normal 2 4 2 2 4 12" xfId="24917"/>
    <cellStyle name="Normal 2 4 2 2 4 12 2" xfId="24918"/>
    <cellStyle name="Normal 2 4 2 2 4 13" xfId="24919"/>
    <cellStyle name="Normal 2 4 2 2 4 2" xfId="24920"/>
    <cellStyle name="Normal 2 4 2 2 4 2 10" xfId="24921"/>
    <cellStyle name="Normal 2 4 2 2 4 2 10 2" xfId="24922"/>
    <cellStyle name="Normal 2 4 2 2 4 2 11" xfId="24923"/>
    <cellStyle name="Normal 2 4 2 2 4 2 11 2" xfId="24924"/>
    <cellStyle name="Normal 2 4 2 2 4 2 12" xfId="24925"/>
    <cellStyle name="Normal 2 4 2 2 4 2 2" xfId="24926"/>
    <cellStyle name="Normal 2 4 2 2 4 2 2 10" xfId="24927"/>
    <cellStyle name="Normal 2 4 2 2 4 2 2 10 2" xfId="24928"/>
    <cellStyle name="Normal 2 4 2 2 4 2 2 11" xfId="24929"/>
    <cellStyle name="Normal 2 4 2 2 4 2 2 2" xfId="24930"/>
    <cellStyle name="Normal 2 4 2 2 4 2 2 2 2" xfId="24931"/>
    <cellStyle name="Normal 2 4 2 2 4 2 2 3" xfId="24932"/>
    <cellStyle name="Normal 2 4 2 2 4 2 2 3 2" xfId="24933"/>
    <cellStyle name="Normal 2 4 2 2 4 2 2 4" xfId="24934"/>
    <cellStyle name="Normal 2 4 2 2 4 2 2 4 2" xfId="24935"/>
    <cellStyle name="Normal 2 4 2 2 4 2 2 5" xfId="24936"/>
    <cellStyle name="Normal 2 4 2 2 4 2 2 5 2" xfId="24937"/>
    <cellStyle name="Normal 2 4 2 2 4 2 2 6" xfId="24938"/>
    <cellStyle name="Normal 2 4 2 2 4 2 2 6 2" xfId="24939"/>
    <cellStyle name="Normal 2 4 2 2 4 2 2 7" xfId="24940"/>
    <cellStyle name="Normal 2 4 2 2 4 2 2 7 2" xfId="24941"/>
    <cellStyle name="Normal 2 4 2 2 4 2 2 8" xfId="24942"/>
    <cellStyle name="Normal 2 4 2 2 4 2 2 8 2" xfId="24943"/>
    <cellStyle name="Normal 2 4 2 2 4 2 2 9" xfId="24944"/>
    <cellStyle name="Normal 2 4 2 2 4 2 2 9 2" xfId="24945"/>
    <cellStyle name="Normal 2 4 2 2 4 2 3" xfId="24946"/>
    <cellStyle name="Normal 2 4 2 2 4 2 3 2" xfId="24947"/>
    <cellStyle name="Normal 2 4 2 2 4 2 4" xfId="24948"/>
    <cellStyle name="Normal 2 4 2 2 4 2 4 2" xfId="24949"/>
    <cellStyle name="Normal 2 4 2 2 4 2 5" xfId="24950"/>
    <cellStyle name="Normal 2 4 2 2 4 2 5 2" xfId="24951"/>
    <cellStyle name="Normal 2 4 2 2 4 2 6" xfId="24952"/>
    <cellStyle name="Normal 2 4 2 2 4 2 6 2" xfId="24953"/>
    <cellStyle name="Normal 2 4 2 2 4 2 7" xfId="24954"/>
    <cellStyle name="Normal 2 4 2 2 4 2 7 2" xfId="24955"/>
    <cellStyle name="Normal 2 4 2 2 4 2 8" xfId="24956"/>
    <cellStyle name="Normal 2 4 2 2 4 2 8 2" xfId="24957"/>
    <cellStyle name="Normal 2 4 2 2 4 2 9" xfId="24958"/>
    <cellStyle name="Normal 2 4 2 2 4 2 9 2" xfId="24959"/>
    <cellStyle name="Normal 2 4 2 2 4 3" xfId="24960"/>
    <cellStyle name="Normal 2 4 2 2 4 3 10" xfId="24961"/>
    <cellStyle name="Normal 2 4 2 2 4 3 10 2" xfId="24962"/>
    <cellStyle name="Normal 2 4 2 2 4 3 11" xfId="24963"/>
    <cellStyle name="Normal 2 4 2 2 4 3 2" xfId="24964"/>
    <cellStyle name="Normal 2 4 2 2 4 3 2 2" xfId="24965"/>
    <cellStyle name="Normal 2 4 2 2 4 3 3" xfId="24966"/>
    <cellStyle name="Normal 2 4 2 2 4 3 3 2" xfId="24967"/>
    <cellStyle name="Normal 2 4 2 2 4 3 4" xfId="24968"/>
    <cellStyle name="Normal 2 4 2 2 4 3 4 2" xfId="24969"/>
    <cellStyle name="Normal 2 4 2 2 4 3 5" xfId="24970"/>
    <cellStyle name="Normal 2 4 2 2 4 3 5 2" xfId="24971"/>
    <cellStyle name="Normal 2 4 2 2 4 3 6" xfId="24972"/>
    <cellStyle name="Normal 2 4 2 2 4 3 6 2" xfId="24973"/>
    <cellStyle name="Normal 2 4 2 2 4 3 7" xfId="24974"/>
    <cellStyle name="Normal 2 4 2 2 4 3 7 2" xfId="24975"/>
    <cellStyle name="Normal 2 4 2 2 4 3 8" xfId="24976"/>
    <cellStyle name="Normal 2 4 2 2 4 3 8 2" xfId="24977"/>
    <cellStyle name="Normal 2 4 2 2 4 3 9" xfId="24978"/>
    <cellStyle name="Normal 2 4 2 2 4 3 9 2" xfId="24979"/>
    <cellStyle name="Normal 2 4 2 2 4 4" xfId="24980"/>
    <cellStyle name="Normal 2 4 2 2 4 4 2" xfId="24981"/>
    <cellStyle name="Normal 2 4 2 2 4 5" xfId="24982"/>
    <cellStyle name="Normal 2 4 2 2 4 5 2" xfId="24983"/>
    <cellStyle name="Normal 2 4 2 2 4 6" xfId="24984"/>
    <cellStyle name="Normal 2 4 2 2 4 6 2" xfId="24985"/>
    <cellStyle name="Normal 2 4 2 2 4 7" xfId="24986"/>
    <cellStyle name="Normal 2 4 2 2 4 7 2" xfId="24987"/>
    <cellStyle name="Normal 2 4 2 2 4 8" xfId="24988"/>
    <cellStyle name="Normal 2 4 2 2 4 8 2" xfId="24989"/>
    <cellStyle name="Normal 2 4 2 2 4 9" xfId="24990"/>
    <cellStyle name="Normal 2 4 2 2 4 9 2" xfId="24991"/>
    <cellStyle name="Normal 2 4 2 2 5" xfId="24992"/>
    <cellStyle name="Normal 2 4 2 2 5 10" xfId="24993"/>
    <cellStyle name="Normal 2 4 2 2 5 10 2" xfId="24994"/>
    <cellStyle name="Normal 2 4 2 2 5 11" xfId="24995"/>
    <cellStyle name="Normal 2 4 2 2 5 11 2" xfId="24996"/>
    <cellStyle name="Normal 2 4 2 2 5 12" xfId="24997"/>
    <cellStyle name="Normal 2 4 2 2 5 12 2" xfId="24998"/>
    <cellStyle name="Normal 2 4 2 2 5 13" xfId="24999"/>
    <cellStyle name="Normal 2 4 2 2 5 2" xfId="25000"/>
    <cellStyle name="Normal 2 4 2 2 5 2 10" xfId="25001"/>
    <cellStyle name="Normal 2 4 2 2 5 2 10 2" xfId="25002"/>
    <cellStyle name="Normal 2 4 2 2 5 2 11" xfId="25003"/>
    <cellStyle name="Normal 2 4 2 2 5 2 11 2" xfId="25004"/>
    <cellStyle name="Normal 2 4 2 2 5 2 12" xfId="25005"/>
    <cellStyle name="Normal 2 4 2 2 5 2 2" xfId="25006"/>
    <cellStyle name="Normal 2 4 2 2 5 2 2 10" xfId="25007"/>
    <cellStyle name="Normal 2 4 2 2 5 2 2 10 2" xfId="25008"/>
    <cellStyle name="Normal 2 4 2 2 5 2 2 11" xfId="25009"/>
    <cellStyle name="Normal 2 4 2 2 5 2 2 2" xfId="25010"/>
    <cellStyle name="Normal 2 4 2 2 5 2 2 2 2" xfId="25011"/>
    <cellStyle name="Normal 2 4 2 2 5 2 2 3" xfId="25012"/>
    <cellStyle name="Normal 2 4 2 2 5 2 2 3 2" xfId="25013"/>
    <cellStyle name="Normal 2 4 2 2 5 2 2 4" xfId="25014"/>
    <cellStyle name="Normal 2 4 2 2 5 2 2 4 2" xfId="25015"/>
    <cellStyle name="Normal 2 4 2 2 5 2 2 5" xfId="25016"/>
    <cellStyle name="Normal 2 4 2 2 5 2 2 5 2" xfId="25017"/>
    <cellStyle name="Normal 2 4 2 2 5 2 2 6" xfId="25018"/>
    <cellStyle name="Normal 2 4 2 2 5 2 2 6 2" xfId="25019"/>
    <cellStyle name="Normal 2 4 2 2 5 2 2 7" xfId="25020"/>
    <cellStyle name="Normal 2 4 2 2 5 2 2 7 2" xfId="25021"/>
    <cellStyle name="Normal 2 4 2 2 5 2 2 8" xfId="25022"/>
    <cellStyle name="Normal 2 4 2 2 5 2 2 8 2" xfId="25023"/>
    <cellStyle name="Normal 2 4 2 2 5 2 2 9" xfId="25024"/>
    <cellStyle name="Normal 2 4 2 2 5 2 2 9 2" xfId="25025"/>
    <cellStyle name="Normal 2 4 2 2 5 2 3" xfId="25026"/>
    <cellStyle name="Normal 2 4 2 2 5 2 3 2" xfId="25027"/>
    <cellStyle name="Normal 2 4 2 2 5 2 4" xfId="25028"/>
    <cellStyle name="Normal 2 4 2 2 5 2 4 2" xfId="25029"/>
    <cellStyle name="Normal 2 4 2 2 5 2 5" xfId="25030"/>
    <cellStyle name="Normal 2 4 2 2 5 2 5 2" xfId="25031"/>
    <cellStyle name="Normal 2 4 2 2 5 2 6" xfId="25032"/>
    <cellStyle name="Normal 2 4 2 2 5 2 6 2" xfId="25033"/>
    <cellStyle name="Normal 2 4 2 2 5 2 7" xfId="25034"/>
    <cellStyle name="Normal 2 4 2 2 5 2 7 2" xfId="25035"/>
    <cellStyle name="Normal 2 4 2 2 5 2 8" xfId="25036"/>
    <cellStyle name="Normal 2 4 2 2 5 2 8 2" xfId="25037"/>
    <cellStyle name="Normal 2 4 2 2 5 2 9" xfId="25038"/>
    <cellStyle name="Normal 2 4 2 2 5 2 9 2" xfId="25039"/>
    <cellStyle name="Normal 2 4 2 2 5 3" xfId="25040"/>
    <cellStyle name="Normal 2 4 2 2 5 3 10" xfId="25041"/>
    <cellStyle name="Normal 2 4 2 2 5 3 10 2" xfId="25042"/>
    <cellStyle name="Normal 2 4 2 2 5 3 11" xfId="25043"/>
    <cellStyle name="Normal 2 4 2 2 5 3 2" xfId="25044"/>
    <cellStyle name="Normal 2 4 2 2 5 3 2 2" xfId="25045"/>
    <cellStyle name="Normal 2 4 2 2 5 3 3" xfId="25046"/>
    <cellStyle name="Normal 2 4 2 2 5 3 3 2" xfId="25047"/>
    <cellStyle name="Normal 2 4 2 2 5 3 4" xfId="25048"/>
    <cellStyle name="Normal 2 4 2 2 5 3 4 2" xfId="25049"/>
    <cellStyle name="Normal 2 4 2 2 5 3 5" xfId="25050"/>
    <cellStyle name="Normal 2 4 2 2 5 3 5 2" xfId="25051"/>
    <cellStyle name="Normal 2 4 2 2 5 3 6" xfId="25052"/>
    <cellStyle name="Normal 2 4 2 2 5 3 6 2" xfId="25053"/>
    <cellStyle name="Normal 2 4 2 2 5 3 7" xfId="25054"/>
    <cellStyle name="Normal 2 4 2 2 5 3 7 2" xfId="25055"/>
    <cellStyle name="Normal 2 4 2 2 5 3 8" xfId="25056"/>
    <cellStyle name="Normal 2 4 2 2 5 3 8 2" xfId="25057"/>
    <cellStyle name="Normal 2 4 2 2 5 3 9" xfId="25058"/>
    <cellStyle name="Normal 2 4 2 2 5 3 9 2" xfId="25059"/>
    <cellStyle name="Normal 2 4 2 2 5 4" xfId="25060"/>
    <cellStyle name="Normal 2 4 2 2 5 4 2" xfId="25061"/>
    <cellStyle name="Normal 2 4 2 2 5 5" xfId="25062"/>
    <cellStyle name="Normal 2 4 2 2 5 5 2" xfId="25063"/>
    <cellStyle name="Normal 2 4 2 2 5 6" xfId="25064"/>
    <cellStyle name="Normal 2 4 2 2 5 6 2" xfId="25065"/>
    <cellStyle name="Normal 2 4 2 2 5 7" xfId="25066"/>
    <cellStyle name="Normal 2 4 2 2 5 7 2" xfId="25067"/>
    <cellStyle name="Normal 2 4 2 2 5 8" xfId="25068"/>
    <cellStyle name="Normal 2 4 2 2 5 8 2" xfId="25069"/>
    <cellStyle name="Normal 2 4 2 2 5 9" xfId="25070"/>
    <cellStyle name="Normal 2 4 2 2 5 9 2" xfId="25071"/>
    <cellStyle name="Normal 2 4 2 2 6" xfId="25072"/>
    <cellStyle name="Normal 2 4 2 2 6 10" xfId="25073"/>
    <cellStyle name="Normal 2 4 2 2 6 10 2" xfId="25074"/>
    <cellStyle name="Normal 2 4 2 2 6 11" xfId="25075"/>
    <cellStyle name="Normal 2 4 2 2 6 11 2" xfId="25076"/>
    <cellStyle name="Normal 2 4 2 2 6 12" xfId="25077"/>
    <cellStyle name="Normal 2 4 2 2 6 12 2" xfId="25078"/>
    <cellStyle name="Normal 2 4 2 2 6 13" xfId="25079"/>
    <cellStyle name="Normal 2 4 2 2 6 2" xfId="25080"/>
    <cellStyle name="Normal 2 4 2 2 6 2 10" xfId="25081"/>
    <cellStyle name="Normal 2 4 2 2 6 2 10 2" xfId="25082"/>
    <cellStyle name="Normal 2 4 2 2 6 2 11" xfId="25083"/>
    <cellStyle name="Normal 2 4 2 2 6 2 11 2" xfId="25084"/>
    <cellStyle name="Normal 2 4 2 2 6 2 12" xfId="25085"/>
    <cellStyle name="Normal 2 4 2 2 6 2 2" xfId="25086"/>
    <cellStyle name="Normal 2 4 2 2 6 2 2 10" xfId="25087"/>
    <cellStyle name="Normal 2 4 2 2 6 2 2 10 2" xfId="25088"/>
    <cellStyle name="Normal 2 4 2 2 6 2 2 11" xfId="25089"/>
    <cellStyle name="Normal 2 4 2 2 6 2 2 2" xfId="25090"/>
    <cellStyle name="Normal 2 4 2 2 6 2 2 2 2" xfId="25091"/>
    <cellStyle name="Normal 2 4 2 2 6 2 2 3" xfId="25092"/>
    <cellStyle name="Normal 2 4 2 2 6 2 2 3 2" xfId="25093"/>
    <cellStyle name="Normal 2 4 2 2 6 2 2 4" xfId="25094"/>
    <cellStyle name="Normal 2 4 2 2 6 2 2 4 2" xfId="25095"/>
    <cellStyle name="Normal 2 4 2 2 6 2 2 5" xfId="25096"/>
    <cellStyle name="Normal 2 4 2 2 6 2 2 5 2" xfId="25097"/>
    <cellStyle name="Normal 2 4 2 2 6 2 2 6" xfId="25098"/>
    <cellStyle name="Normal 2 4 2 2 6 2 2 6 2" xfId="25099"/>
    <cellStyle name="Normal 2 4 2 2 6 2 2 7" xfId="25100"/>
    <cellStyle name="Normal 2 4 2 2 6 2 2 7 2" xfId="25101"/>
    <cellStyle name="Normal 2 4 2 2 6 2 2 8" xfId="25102"/>
    <cellStyle name="Normal 2 4 2 2 6 2 2 8 2" xfId="25103"/>
    <cellStyle name="Normal 2 4 2 2 6 2 2 9" xfId="25104"/>
    <cellStyle name="Normal 2 4 2 2 6 2 2 9 2" xfId="25105"/>
    <cellStyle name="Normal 2 4 2 2 6 2 3" xfId="25106"/>
    <cellStyle name="Normal 2 4 2 2 6 2 3 2" xfId="25107"/>
    <cellStyle name="Normal 2 4 2 2 6 2 4" xfId="25108"/>
    <cellStyle name="Normal 2 4 2 2 6 2 4 2" xfId="25109"/>
    <cellStyle name="Normal 2 4 2 2 6 2 5" xfId="25110"/>
    <cellStyle name="Normal 2 4 2 2 6 2 5 2" xfId="25111"/>
    <cellStyle name="Normal 2 4 2 2 6 2 6" xfId="25112"/>
    <cellStyle name="Normal 2 4 2 2 6 2 6 2" xfId="25113"/>
    <cellStyle name="Normal 2 4 2 2 6 2 7" xfId="25114"/>
    <cellStyle name="Normal 2 4 2 2 6 2 7 2" xfId="25115"/>
    <cellStyle name="Normal 2 4 2 2 6 2 8" xfId="25116"/>
    <cellStyle name="Normal 2 4 2 2 6 2 8 2" xfId="25117"/>
    <cellStyle name="Normal 2 4 2 2 6 2 9" xfId="25118"/>
    <cellStyle name="Normal 2 4 2 2 6 2 9 2" xfId="25119"/>
    <cellStyle name="Normal 2 4 2 2 6 3" xfId="25120"/>
    <cellStyle name="Normal 2 4 2 2 6 3 10" xfId="25121"/>
    <cellStyle name="Normal 2 4 2 2 6 3 10 2" xfId="25122"/>
    <cellStyle name="Normal 2 4 2 2 6 3 11" xfId="25123"/>
    <cellStyle name="Normal 2 4 2 2 6 3 2" xfId="25124"/>
    <cellStyle name="Normal 2 4 2 2 6 3 2 2" xfId="25125"/>
    <cellStyle name="Normal 2 4 2 2 6 3 3" xfId="25126"/>
    <cellStyle name="Normal 2 4 2 2 6 3 3 2" xfId="25127"/>
    <cellStyle name="Normal 2 4 2 2 6 3 4" xfId="25128"/>
    <cellStyle name="Normal 2 4 2 2 6 3 4 2" xfId="25129"/>
    <cellStyle name="Normal 2 4 2 2 6 3 5" xfId="25130"/>
    <cellStyle name="Normal 2 4 2 2 6 3 5 2" xfId="25131"/>
    <cellStyle name="Normal 2 4 2 2 6 3 6" xfId="25132"/>
    <cellStyle name="Normal 2 4 2 2 6 3 6 2" xfId="25133"/>
    <cellStyle name="Normal 2 4 2 2 6 3 7" xfId="25134"/>
    <cellStyle name="Normal 2 4 2 2 6 3 7 2" xfId="25135"/>
    <cellStyle name="Normal 2 4 2 2 6 3 8" xfId="25136"/>
    <cellStyle name="Normal 2 4 2 2 6 3 8 2" xfId="25137"/>
    <cellStyle name="Normal 2 4 2 2 6 3 9" xfId="25138"/>
    <cellStyle name="Normal 2 4 2 2 6 3 9 2" xfId="25139"/>
    <cellStyle name="Normal 2 4 2 2 6 4" xfId="25140"/>
    <cellStyle name="Normal 2 4 2 2 6 4 2" xfId="25141"/>
    <cellStyle name="Normal 2 4 2 2 6 5" xfId="25142"/>
    <cellStyle name="Normal 2 4 2 2 6 5 2" xfId="25143"/>
    <cellStyle name="Normal 2 4 2 2 6 6" xfId="25144"/>
    <cellStyle name="Normal 2 4 2 2 6 6 2" xfId="25145"/>
    <cellStyle name="Normal 2 4 2 2 6 7" xfId="25146"/>
    <cellStyle name="Normal 2 4 2 2 6 7 2" xfId="25147"/>
    <cellStyle name="Normal 2 4 2 2 6 8" xfId="25148"/>
    <cellStyle name="Normal 2 4 2 2 6 8 2" xfId="25149"/>
    <cellStyle name="Normal 2 4 2 2 6 9" xfId="25150"/>
    <cellStyle name="Normal 2 4 2 2 6 9 2" xfId="25151"/>
    <cellStyle name="Normal 2 4 2 2 7" xfId="25152"/>
    <cellStyle name="Normal 2 4 2 3" xfId="25153"/>
    <cellStyle name="Normal 2 4 2 3 10" xfId="25154"/>
    <cellStyle name="Normal 2 4 2 3 10 2" xfId="25155"/>
    <cellStyle name="Normal 2 4 2 3 11" xfId="25156"/>
    <cellStyle name="Normal 2 4 2 3 11 2" xfId="25157"/>
    <cellStyle name="Normal 2 4 2 3 12" xfId="25158"/>
    <cellStyle name="Normal 2 4 2 3 12 2" xfId="25159"/>
    <cellStyle name="Normal 2 4 2 3 13" xfId="25160"/>
    <cellStyle name="Normal 2 4 2 3 2" xfId="25161"/>
    <cellStyle name="Normal 2 4 2 3 2 10" xfId="25162"/>
    <cellStyle name="Normal 2 4 2 3 2 10 2" xfId="25163"/>
    <cellStyle name="Normal 2 4 2 3 2 11" xfId="25164"/>
    <cellStyle name="Normal 2 4 2 3 2 11 2" xfId="25165"/>
    <cellStyle name="Normal 2 4 2 3 2 12" xfId="25166"/>
    <cellStyle name="Normal 2 4 2 3 2 2" xfId="25167"/>
    <cellStyle name="Normal 2 4 2 3 2 2 10" xfId="25168"/>
    <cellStyle name="Normal 2 4 2 3 2 2 10 2" xfId="25169"/>
    <cellStyle name="Normal 2 4 2 3 2 2 11" xfId="25170"/>
    <cellStyle name="Normal 2 4 2 3 2 2 2" xfId="25171"/>
    <cellStyle name="Normal 2 4 2 3 2 2 2 2" xfId="25172"/>
    <cellStyle name="Normal 2 4 2 3 2 2 3" xfId="25173"/>
    <cellStyle name="Normal 2 4 2 3 2 2 3 2" xfId="25174"/>
    <cellStyle name="Normal 2 4 2 3 2 2 4" xfId="25175"/>
    <cellStyle name="Normal 2 4 2 3 2 2 4 2" xfId="25176"/>
    <cellStyle name="Normal 2 4 2 3 2 2 5" xfId="25177"/>
    <cellStyle name="Normal 2 4 2 3 2 2 5 2" xfId="25178"/>
    <cellStyle name="Normal 2 4 2 3 2 2 6" xfId="25179"/>
    <cellStyle name="Normal 2 4 2 3 2 2 6 2" xfId="25180"/>
    <cellStyle name="Normal 2 4 2 3 2 2 7" xfId="25181"/>
    <cellStyle name="Normal 2 4 2 3 2 2 7 2" xfId="25182"/>
    <cellStyle name="Normal 2 4 2 3 2 2 8" xfId="25183"/>
    <cellStyle name="Normal 2 4 2 3 2 2 8 2" xfId="25184"/>
    <cellStyle name="Normal 2 4 2 3 2 2 9" xfId="25185"/>
    <cellStyle name="Normal 2 4 2 3 2 2 9 2" xfId="25186"/>
    <cellStyle name="Normal 2 4 2 3 2 3" xfId="25187"/>
    <cellStyle name="Normal 2 4 2 3 2 3 2" xfId="25188"/>
    <cellStyle name="Normal 2 4 2 3 2 4" xfId="25189"/>
    <cellStyle name="Normal 2 4 2 3 2 4 2" xfId="25190"/>
    <cellStyle name="Normal 2 4 2 3 2 5" xfId="25191"/>
    <cellStyle name="Normal 2 4 2 3 2 5 2" xfId="25192"/>
    <cellStyle name="Normal 2 4 2 3 2 6" xfId="25193"/>
    <cellStyle name="Normal 2 4 2 3 2 6 2" xfId="25194"/>
    <cellStyle name="Normal 2 4 2 3 2 7" xfId="25195"/>
    <cellStyle name="Normal 2 4 2 3 2 7 2" xfId="25196"/>
    <cellStyle name="Normal 2 4 2 3 2 8" xfId="25197"/>
    <cellStyle name="Normal 2 4 2 3 2 8 2" xfId="25198"/>
    <cellStyle name="Normal 2 4 2 3 2 9" xfId="25199"/>
    <cellStyle name="Normal 2 4 2 3 2 9 2" xfId="25200"/>
    <cellStyle name="Normal 2 4 2 3 3" xfId="25201"/>
    <cellStyle name="Normal 2 4 2 3 3 10" xfId="25202"/>
    <cellStyle name="Normal 2 4 2 3 3 10 2" xfId="25203"/>
    <cellStyle name="Normal 2 4 2 3 3 11" xfId="25204"/>
    <cellStyle name="Normal 2 4 2 3 3 2" xfId="25205"/>
    <cellStyle name="Normal 2 4 2 3 3 2 2" xfId="25206"/>
    <cellStyle name="Normal 2 4 2 3 3 3" xfId="25207"/>
    <cellStyle name="Normal 2 4 2 3 3 3 2" xfId="25208"/>
    <cellStyle name="Normal 2 4 2 3 3 4" xfId="25209"/>
    <cellStyle name="Normal 2 4 2 3 3 4 2" xfId="25210"/>
    <cellStyle name="Normal 2 4 2 3 3 5" xfId="25211"/>
    <cellStyle name="Normal 2 4 2 3 3 5 2" xfId="25212"/>
    <cellStyle name="Normal 2 4 2 3 3 6" xfId="25213"/>
    <cellStyle name="Normal 2 4 2 3 3 6 2" xfId="25214"/>
    <cellStyle name="Normal 2 4 2 3 3 7" xfId="25215"/>
    <cellStyle name="Normal 2 4 2 3 3 7 2" xfId="25216"/>
    <cellStyle name="Normal 2 4 2 3 3 8" xfId="25217"/>
    <cellStyle name="Normal 2 4 2 3 3 8 2" xfId="25218"/>
    <cellStyle name="Normal 2 4 2 3 3 9" xfId="25219"/>
    <cellStyle name="Normal 2 4 2 3 3 9 2" xfId="25220"/>
    <cellStyle name="Normal 2 4 2 3 4" xfId="25221"/>
    <cellStyle name="Normal 2 4 2 3 4 2" xfId="25222"/>
    <cellStyle name="Normal 2 4 2 3 5" xfId="25223"/>
    <cellStyle name="Normal 2 4 2 3 5 2" xfId="25224"/>
    <cellStyle name="Normal 2 4 2 3 6" xfId="25225"/>
    <cellStyle name="Normal 2 4 2 3 6 2" xfId="25226"/>
    <cellStyle name="Normal 2 4 2 3 7" xfId="25227"/>
    <cellStyle name="Normal 2 4 2 3 7 2" xfId="25228"/>
    <cellStyle name="Normal 2 4 2 3 8" xfId="25229"/>
    <cellStyle name="Normal 2 4 2 3 8 2" xfId="25230"/>
    <cellStyle name="Normal 2 4 2 3 9" xfId="25231"/>
    <cellStyle name="Normal 2 4 2 3 9 2" xfId="25232"/>
    <cellStyle name="Normal 2 4 2 4" xfId="25233"/>
    <cellStyle name="Normal 2 4 2 4 10" xfId="25234"/>
    <cellStyle name="Normal 2 4 2 4 10 2" xfId="25235"/>
    <cellStyle name="Normal 2 4 2 4 11" xfId="25236"/>
    <cellStyle name="Normal 2 4 2 4 11 2" xfId="25237"/>
    <cellStyle name="Normal 2 4 2 4 12" xfId="25238"/>
    <cellStyle name="Normal 2 4 2 4 12 2" xfId="25239"/>
    <cellStyle name="Normal 2 4 2 4 13" xfId="25240"/>
    <cellStyle name="Normal 2 4 2 4 2" xfId="25241"/>
    <cellStyle name="Normal 2 4 2 4 2 10" xfId="25242"/>
    <cellStyle name="Normal 2 4 2 4 2 10 2" xfId="25243"/>
    <cellStyle name="Normal 2 4 2 4 2 11" xfId="25244"/>
    <cellStyle name="Normal 2 4 2 4 2 11 2" xfId="25245"/>
    <cellStyle name="Normal 2 4 2 4 2 12" xfId="25246"/>
    <cellStyle name="Normal 2 4 2 4 2 2" xfId="25247"/>
    <cellStyle name="Normal 2 4 2 4 2 2 10" xfId="25248"/>
    <cellStyle name="Normal 2 4 2 4 2 2 10 2" xfId="25249"/>
    <cellStyle name="Normal 2 4 2 4 2 2 11" xfId="25250"/>
    <cellStyle name="Normal 2 4 2 4 2 2 2" xfId="25251"/>
    <cellStyle name="Normal 2 4 2 4 2 2 2 2" xfId="25252"/>
    <cellStyle name="Normal 2 4 2 4 2 2 3" xfId="25253"/>
    <cellStyle name="Normal 2 4 2 4 2 2 3 2" xfId="25254"/>
    <cellStyle name="Normal 2 4 2 4 2 2 4" xfId="25255"/>
    <cellStyle name="Normal 2 4 2 4 2 2 4 2" xfId="25256"/>
    <cellStyle name="Normal 2 4 2 4 2 2 5" xfId="25257"/>
    <cellStyle name="Normal 2 4 2 4 2 2 5 2" xfId="25258"/>
    <cellStyle name="Normal 2 4 2 4 2 2 6" xfId="25259"/>
    <cellStyle name="Normal 2 4 2 4 2 2 6 2" xfId="25260"/>
    <cellStyle name="Normal 2 4 2 4 2 2 7" xfId="25261"/>
    <cellStyle name="Normal 2 4 2 4 2 2 7 2" xfId="25262"/>
    <cellStyle name="Normal 2 4 2 4 2 2 8" xfId="25263"/>
    <cellStyle name="Normal 2 4 2 4 2 2 8 2" xfId="25264"/>
    <cellStyle name="Normal 2 4 2 4 2 2 9" xfId="25265"/>
    <cellStyle name="Normal 2 4 2 4 2 2 9 2" xfId="25266"/>
    <cellStyle name="Normal 2 4 2 4 2 3" xfId="25267"/>
    <cellStyle name="Normal 2 4 2 4 2 3 2" xfId="25268"/>
    <cellStyle name="Normal 2 4 2 4 2 4" xfId="25269"/>
    <cellStyle name="Normal 2 4 2 4 2 4 2" xfId="25270"/>
    <cellStyle name="Normal 2 4 2 4 2 5" xfId="25271"/>
    <cellStyle name="Normal 2 4 2 4 2 5 2" xfId="25272"/>
    <cellStyle name="Normal 2 4 2 4 2 6" xfId="25273"/>
    <cellStyle name="Normal 2 4 2 4 2 6 2" xfId="25274"/>
    <cellStyle name="Normal 2 4 2 4 2 7" xfId="25275"/>
    <cellStyle name="Normal 2 4 2 4 2 7 2" xfId="25276"/>
    <cellStyle name="Normal 2 4 2 4 2 8" xfId="25277"/>
    <cellStyle name="Normal 2 4 2 4 2 8 2" xfId="25278"/>
    <cellStyle name="Normal 2 4 2 4 2 9" xfId="25279"/>
    <cellStyle name="Normal 2 4 2 4 2 9 2" xfId="25280"/>
    <cellStyle name="Normal 2 4 2 4 3" xfId="25281"/>
    <cellStyle name="Normal 2 4 2 4 3 10" xfId="25282"/>
    <cellStyle name="Normal 2 4 2 4 3 10 2" xfId="25283"/>
    <cellStyle name="Normal 2 4 2 4 3 11" xfId="25284"/>
    <cellStyle name="Normal 2 4 2 4 3 2" xfId="25285"/>
    <cellStyle name="Normal 2 4 2 4 3 2 2" xfId="25286"/>
    <cellStyle name="Normal 2 4 2 4 3 3" xfId="25287"/>
    <cellStyle name="Normal 2 4 2 4 3 3 2" xfId="25288"/>
    <cellStyle name="Normal 2 4 2 4 3 4" xfId="25289"/>
    <cellStyle name="Normal 2 4 2 4 3 4 2" xfId="25290"/>
    <cellStyle name="Normal 2 4 2 4 3 5" xfId="25291"/>
    <cellStyle name="Normal 2 4 2 4 3 5 2" xfId="25292"/>
    <cellStyle name="Normal 2 4 2 4 3 6" xfId="25293"/>
    <cellStyle name="Normal 2 4 2 4 3 6 2" xfId="25294"/>
    <cellStyle name="Normal 2 4 2 4 3 7" xfId="25295"/>
    <cellStyle name="Normal 2 4 2 4 3 7 2" xfId="25296"/>
    <cellStyle name="Normal 2 4 2 4 3 8" xfId="25297"/>
    <cellStyle name="Normal 2 4 2 4 3 8 2" xfId="25298"/>
    <cellStyle name="Normal 2 4 2 4 3 9" xfId="25299"/>
    <cellStyle name="Normal 2 4 2 4 3 9 2" xfId="25300"/>
    <cellStyle name="Normal 2 4 2 4 4" xfId="25301"/>
    <cellStyle name="Normal 2 4 2 4 4 2" xfId="25302"/>
    <cellStyle name="Normal 2 4 2 4 5" xfId="25303"/>
    <cellStyle name="Normal 2 4 2 4 5 2" xfId="25304"/>
    <cellStyle name="Normal 2 4 2 4 6" xfId="25305"/>
    <cellStyle name="Normal 2 4 2 4 6 2" xfId="25306"/>
    <cellStyle name="Normal 2 4 2 4 7" xfId="25307"/>
    <cellStyle name="Normal 2 4 2 4 7 2" xfId="25308"/>
    <cellStyle name="Normal 2 4 2 4 8" xfId="25309"/>
    <cellStyle name="Normal 2 4 2 4 8 2" xfId="25310"/>
    <cellStyle name="Normal 2 4 2 4 9" xfId="25311"/>
    <cellStyle name="Normal 2 4 2 4 9 2" xfId="25312"/>
    <cellStyle name="Normal 2 4 2 5" xfId="25313"/>
    <cellStyle name="Normal 2 4 2 5 10" xfId="25314"/>
    <cellStyle name="Normal 2 4 2 5 10 2" xfId="25315"/>
    <cellStyle name="Normal 2 4 2 5 11" xfId="25316"/>
    <cellStyle name="Normal 2 4 2 5 11 2" xfId="25317"/>
    <cellStyle name="Normal 2 4 2 5 12" xfId="25318"/>
    <cellStyle name="Normal 2 4 2 5 12 2" xfId="25319"/>
    <cellStyle name="Normal 2 4 2 5 13" xfId="25320"/>
    <cellStyle name="Normal 2 4 2 5 2" xfId="25321"/>
    <cellStyle name="Normal 2 4 2 5 2 10" xfId="25322"/>
    <cellStyle name="Normal 2 4 2 5 2 10 2" xfId="25323"/>
    <cellStyle name="Normal 2 4 2 5 2 11" xfId="25324"/>
    <cellStyle name="Normal 2 4 2 5 2 11 2" xfId="25325"/>
    <cellStyle name="Normal 2 4 2 5 2 12" xfId="25326"/>
    <cellStyle name="Normal 2 4 2 5 2 2" xfId="25327"/>
    <cellStyle name="Normal 2 4 2 5 2 2 10" xfId="25328"/>
    <cellStyle name="Normal 2 4 2 5 2 2 10 2" xfId="25329"/>
    <cellStyle name="Normal 2 4 2 5 2 2 11" xfId="25330"/>
    <cellStyle name="Normal 2 4 2 5 2 2 2" xfId="25331"/>
    <cellStyle name="Normal 2 4 2 5 2 2 2 2" xfId="25332"/>
    <cellStyle name="Normal 2 4 2 5 2 2 3" xfId="25333"/>
    <cellStyle name="Normal 2 4 2 5 2 2 3 2" xfId="25334"/>
    <cellStyle name="Normal 2 4 2 5 2 2 4" xfId="25335"/>
    <cellStyle name="Normal 2 4 2 5 2 2 4 2" xfId="25336"/>
    <cellStyle name="Normal 2 4 2 5 2 2 5" xfId="25337"/>
    <cellStyle name="Normal 2 4 2 5 2 2 5 2" xfId="25338"/>
    <cellStyle name="Normal 2 4 2 5 2 2 6" xfId="25339"/>
    <cellStyle name="Normal 2 4 2 5 2 2 6 2" xfId="25340"/>
    <cellStyle name="Normal 2 4 2 5 2 2 7" xfId="25341"/>
    <cellStyle name="Normal 2 4 2 5 2 2 7 2" xfId="25342"/>
    <cellStyle name="Normal 2 4 2 5 2 2 8" xfId="25343"/>
    <cellStyle name="Normal 2 4 2 5 2 2 8 2" xfId="25344"/>
    <cellStyle name="Normal 2 4 2 5 2 2 9" xfId="25345"/>
    <cellStyle name="Normal 2 4 2 5 2 2 9 2" xfId="25346"/>
    <cellStyle name="Normal 2 4 2 5 2 3" xfId="25347"/>
    <cellStyle name="Normal 2 4 2 5 2 3 2" xfId="25348"/>
    <cellStyle name="Normal 2 4 2 5 2 4" xfId="25349"/>
    <cellStyle name="Normal 2 4 2 5 2 4 2" xfId="25350"/>
    <cellStyle name="Normal 2 4 2 5 2 5" xfId="25351"/>
    <cellStyle name="Normal 2 4 2 5 2 5 2" xfId="25352"/>
    <cellStyle name="Normal 2 4 2 5 2 6" xfId="25353"/>
    <cellStyle name="Normal 2 4 2 5 2 6 2" xfId="25354"/>
    <cellStyle name="Normal 2 4 2 5 2 7" xfId="25355"/>
    <cellStyle name="Normal 2 4 2 5 2 7 2" xfId="25356"/>
    <cellStyle name="Normal 2 4 2 5 2 8" xfId="25357"/>
    <cellStyle name="Normal 2 4 2 5 2 8 2" xfId="25358"/>
    <cellStyle name="Normal 2 4 2 5 2 9" xfId="25359"/>
    <cellStyle name="Normal 2 4 2 5 2 9 2" xfId="25360"/>
    <cellStyle name="Normal 2 4 2 5 3" xfId="25361"/>
    <cellStyle name="Normal 2 4 2 5 3 10" xfId="25362"/>
    <cellStyle name="Normal 2 4 2 5 3 10 2" xfId="25363"/>
    <cellStyle name="Normal 2 4 2 5 3 11" xfId="25364"/>
    <cellStyle name="Normal 2 4 2 5 3 2" xfId="25365"/>
    <cellStyle name="Normal 2 4 2 5 3 2 2" xfId="25366"/>
    <cellStyle name="Normal 2 4 2 5 3 3" xfId="25367"/>
    <cellStyle name="Normal 2 4 2 5 3 3 2" xfId="25368"/>
    <cellStyle name="Normal 2 4 2 5 3 4" xfId="25369"/>
    <cellStyle name="Normal 2 4 2 5 3 4 2" xfId="25370"/>
    <cellStyle name="Normal 2 4 2 5 3 5" xfId="25371"/>
    <cellStyle name="Normal 2 4 2 5 3 5 2" xfId="25372"/>
    <cellStyle name="Normal 2 4 2 5 3 6" xfId="25373"/>
    <cellStyle name="Normal 2 4 2 5 3 6 2" xfId="25374"/>
    <cellStyle name="Normal 2 4 2 5 3 7" xfId="25375"/>
    <cellStyle name="Normal 2 4 2 5 3 7 2" xfId="25376"/>
    <cellStyle name="Normal 2 4 2 5 3 8" xfId="25377"/>
    <cellStyle name="Normal 2 4 2 5 3 8 2" xfId="25378"/>
    <cellStyle name="Normal 2 4 2 5 3 9" xfId="25379"/>
    <cellStyle name="Normal 2 4 2 5 3 9 2" xfId="25380"/>
    <cellStyle name="Normal 2 4 2 5 4" xfId="25381"/>
    <cellStyle name="Normal 2 4 2 5 4 2" xfId="25382"/>
    <cellStyle name="Normal 2 4 2 5 5" xfId="25383"/>
    <cellStyle name="Normal 2 4 2 5 5 2" xfId="25384"/>
    <cellStyle name="Normal 2 4 2 5 6" xfId="25385"/>
    <cellStyle name="Normal 2 4 2 5 6 2" xfId="25386"/>
    <cellStyle name="Normal 2 4 2 5 7" xfId="25387"/>
    <cellStyle name="Normal 2 4 2 5 7 2" xfId="25388"/>
    <cellStyle name="Normal 2 4 2 5 8" xfId="25389"/>
    <cellStyle name="Normal 2 4 2 5 8 2" xfId="25390"/>
    <cellStyle name="Normal 2 4 2 5 9" xfId="25391"/>
    <cellStyle name="Normal 2 4 2 5 9 2" xfId="25392"/>
    <cellStyle name="Normal 2 4 2 6" xfId="25393"/>
    <cellStyle name="Normal 2 4 2 6 2" xfId="25394"/>
    <cellStyle name="Normal 2 4 2 6 2 10" xfId="25395"/>
    <cellStyle name="Normal 2 4 2 6 2 10 2" xfId="25396"/>
    <cellStyle name="Normal 2 4 2 6 2 11" xfId="25397"/>
    <cellStyle name="Normal 2 4 2 6 2 11 2" xfId="25398"/>
    <cellStyle name="Normal 2 4 2 6 2 12" xfId="25399"/>
    <cellStyle name="Normal 2 4 2 6 2 12 2" xfId="25400"/>
    <cellStyle name="Normal 2 4 2 6 2 13" xfId="25401"/>
    <cellStyle name="Normal 2 4 2 6 2 2" xfId="25402"/>
    <cellStyle name="Normal 2 4 2 6 2 2 10" xfId="25403"/>
    <cellStyle name="Normal 2 4 2 6 2 2 10 2" xfId="25404"/>
    <cellStyle name="Normal 2 4 2 6 2 2 11" xfId="25405"/>
    <cellStyle name="Normal 2 4 2 6 2 2 11 2" xfId="25406"/>
    <cellStyle name="Normal 2 4 2 6 2 2 12" xfId="25407"/>
    <cellStyle name="Normal 2 4 2 6 2 2 2" xfId="25408"/>
    <cellStyle name="Normal 2 4 2 6 2 2 2 10" xfId="25409"/>
    <cellStyle name="Normal 2 4 2 6 2 2 2 10 2" xfId="25410"/>
    <cellStyle name="Normal 2 4 2 6 2 2 2 11" xfId="25411"/>
    <cellStyle name="Normal 2 4 2 6 2 2 2 2" xfId="25412"/>
    <cellStyle name="Normal 2 4 2 6 2 2 2 2 2" xfId="25413"/>
    <cellStyle name="Normal 2 4 2 6 2 2 2 3" xfId="25414"/>
    <cellStyle name="Normal 2 4 2 6 2 2 2 3 2" xfId="25415"/>
    <cellStyle name="Normal 2 4 2 6 2 2 2 4" xfId="25416"/>
    <cellStyle name="Normal 2 4 2 6 2 2 2 4 2" xfId="25417"/>
    <cellStyle name="Normal 2 4 2 6 2 2 2 5" xfId="25418"/>
    <cellStyle name="Normal 2 4 2 6 2 2 2 5 2" xfId="25419"/>
    <cellStyle name="Normal 2 4 2 6 2 2 2 6" xfId="25420"/>
    <cellStyle name="Normal 2 4 2 6 2 2 2 6 2" xfId="25421"/>
    <cellStyle name="Normal 2 4 2 6 2 2 2 7" xfId="25422"/>
    <cellStyle name="Normal 2 4 2 6 2 2 2 7 2" xfId="25423"/>
    <cellStyle name="Normal 2 4 2 6 2 2 2 8" xfId="25424"/>
    <cellStyle name="Normal 2 4 2 6 2 2 2 8 2" xfId="25425"/>
    <cellStyle name="Normal 2 4 2 6 2 2 2 9" xfId="25426"/>
    <cellStyle name="Normal 2 4 2 6 2 2 2 9 2" xfId="25427"/>
    <cellStyle name="Normal 2 4 2 6 2 2 3" xfId="25428"/>
    <cellStyle name="Normal 2 4 2 6 2 2 3 2" xfId="25429"/>
    <cellStyle name="Normal 2 4 2 6 2 2 4" xfId="25430"/>
    <cellStyle name="Normal 2 4 2 6 2 2 4 2" xfId="25431"/>
    <cellStyle name="Normal 2 4 2 6 2 2 5" xfId="25432"/>
    <cellStyle name="Normal 2 4 2 6 2 2 5 2" xfId="25433"/>
    <cellStyle name="Normal 2 4 2 6 2 2 6" xfId="25434"/>
    <cellStyle name="Normal 2 4 2 6 2 2 6 2" xfId="25435"/>
    <cellStyle name="Normal 2 4 2 6 2 2 7" xfId="25436"/>
    <cellStyle name="Normal 2 4 2 6 2 2 7 2" xfId="25437"/>
    <cellStyle name="Normal 2 4 2 6 2 2 8" xfId="25438"/>
    <cellStyle name="Normal 2 4 2 6 2 2 8 2" xfId="25439"/>
    <cellStyle name="Normal 2 4 2 6 2 2 9" xfId="25440"/>
    <cellStyle name="Normal 2 4 2 6 2 2 9 2" xfId="25441"/>
    <cellStyle name="Normal 2 4 2 6 2 3" xfId="25442"/>
    <cellStyle name="Normal 2 4 2 6 2 3 10" xfId="25443"/>
    <cellStyle name="Normal 2 4 2 6 2 3 10 2" xfId="25444"/>
    <cellStyle name="Normal 2 4 2 6 2 3 11" xfId="25445"/>
    <cellStyle name="Normal 2 4 2 6 2 3 2" xfId="25446"/>
    <cellStyle name="Normal 2 4 2 6 2 3 2 2" xfId="25447"/>
    <cellStyle name="Normal 2 4 2 6 2 3 3" xfId="25448"/>
    <cellStyle name="Normal 2 4 2 6 2 3 3 2" xfId="25449"/>
    <cellStyle name="Normal 2 4 2 6 2 3 4" xfId="25450"/>
    <cellStyle name="Normal 2 4 2 6 2 3 4 2" xfId="25451"/>
    <cellStyle name="Normal 2 4 2 6 2 3 5" xfId="25452"/>
    <cellStyle name="Normal 2 4 2 6 2 3 5 2" xfId="25453"/>
    <cellStyle name="Normal 2 4 2 6 2 3 6" xfId="25454"/>
    <cellStyle name="Normal 2 4 2 6 2 3 6 2" xfId="25455"/>
    <cellStyle name="Normal 2 4 2 6 2 3 7" xfId="25456"/>
    <cellStyle name="Normal 2 4 2 6 2 3 7 2" xfId="25457"/>
    <cellStyle name="Normal 2 4 2 6 2 3 8" xfId="25458"/>
    <cellStyle name="Normal 2 4 2 6 2 3 8 2" xfId="25459"/>
    <cellStyle name="Normal 2 4 2 6 2 3 9" xfId="25460"/>
    <cellStyle name="Normal 2 4 2 6 2 3 9 2" xfId="25461"/>
    <cellStyle name="Normal 2 4 2 6 2 4" xfId="25462"/>
    <cellStyle name="Normal 2 4 2 6 2 4 2" xfId="25463"/>
    <cellStyle name="Normal 2 4 2 6 2 5" xfId="25464"/>
    <cellStyle name="Normal 2 4 2 6 2 5 2" xfId="25465"/>
    <cellStyle name="Normal 2 4 2 6 2 6" xfId="25466"/>
    <cellStyle name="Normal 2 4 2 6 2 6 2" xfId="25467"/>
    <cellStyle name="Normal 2 4 2 6 2 7" xfId="25468"/>
    <cellStyle name="Normal 2 4 2 6 2 7 2" xfId="25469"/>
    <cellStyle name="Normal 2 4 2 6 2 8" xfId="25470"/>
    <cellStyle name="Normal 2 4 2 6 2 8 2" xfId="25471"/>
    <cellStyle name="Normal 2 4 2 6 2 9" xfId="25472"/>
    <cellStyle name="Normal 2 4 2 6 2 9 2" xfId="25473"/>
    <cellStyle name="Normal 2 4 2 6 3" xfId="25474"/>
    <cellStyle name="Normal 2 4 2 6 3 10" xfId="25475"/>
    <cellStyle name="Normal 2 4 2 6 3 10 2" xfId="25476"/>
    <cellStyle name="Normal 2 4 2 6 3 11" xfId="25477"/>
    <cellStyle name="Normal 2 4 2 6 3 11 2" xfId="25478"/>
    <cellStyle name="Normal 2 4 2 6 3 12" xfId="25479"/>
    <cellStyle name="Normal 2 4 2 6 3 12 2" xfId="25480"/>
    <cellStyle name="Normal 2 4 2 6 3 13" xfId="25481"/>
    <cellStyle name="Normal 2 4 2 6 3 2" xfId="25482"/>
    <cellStyle name="Normal 2 4 2 6 3 2 10" xfId="25483"/>
    <cellStyle name="Normal 2 4 2 6 3 2 10 2" xfId="25484"/>
    <cellStyle name="Normal 2 4 2 6 3 2 11" xfId="25485"/>
    <cellStyle name="Normal 2 4 2 6 3 2 11 2" xfId="25486"/>
    <cellStyle name="Normal 2 4 2 6 3 2 12" xfId="25487"/>
    <cellStyle name="Normal 2 4 2 6 3 2 2" xfId="25488"/>
    <cellStyle name="Normal 2 4 2 6 3 2 2 10" xfId="25489"/>
    <cellStyle name="Normal 2 4 2 6 3 2 2 10 2" xfId="25490"/>
    <cellStyle name="Normal 2 4 2 6 3 2 2 11" xfId="25491"/>
    <cellStyle name="Normal 2 4 2 6 3 2 2 2" xfId="25492"/>
    <cellStyle name="Normal 2 4 2 6 3 2 2 2 2" xfId="25493"/>
    <cellStyle name="Normal 2 4 2 6 3 2 2 3" xfId="25494"/>
    <cellStyle name="Normal 2 4 2 6 3 2 2 3 2" xfId="25495"/>
    <cellStyle name="Normal 2 4 2 6 3 2 2 4" xfId="25496"/>
    <cellStyle name="Normal 2 4 2 6 3 2 2 4 2" xfId="25497"/>
    <cellStyle name="Normal 2 4 2 6 3 2 2 5" xfId="25498"/>
    <cellStyle name="Normal 2 4 2 6 3 2 2 5 2" xfId="25499"/>
    <cellStyle name="Normal 2 4 2 6 3 2 2 6" xfId="25500"/>
    <cellStyle name="Normal 2 4 2 6 3 2 2 6 2" xfId="25501"/>
    <cellStyle name="Normal 2 4 2 6 3 2 2 7" xfId="25502"/>
    <cellStyle name="Normal 2 4 2 6 3 2 2 7 2" xfId="25503"/>
    <cellStyle name="Normal 2 4 2 6 3 2 2 8" xfId="25504"/>
    <cellStyle name="Normal 2 4 2 6 3 2 2 8 2" xfId="25505"/>
    <cellStyle name="Normal 2 4 2 6 3 2 2 9" xfId="25506"/>
    <cellStyle name="Normal 2 4 2 6 3 2 2 9 2" xfId="25507"/>
    <cellStyle name="Normal 2 4 2 6 3 2 3" xfId="25508"/>
    <cellStyle name="Normal 2 4 2 6 3 2 3 2" xfId="25509"/>
    <cellStyle name="Normal 2 4 2 6 3 2 4" xfId="25510"/>
    <cellStyle name="Normal 2 4 2 6 3 2 4 2" xfId="25511"/>
    <cellStyle name="Normal 2 4 2 6 3 2 5" xfId="25512"/>
    <cellStyle name="Normal 2 4 2 6 3 2 5 2" xfId="25513"/>
    <cellStyle name="Normal 2 4 2 6 3 2 6" xfId="25514"/>
    <cellStyle name="Normal 2 4 2 6 3 2 6 2" xfId="25515"/>
    <cellStyle name="Normal 2 4 2 6 3 2 7" xfId="25516"/>
    <cellStyle name="Normal 2 4 2 6 3 2 7 2" xfId="25517"/>
    <cellStyle name="Normal 2 4 2 6 3 2 8" xfId="25518"/>
    <cellStyle name="Normal 2 4 2 6 3 2 8 2" xfId="25519"/>
    <cellStyle name="Normal 2 4 2 6 3 2 9" xfId="25520"/>
    <cellStyle name="Normal 2 4 2 6 3 2 9 2" xfId="25521"/>
    <cellStyle name="Normal 2 4 2 6 3 3" xfId="25522"/>
    <cellStyle name="Normal 2 4 2 6 3 3 10" xfId="25523"/>
    <cellStyle name="Normal 2 4 2 6 3 3 10 2" xfId="25524"/>
    <cellStyle name="Normal 2 4 2 6 3 3 11" xfId="25525"/>
    <cellStyle name="Normal 2 4 2 6 3 3 2" xfId="25526"/>
    <cellStyle name="Normal 2 4 2 6 3 3 2 2" xfId="25527"/>
    <cellStyle name="Normal 2 4 2 6 3 3 3" xfId="25528"/>
    <cellStyle name="Normal 2 4 2 6 3 3 3 2" xfId="25529"/>
    <cellStyle name="Normal 2 4 2 6 3 3 4" xfId="25530"/>
    <cellStyle name="Normal 2 4 2 6 3 3 4 2" xfId="25531"/>
    <cellStyle name="Normal 2 4 2 6 3 3 5" xfId="25532"/>
    <cellStyle name="Normal 2 4 2 6 3 3 5 2" xfId="25533"/>
    <cellStyle name="Normal 2 4 2 6 3 3 6" xfId="25534"/>
    <cellStyle name="Normal 2 4 2 6 3 3 6 2" xfId="25535"/>
    <cellStyle name="Normal 2 4 2 6 3 3 7" xfId="25536"/>
    <cellStyle name="Normal 2 4 2 6 3 3 7 2" xfId="25537"/>
    <cellStyle name="Normal 2 4 2 6 3 3 8" xfId="25538"/>
    <cellStyle name="Normal 2 4 2 6 3 3 8 2" xfId="25539"/>
    <cellStyle name="Normal 2 4 2 6 3 3 9" xfId="25540"/>
    <cellStyle name="Normal 2 4 2 6 3 3 9 2" xfId="25541"/>
    <cellStyle name="Normal 2 4 2 6 3 4" xfId="25542"/>
    <cellStyle name="Normal 2 4 2 6 3 4 2" xfId="25543"/>
    <cellStyle name="Normal 2 4 2 6 3 5" xfId="25544"/>
    <cellStyle name="Normal 2 4 2 6 3 5 2" xfId="25545"/>
    <cellStyle name="Normal 2 4 2 6 3 6" xfId="25546"/>
    <cellStyle name="Normal 2 4 2 6 3 6 2" xfId="25547"/>
    <cellStyle name="Normal 2 4 2 6 3 7" xfId="25548"/>
    <cellStyle name="Normal 2 4 2 6 3 7 2" xfId="25549"/>
    <cellStyle name="Normal 2 4 2 6 3 8" xfId="25550"/>
    <cellStyle name="Normal 2 4 2 6 3 8 2" xfId="25551"/>
    <cellStyle name="Normal 2 4 2 6 3 9" xfId="25552"/>
    <cellStyle name="Normal 2 4 2 6 3 9 2" xfId="25553"/>
    <cellStyle name="Normal 2 4 2 6 4" xfId="25554"/>
    <cellStyle name="Normal 2 4 2 6 4 10" xfId="25555"/>
    <cellStyle name="Normal 2 4 2 6 4 10 2" xfId="25556"/>
    <cellStyle name="Normal 2 4 2 6 4 11" xfId="25557"/>
    <cellStyle name="Normal 2 4 2 6 4 11 2" xfId="25558"/>
    <cellStyle name="Normal 2 4 2 6 4 12" xfId="25559"/>
    <cellStyle name="Normal 2 4 2 6 4 12 2" xfId="25560"/>
    <cellStyle name="Normal 2 4 2 6 4 13" xfId="25561"/>
    <cellStyle name="Normal 2 4 2 6 4 2" xfId="25562"/>
    <cellStyle name="Normal 2 4 2 6 4 2 10" xfId="25563"/>
    <cellStyle name="Normal 2 4 2 6 4 2 10 2" xfId="25564"/>
    <cellStyle name="Normal 2 4 2 6 4 2 11" xfId="25565"/>
    <cellStyle name="Normal 2 4 2 6 4 2 11 2" xfId="25566"/>
    <cellStyle name="Normal 2 4 2 6 4 2 12" xfId="25567"/>
    <cellStyle name="Normal 2 4 2 6 4 2 2" xfId="25568"/>
    <cellStyle name="Normal 2 4 2 6 4 2 2 10" xfId="25569"/>
    <cellStyle name="Normal 2 4 2 6 4 2 2 10 2" xfId="25570"/>
    <cellStyle name="Normal 2 4 2 6 4 2 2 11" xfId="25571"/>
    <cellStyle name="Normal 2 4 2 6 4 2 2 2" xfId="25572"/>
    <cellStyle name="Normal 2 4 2 6 4 2 2 2 2" xfId="25573"/>
    <cellStyle name="Normal 2 4 2 6 4 2 2 3" xfId="25574"/>
    <cellStyle name="Normal 2 4 2 6 4 2 2 3 2" xfId="25575"/>
    <cellStyle name="Normal 2 4 2 6 4 2 2 4" xfId="25576"/>
    <cellStyle name="Normal 2 4 2 6 4 2 2 4 2" xfId="25577"/>
    <cellStyle name="Normal 2 4 2 6 4 2 2 5" xfId="25578"/>
    <cellStyle name="Normal 2 4 2 6 4 2 2 5 2" xfId="25579"/>
    <cellStyle name="Normal 2 4 2 6 4 2 2 6" xfId="25580"/>
    <cellStyle name="Normal 2 4 2 6 4 2 2 6 2" xfId="25581"/>
    <cellStyle name="Normal 2 4 2 6 4 2 2 7" xfId="25582"/>
    <cellStyle name="Normal 2 4 2 6 4 2 2 7 2" xfId="25583"/>
    <cellStyle name="Normal 2 4 2 6 4 2 2 8" xfId="25584"/>
    <cellStyle name="Normal 2 4 2 6 4 2 2 8 2" xfId="25585"/>
    <cellStyle name="Normal 2 4 2 6 4 2 2 9" xfId="25586"/>
    <cellStyle name="Normal 2 4 2 6 4 2 2 9 2" xfId="25587"/>
    <cellStyle name="Normal 2 4 2 6 4 2 3" xfId="25588"/>
    <cellStyle name="Normal 2 4 2 6 4 2 3 2" xfId="25589"/>
    <cellStyle name="Normal 2 4 2 6 4 2 4" xfId="25590"/>
    <cellStyle name="Normal 2 4 2 6 4 2 4 2" xfId="25591"/>
    <cellStyle name="Normal 2 4 2 6 4 2 5" xfId="25592"/>
    <cellStyle name="Normal 2 4 2 6 4 2 5 2" xfId="25593"/>
    <cellStyle name="Normal 2 4 2 6 4 2 6" xfId="25594"/>
    <cellStyle name="Normal 2 4 2 6 4 2 6 2" xfId="25595"/>
    <cellStyle name="Normal 2 4 2 6 4 2 7" xfId="25596"/>
    <cellStyle name="Normal 2 4 2 6 4 2 7 2" xfId="25597"/>
    <cellStyle name="Normal 2 4 2 6 4 2 8" xfId="25598"/>
    <cellStyle name="Normal 2 4 2 6 4 2 8 2" xfId="25599"/>
    <cellStyle name="Normal 2 4 2 6 4 2 9" xfId="25600"/>
    <cellStyle name="Normal 2 4 2 6 4 2 9 2" xfId="25601"/>
    <cellStyle name="Normal 2 4 2 6 4 3" xfId="25602"/>
    <cellStyle name="Normal 2 4 2 6 4 3 10" xfId="25603"/>
    <cellStyle name="Normal 2 4 2 6 4 3 10 2" xfId="25604"/>
    <cellStyle name="Normal 2 4 2 6 4 3 11" xfId="25605"/>
    <cellStyle name="Normal 2 4 2 6 4 3 2" xfId="25606"/>
    <cellStyle name="Normal 2 4 2 6 4 3 2 2" xfId="25607"/>
    <cellStyle name="Normal 2 4 2 6 4 3 3" xfId="25608"/>
    <cellStyle name="Normal 2 4 2 6 4 3 3 2" xfId="25609"/>
    <cellStyle name="Normal 2 4 2 6 4 3 4" xfId="25610"/>
    <cellStyle name="Normal 2 4 2 6 4 3 4 2" xfId="25611"/>
    <cellStyle name="Normal 2 4 2 6 4 3 5" xfId="25612"/>
    <cellStyle name="Normal 2 4 2 6 4 3 5 2" xfId="25613"/>
    <cellStyle name="Normal 2 4 2 6 4 3 6" xfId="25614"/>
    <cellStyle name="Normal 2 4 2 6 4 3 6 2" xfId="25615"/>
    <cellStyle name="Normal 2 4 2 6 4 3 7" xfId="25616"/>
    <cellStyle name="Normal 2 4 2 6 4 3 7 2" xfId="25617"/>
    <cellStyle name="Normal 2 4 2 6 4 3 8" xfId="25618"/>
    <cellStyle name="Normal 2 4 2 6 4 3 8 2" xfId="25619"/>
    <cellStyle name="Normal 2 4 2 6 4 3 9" xfId="25620"/>
    <cellStyle name="Normal 2 4 2 6 4 3 9 2" xfId="25621"/>
    <cellStyle name="Normal 2 4 2 6 4 4" xfId="25622"/>
    <cellStyle name="Normal 2 4 2 6 4 4 2" xfId="25623"/>
    <cellStyle name="Normal 2 4 2 6 4 5" xfId="25624"/>
    <cellStyle name="Normal 2 4 2 6 4 5 2" xfId="25625"/>
    <cellStyle name="Normal 2 4 2 6 4 6" xfId="25626"/>
    <cellStyle name="Normal 2 4 2 6 4 6 2" xfId="25627"/>
    <cellStyle name="Normal 2 4 2 6 4 7" xfId="25628"/>
    <cellStyle name="Normal 2 4 2 6 4 7 2" xfId="25629"/>
    <cellStyle name="Normal 2 4 2 6 4 8" xfId="25630"/>
    <cellStyle name="Normal 2 4 2 6 4 8 2" xfId="25631"/>
    <cellStyle name="Normal 2 4 2 6 4 9" xfId="25632"/>
    <cellStyle name="Normal 2 4 2 6 4 9 2" xfId="25633"/>
    <cellStyle name="Normal 2 4 2 6 5" xfId="25634"/>
    <cellStyle name="Normal 2 4 2 6 5 10" xfId="25635"/>
    <cellStyle name="Normal 2 4 2 6 5 10 2" xfId="25636"/>
    <cellStyle name="Normal 2 4 2 6 5 11" xfId="25637"/>
    <cellStyle name="Normal 2 4 2 6 5 11 2" xfId="25638"/>
    <cellStyle name="Normal 2 4 2 6 5 12" xfId="25639"/>
    <cellStyle name="Normal 2 4 2 6 5 12 2" xfId="25640"/>
    <cellStyle name="Normal 2 4 2 6 5 13" xfId="25641"/>
    <cellStyle name="Normal 2 4 2 6 5 2" xfId="25642"/>
    <cellStyle name="Normal 2 4 2 6 5 2 10" xfId="25643"/>
    <cellStyle name="Normal 2 4 2 6 5 2 10 2" xfId="25644"/>
    <cellStyle name="Normal 2 4 2 6 5 2 11" xfId="25645"/>
    <cellStyle name="Normal 2 4 2 6 5 2 11 2" xfId="25646"/>
    <cellStyle name="Normal 2 4 2 6 5 2 12" xfId="25647"/>
    <cellStyle name="Normal 2 4 2 6 5 2 2" xfId="25648"/>
    <cellStyle name="Normal 2 4 2 6 5 2 2 10" xfId="25649"/>
    <cellStyle name="Normal 2 4 2 6 5 2 2 10 2" xfId="25650"/>
    <cellStyle name="Normal 2 4 2 6 5 2 2 11" xfId="25651"/>
    <cellStyle name="Normal 2 4 2 6 5 2 2 2" xfId="25652"/>
    <cellStyle name="Normal 2 4 2 6 5 2 2 2 2" xfId="25653"/>
    <cellStyle name="Normal 2 4 2 6 5 2 2 3" xfId="25654"/>
    <cellStyle name="Normal 2 4 2 6 5 2 2 3 2" xfId="25655"/>
    <cellStyle name="Normal 2 4 2 6 5 2 2 4" xfId="25656"/>
    <cellStyle name="Normal 2 4 2 6 5 2 2 4 2" xfId="25657"/>
    <cellStyle name="Normal 2 4 2 6 5 2 2 5" xfId="25658"/>
    <cellStyle name="Normal 2 4 2 6 5 2 2 5 2" xfId="25659"/>
    <cellStyle name="Normal 2 4 2 6 5 2 2 6" xfId="25660"/>
    <cellStyle name="Normal 2 4 2 6 5 2 2 6 2" xfId="25661"/>
    <cellStyle name="Normal 2 4 2 6 5 2 2 7" xfId="25662"/>
    <cellStyle name="Normal 2 4 2 6 5 2 2 7 2" xfId="25663"/>
    <cellStyle name="Normal 2 4 2 6 5 2 2 8" xfId="25664"/>
    <cellStyle name="Normal 2 4 2 6 5 2 2 8 2" xfId="25665"/>
    <cellStyle name="Normal 2 4 2 6 5 2 2 9" xfId="25666"/>
    <cellStyle name="Normal 2 4 2 6 5 2 2 9 2" xfId="25667"/>
    <cellStyle name="Normal 2 4 2 6 5 2 3" xfId="25668"/>
    <cellStyle name="Normal 2 4 2 6 5 2 3 2" xfId="25669"/>
    <cellStyle name="Normal 2 4 2 6 5 2 4" xfId="25670"/>
    <cellStyle name="Normal 2 4 2 6 5 2 4 2" xfId="25671"/>
    <cellStyle name="Normal 2 4 2 6 5 2 5" xfId="25672"/>
    <cellStyle name="Normal 2 4 2 6 5 2 5 2" xfId="25673"/>
    <cellStyle name="Normal 2 4 2 6 5 2 6" xfId="25674"/>
    <cellStyle name="Normal 2 4 2 6 5 2 6 2" xfId="25675"/>
    <cellStyle name="Normal 2 4 2 6 5 2 7" xfId="25676"/>
    <cellStyle name="Normal 2 4 2 6 5 2 7 2" xfId="25677"/>
    <cellStyle name="Normal 2 4 2 6 5 2 8" xfId="25678"/>
    <cellStyle name="Normal 2 4 2 6 5 2 8 2" xfId="25679"/>
    <cellStyle name="Normal 2 4 2 6 5 2 9" xfId="25680"/>
    <cellStyle name="Normal 2 4 2 6 5 2 9 2" xfId="25681"/>
    <cellStyle name="Normal 2 4 2 6 5 3" xfId="25682"/>
    <cellStyle name="Normal 2 4 2 6 5 3 10" xfId="25683"/>
    <cellStyle name="Normal 2 4 2 6 5 3 10 2" xfId="25684"/>
    <cellStyle name="Normal 2 4 2 6 5 3 11" xfId="25685"/>
    <cellStyle name="Normal 2 4 2 6 5 3 2" xfId="25686"/>
    <cellStyle name="Normal 2 4 2 6 5 3 2 2" xfId="25687"/>
    <cellStyle name="Normal 2 4 2 6 5 3 3" xfId="25688"/>
    <cellStyle name="Normal 2 4 2 6 5 3 3 2" xfId="25689"/>
    <cellStyle name="Normal 2 4 2 6 5 3 4" xfId="25690"/>
    <cellStyle name="Normal 2 4 2 6 5 3 4 2" xfId="25691"/>
    <cellStyle name="Normal 2 4 2 6 5 3 5" xfId="25692"/>
    <cellStyle name="Normal 2 4 2 6 5 3 5 2" xfId="25693"/>
    <cellStyle name="Normal 2 4 2 6 5 3 6" xfId="25694"/>
    <cellStyle name="Normal 2 4 2 6 5 3 6 2" xfId="25695"/>
    <cellStyle name="Normal 2 4 2 6 5 3 7" xfId="25696"/>
    <cellStyle name="Normal 2 4 2 6 5 3 7 2" xfId="25697"/>
    <cellStyle name="Normal 2 4 2 6 5 3 8" xfId="25698"/>
    <cellStyle name="Normal 2 4 2 6 5 3 8 2" xfId="25699"/>
    <cellStyle name="Normal 2 4 2 6 5 3 9" xfId="25700"/>
    <cellStyle name="Normal 2 4 2 6 5 3 9 2" xfId="25701"/>
    <cellStyle name="Normal 2 4 2 6 5 4" xfId="25702"/>
    <cellStyle name="Normal 2 4 2 6 5 4 2" xfId="25703"/>
    <cellStyle name="Normal 2 4 2 6 5 5" xfId="25704"/>
    <cellStyle name="Normal 2 4 2 6 5 5 2" xfId="25705"/>
    <cellStyle name="Normal 2 4 2 6 5 6" xfId="25706"/>
    <cellStyle name="Normal 2 4 2 6 5 6 2" xfId="25707"/>
    <cellStyle name="Normal 2 4 2 6 5 7" xfId="25708"/>
    <cellStyle name="Normal 2 4 2 6 5 7 2" xfId="25709"/>
    <cellStyle name="Normal 2 4 2 6 5 8" xfId="25710"/>
    <cellStyle name="Normal 2 4 2 6 5 8 2" xfId="25711"/>
    <cellStyle name="Normal 2 4 2 6 5 9" xfId="25712"/>
    <cellStyle name="Normal 2 4 2 6 5 9 2" xfId="25713"/>
    <cellStyle name="Normal 2 4 2 6 6" xfId="25714"/>
    <cellStyle name="Normal 2 4 2 7" xfId="25715"/>
    <cellStyle name="Normal 2 4 2 7 2" xfId="25716"/>
    <cellStyle name="Normal 2 4 2 8" xfId="25717"/>
    <cellStyle name="Normal 2 4 2 8 2" xfId="25718"/>
    <cellStyle name="Normal 2 4 2 9" xfId="25719"/>
    <cellStyle name="Normal 2 4 2 9 2" xfId="25720"/>
    <cellStyle name="Normal 2 4 20" xfId="25721"/>
    <cellStyle name="Normal 2 4 21" xfId="25722"/>
    <cellStyle name="Normal 2 4 3" xfId="25723"/>
    <cellStyle name="Normal 2 4 3 10" xfId="25724"/>
    <cellStyle name="Normal 2 4 3 10 2" xfId="25725"/>
    <cellStyle name="Normal 2 4 3 11" xfId="25726"/>
    <cellStyle name="Normal 2 4 3 11 2" xfId="25727"/>
    <cellStyle name="Normal 2 4 3 12" xfId="25728"/>
    <cellStyle name="Normal 2 4 3 12 2" xfId="25729"/>
    <cellStyle name="Normal 2 4 3 13" xfId="25730"/>
    <cellStyle name="Normal 2 4 3 13 2" xfId="25731"/>
    <cellStyle name="Normal 2 4 3 14" xfId="25732"/>
    <cellStyle name="Normal 2 4 3 14 2" xfId="25733"/>
    <cellStyle name="Normal 2 4 3 15" xfId="25734"/>
    <cellStyle name="Normal 2 4 3 15 2" xfId="25735"/>
    <cellStyle name="Normal 2 4 3 16" xfId="25736"/>
    <cellStyle name="Normal 2 4 3 16 2" xfId="25737"/>
    <cellStyle name="Normal 2 4 3 17" xfId="25738"/>
    <cellStyle name="Normal 2 4 3 17 2" xfId="25739"/>
    <cellStyle name="Normal 2 4 3 18" xfId="25740"/>
    <cellStyle name="Normal 2 4 3 2" xfId="25741"/>
    <cellStyle name="Normal 2 4 3 2 2" xfId="25742"/>
    <cellStyle name="Normal 2 4 3 2 2 10" xfId="25743"/>
    <cellStyle name="Normal 2 4 3 2 2 10 2" xfId="25744"/>
    <cellStyle name="Normal 2 4 3 2 2 11" xfId="25745"/>
    <cellStyle name="Normal 2 4 3 2 2 11 2" xfId="25746"/>
    <cellStyle name="Normal 2 4 3 2 2 12" xfId="25747"/>
    <cellStyle name="Normal 2 4 3 2 2 12 2" xfId="25748"/>
    <cellStyle name="Normal 2 4 3 2 2 13" xfId="25749"/>
    <cellStyle name="Normal 2 4 3 2 2 13 2" xfId="25750"/>
    <cellStyle name="Normal 2 4 3 2 2 14" xfId="25751"/>
    <cellStyle name="Normal 2 4 3 2 2 14 2" xfId="25752"/>
    <cellStyle name="Normal 2 4 3 2 2 15" xfId="25753"/>
    <cellStyle name="Normal 2 4 3 2 2 15 2" xfId="25754"/>
    <cellStyle name="Normal 2 4 3 2 2 16" xfId="25755"/>
    <cellStyle name="Normal 2 4 3 2 2 16 2" xfId="25756"/>
    <cellStyle name="Normal 2 4 3 2 2 17" xfId="25757"/>
    <cellStyle name="Normal 2 4 3 2 2 2" xfId="25758"/>
    <cellStyle name="Normal 2 4 3 2 2 2 2" xfId="25759"/>
    <cellStyle name="Normal 2 4 3 2 2 3" xfId="25760"/>
    <cellStyle name="Normal 2 4 3 2 2 3 2" xfId="25761"/>
    <cellStyle name="Normal 2 4 3 2 2 4" xfId="25762"/>
    <cellStyle name="Normal 2 4 3 2 2 4 2" xfId="25763"/>
    <cellStyle name="Normal 2 4 3 2 2 5" xfId="25764"/>
    <cellStyle name="Normal 2 4 3 2 2 5 2" xfId="25765"/>
    <cellStyle name="Normal 2 4 3 2 2 6" xfId="25766"/>
    <cellStyle name="Normal 2 4 3 2 2 6 10" xfId="25767"/>
    <cellStyle name="Normal 2 4 3 2 2 6 10 2" xfId="25768"/>
    <cellStyle name="Normal 2 4 3 2 2 6 11" xfId="25769"/>
    <cellStyle name="Normal 2 4 3 2 2 6 11 2" xfId="25770"/>
    <cellStyle name="Normal 2 4 3 2 2 6 12" xfId="25771"/>
    <cellStyle name="Normal 2 4 3 2 2 6 2" xfId="25772"/>
    <cellStyle name="Normal 2 4 3 2 2 6 2 10" xfId="25773"/>
    <cellStyle name="Normal 2 4 3 2 2 6 2 10 2" xfId="25774"/>
    <cellStyle name="Normal 2 4 3 2 2 6 2 11" xfId="25775"/>
    <cellStyle name="Normal 2 4 3 2 2 6 2 2" xfId="25776"/>
    <cellStyle name="Normal 2 4 3 2 2 6 2 2 2" xfId="25777"/>
    <cellStyle name="Normal 2 4 3 2 2 6 2 3" xfId="25778"/>
    <cellStyle name="Normal 2 4 3 2 2 6 2 3 2" xfId="25779"/>
    <cellStyle name="Normal 2 4 3 2 2 6 2 4" xfId="25780"/>
    <cellStyle name="Normal 2 4 3 2 2 6 2 4 2" xfId="25781"/>
    <cellStyle name="Normal 2 4 3 2 2 6 2 5" xfId="25782"/>
    <cellStyle name="Normal 2 4 3 2 2 6 2 5 2" xfId="25783"/>
    <cellStyle name="Normal 2 4 3 2 2 6 2 6" xfId="25784"/>
    <cellStyle name="Normal 2 4 3 2 2 6 2 6 2" xfId="25785"/>
    <cellStyle name="Normal 2 4 3 2 2 6 2 7" xfId="25786"/>
    <cellStyle name="Normal 2 4 3 2 2 6 2 7 2" xfId="25787"/>
    <cellStyle name="Normal 2 4 3 2 2 6 2 8" xfId="25788"/>
    <cellStyle name="Normal 2 4 3 2 2 6 2 8 2" xfId="25789"/>
    <cellStyle name="Normal 2 4 3 2 2 6 2 9" xfId="25790"/>
    <cellStyle name="Normal 2 4 3 2 2 6 2 9 2" xfId="25791"/>
    <cellStyle name="Normal 2 4 3 2 2 6 3" xfId="25792"/>
    <cellStyle name="Normal 2 4 3 2 2 6 3 2" xfId="25793"/>
    <cellStyle name="Normal 2 4 3 2 2 6 4" xfId="25794"/>
    <cellStyle name="Normal 2 4 3 2 2 6 4 2" xfId="25795"/>
    <cellStyle name="Normal 2 4 3 2 2 6 5" xfId="25796"/>
    <cellStyle name="Normal 2 4 3 2 2 6 5 2" xfId="25797"/>
    <cellStyle name="Normal 2 4 3 2 2 6 6" xfId="25798"/>
    <cellStyle name="Normal 2 4 3 2 2 6 6 2" xfId="25799"/>
    <cellStyle name="Normal 2 4 3 2 2 6 7" xfId="25800"/>
    <cellStyle name="Normal 2 4 3 2 2 6 7 2" xfId="25801"/>
    <cellStyle name="Normal 2 4 3 2 2 6 8" xfId="25802"/>
    <cellStyle name="Normal 2 4 3 2 2 6 8 2" xfId="25803"/>
    <cellStyle name="Normal 2 4 3 2 2 6 9" xfId="25804"/>
    <cellStyle name="Normal 2 4 3 2 2 6 9 2" xfId="25805"/>
    <cellStyle name="Normal 2 4 3 2 2 7" xfId="25806"/>
    <cellStyle name="Normal 2 4 3 2 2 7 10" xfId="25807"/>
    <cellStyle name="Normal 2 4 3 2 2 7 10 2" xfId="25808"/>
    <cellStyle name="Normal 2 4 3 2 2 7 11" xfId="25809"/>
    <cellStyle name="Normal 2 4 3 2 2 7 2" xfId="25810"/>
    <cellStyle name="Normal 2 4 3 2 2 7 2 2" xfId="25811"/>
    <cellStyle name="Normal 2 4 3 2 2 7 3" xfId="25812"/>
    <cellStyle name="Normal 2 4 3 2 2 7 3 2" xfId="25813"/>
    <cellStyle name="Normal 2 4 3 2 2 7 4" xfId="25814"/>
    <cellStyle name="Normal 2 4 3 2 2 7 4 2" xfId="25815"/>
    <cellStyle name="Normal 2 4 3 2 2 7 5" xfId="25816"/>
    <cellStyle name="Normal 2 4 3 2 2 7 5 2" xfId="25817"/>
    <cellStyle name="Normal 2 4 3 2 2 7 6" xfId="25818"/>
    <cellStyle name="Normal 2 4 3 2 2 7 6 2" xfId="25819"/>
    <cellStyle name="Normal 2 4 3 2 2 7 7" xfId="25820"/>
    <cellStyle name="Normal 2 4 3 2 2 7 7 2" xfId="25821"/>
    <cellStyle name="Normal 2 4 3 2 2 7 8" xfId="25822"/>
    <cellStyle name="Normal 2 4 3 2 2 7 8 2" xfId="25823"/>
    <cellStyle name="Normal 2 4 3 2 2 7 9" xfId="25824"/>
    <cellStyle name="Normal 2 4 3 2 2 7 9 2" xfId="25825"/>
    <cellStyle name="Normal 2 4 3 2 2 8" xfId="25826"/>
    <cellStyle name="Normal 2 4 3 2 2 8 2" xfId="25827"/>
    <cellStyle name="Normal 2 4 3 2 2 9" xfId="25828"/>
    <cellStyle name="Normal 2 4 3 2 2 9 2" xfId="25829"/>
    <cellStyle name="Normal 2 4 3 2 3" xfId="25830"/>
    <cellStyle name="Normal 2 4 3 2 3 10" xfId="25831"/>
    <cellStyle name="Normal 2 4 3 2 3 10 2" xfId="25832"/>
    <cellStyle name="Normal 2 4 3 2 3 11" xfId="25833"/>
    <cellStyle name="Normal 2 4 3 2 3 11 2" xfId="25834"/>
    <cellStyle name="Normal 2 4 3 2 3 12" xfId="25835"/>
    <cellStyle name="Normal 2 4 3 2 3 12 2" xfId="25836"/>
    <cellStyle name="Normal 2 4 3 2 3 13" xfId="25837"/>
    <cellStyle name="Normal 2 4 3 2 3 2" xfId="25838"/>
    <cellStyle name="Normal 2 4 3 2 3 2 10" xfId="25839"/>
    <cellStyle name="Normal 2 4 3 2 3 2 10 2" xfId="25840"/>
    <cellStyle name="Normal 2 4 3 2 3 2 11" xfId="25841"/>
    <cellStyle name="Normal 2 4 3 2 3 2 11 2" xfId="25842"/>
    <cellStyle name="Normal 2 4 3 2 3 2 12" xfId="25843"/>
    <cellStyle name="Normal 2 4 3 2 3 2 2" xfId="25844"/>
    <cellStyle name="Normal 2 4 3 2 3 2 2 10" xfId="25845"/>
    <cellStyle name="Normal 2 4 3 2 3 2 2 10 2" xfId="25846"/>
    <cellStyle name="Normal 2 4 3 2 3 2 2 11" xfId="25847"/>
    <cellStyle name="Normal 2 4 3 2 3 2 2 2" xfId="25848"/>
    <cellStyle name="Normal 2 4 3 2 3 2 2 2 2" xfId="25849"/>
    <cellStyle name="Normal 2 4 3 2 3 2 2 3" xfId="25850"/>
    <cellStyle name="Normal 2 4 3 2 3 2 2 3 2" xfId="25851"/>
    <cellStyle name="Normal 2 4 3 2 3 2 2 4" xfId="25852"/>
    <cellStyle name="Normal 2 4 3 2 3 2 2 4 2" xfId="25853"/>
    <cellStyle name="Normal 2 4 3 2 3 2 2 5" xfId="25854"/>
    <cellStyle name="Normal 2 4 3 2 3 2 2 5 2" xfId="25855"/>
    <cellStyle name="Normal 2 4 3 2 3 2 2 6" xfId="25856"/>
    <cellStyle name="Normal 2 4 3 2 3 2 2 6 2" xfId="25857"/>
    <cellStyle name="Normal 2 4 3 2 3 2 2 7" xfId="25858"/>
    <cellStyle name="Normal 2 4 3 2 3 2 2 7 2" xfId="25859"/>
    <cellStyle name="Normal 2 4 3 2 3 2 2 8" xfId="25860"/>
    <cellStyle name="Normal 2 4 3 2 3 2 2 8 2" xfId="25861"/>
    <cellStyle name="Normal 2 4 3 2 3 2 2 9" xfId="25862"/>
    <cellStyle name="Normal 2 4 3 2 3 2 2 9 2" xfId="25863"/>
    <cellStyle name="Normal 2 4 3 2 3 2 3" xfId="25864"/>
    <cellStyle name="Normal 2 4 3 2 3 2 3 2" xfId="25865"/>
    <cellStyle name="Normal 2 4 3 2 3 2 4" xfId="25866"/>
    <cellStyle name="Normal 2 4 3 2 3 2 4 2" xfId="25867"/>
    <cellStyle name="Normal 2 4 3 2 3 2 5" xfId="25868"/>
    <cellStyle name="Normal 2 4 3 2 3 2 5 2" xfId="25869"/>
    <cellStyle name="Normal 2 4 3 2 3 2 6" xfId="25870"/>
    <cellStyle name="Normal 2 4 3 2 3 2 6 2" xfId="25871"/>
    <cellStyle name="Normal 2 4 3 2 3 2 7" xfId="25872"/>
    <cellStyle name="Normal 2 4 3 2 3 2 7 2" xfId="25873"/>
    <cellStyle name="Normal 2 4 3 2 3 2 8" xfId="25874"/>
    <cellStyle name="Normal 2 4 3 2 3 2 8 2" xfId="25875"/>
    <cellStyle name="Normal 2 4 3 2 3 2 9" xfId="25876"/>
    <cellStyle name="Normal 2 4 3 2 3 2 9 2" xfId="25877"/>
    <cellStyle name="Normal 2 4 3 2 3 3" xfId="25878"/>
    <cellStyle name="Normal 2 4 3 2 3 3 10" xfId="25879"/>
    <cellStyle name="Normal 2 4 3 2 3 3 10 2" xfId="25880"/>
    <cellStyle name="Normal 2 4 3 2 3 3 11" xfId="25881"/>
    <cellStyle name="Normal 2 4 3 2 3 3 2" xfId="25882"/>
    <cellStyle name="Normal 2 4 3 2 3 3 2 2" xfId="25883"/>
    <cellStyle name="Normal 2 4 3 2 3 3 3" xfId="25884"/>
    <cellStyle name="Normal 2 4 3 2 3 3 3 2" xfId="25885"/>
    <cellStyle name="Normal 2 4 3 2 3 3 4" xfId="25886"/>
    <cellStyle name="Normal 2 4 3 2 3 3 4 2" xfId="25887"/>
    <cellStyle name="Normal 2 4 3 2 3 3 5" xfId="25888"/>
    <cellStyle name="Normal 2 4 3 2 3 3 5 2" xfId="25889"/>
    <cellStyle name="Normal 2 4 3 2 3 3 6" xfId="25890"/>
    <cellStyle name="Normal 2 4 3 2 3 3 6 2" xfId="25891"/>
    <cellStyle name="Normal 2 4 3 2 3 3 7" xfId="25892"/>
    <cellStyle name="Normal 2 4 3 2 3 3 7 2" xfId="25893"/>
    <cellStyle name="Normal 2 4 3 2 3 3 8" xfId="25894"/>
    <cellStyle name="Normal 2 4 3 2 3 3 8 2" xfId="25895"/>
    <cellStyle name="Normal 2 4 3 2 3 3 9" xfId="25896"/>
    <cellStyle name="Normal 2 4 3 2 3 3 9 2" xfId="25897"/>
    <cellStyle name="Normal 2 4 3 2 3 4" xfId="25898"/>
    <cellStyle name="Normal 2 4 3 2 3 4 2" xfId="25899"/>
    <cellStyle name="Normal 2 4 3 2 3 5" xfId="25900"/>
    <cellStyle name="Normal 2 4 3 2 3 5 2" xfId="25901"/>
    <cellStyle name="Normal 2 4 3 2 3 6" xfId="25902"/>
    <cellStyle name="Normal 2 4 3 2 3 6 2" xfId="25903"/>
    <cellStyle name="Normal 2 4 3 2 3 7" xfId="25904"/>
    <cellStyle name="Normal 2 4 3 2 3 7 2" xfId="25905"/>
    <cellStyle name="Normal 2 4 3 2 3 8" xfId="25906"/>
    <cellStyle name="Normal 2 4 3 2 3 8 2" xfId="25907"/>
    <cellStyle name="Normal 2 4 3 2 3 9" xfId="25908"/>
    <cellStyle name="Normal 2 4 3 2 3 9 2" xfId="25909"/>
    <cellStyle name="Normal 2 4 3 2 4" xfId="25910"/>
    <cellStyle name="Normal 2 4 3 2 4 10" xfId="25911"/>
    <cellStyle name="Normal 2 4 3 2 4 10 2" xfId="25912"/>
    <cellStyle name="Normal 2 4 3 2 4 11" xfId="25913"/>
    <cellStyle name="Normal 2 4 3 2 4 11 2" xfId="25914"/>
    <cellStyle name="Normal 2 4 3 2 4 12" xfId="25915"/>
    <cellStyle name="Normal 2 4 3 2 4 12 2" xfId="25916"/>
    <cellStyle name="Normal 2 4 3 2 4 13" xfId="25917"/>
    <cellStyle name="Normal 2 4 3 2 4 2" xfId="25918"/>
    <cellStyle name="Normal 2 4 3 2 4 2 10" xfId="25919"/>
    <cellStyle name="Normal 2 4 3 2 4 2 10 2" xfId="25920"/>
    <cellStyle name="Normal 2 4 3 2 4 2 11" xfId="25921"/>
    <cellStyle name="Normal 2 4 3 2 4 2 11 2" xfId="25922"/>
    <cellStyle name="Normal 2 4 3 2 4 2 12" xfId="25923"/>
    <cellStyle name="Normal 2 4 3 2 4 2 2" xfId="25924"/>
    <cellStyle name="Normal 2 4 3 2 4 2 2 10" xfId="25925"/>
    <cellStyle name="Normal 2 4 3 2 4 2 2 10 2" xfId="25926"/>
    <cellStyle name="Normal 2 4 3 2 4 2 2 11" xfId="25927"/>
    <cellStyle name="Normal 2 4 3 2 4 2 2 2" xfId="25928"/>
    <cellStyle name="Normal 2 4 3 2 4 2 2 2 2" xfId="25929"/>
    <cellStyle name="Normal 2 4 3 2 4 2 2 3" xfId="25930"/>
    <cellStyle name="Normal 2 4 3 2 4 2 2 3 2" xfId="25931"/>
    <cellStyle name="Normal 2 4 3 2 4 2 2 4" xfId="25932"/>
    <cellStyle name="Normal 2 4 3 2 4 2 2 4 2" xfId="25933"/>
    <cellStyle name="Normal 2 4 3 2 4 2 2 5" xfId="25934"/>
    <cellStyle name="Normal 2 4 3 2 4 2 2 5 2" xfId="25935"/>
    <cellStyle name="Normal 2 4 3 2 4 2 2 6" xfId="25936"/>
    <cellStyle name="Normal 2 4 3 2 4 2 2 6 2" xfId="25937"/>
    <cellStyle name="Normal 2 4 3 2 4 2 2 7" xfId="25938"/>
    <cellStyle name="Normal 2 4 3 2 4 2 2 7 2" xfId="25939"/>
    <cellStyle name="Normal 2 4 3 2 4 2 2 8" xfId="25940"/>
    <cellStyle name="Normal 2 4 3 2 4 2 2 8 2" xfId="25941"/>
    <cellStyle name="Normal 2 4 3 2 4 2 2 9" xfId="25942"/>
    <cellStyle name="Normal 2 4 3 2 4 2 2 9 2" xfId="25943"/>
    <cellStyle name="Normal 2 4 3 2 4 2 3" xfId="25944"/>
    <cellStyle name="Normal 2 4 3 2 4 2 3 2" xfId="25945"/>
    <cellStyle name="Normal 2 4 3 2 4 2 4" xfId="25946"/>
    <cellStyle name="Normal 2 4 3 2 4 2 4 2" xfId="25947"/>
    <cellStyle name="Normal 2 4 3 2 4 2 5" xfId="25948"/>
    <cellStyle name="Normal 2 4 3 2 4 2 5 2" xfId="25949"/>
    <cellStyle name="Normal 2 4 3 2 4 2 6" xfId="25950"/>
    <cellStyle name="Normal 2 4 3 2 4 2 6 2" xfId="25951"/>
    <cellStyle name="Normal 2 4 3 2 4 2 7" xfId="25952"/>
    <cellStyle name="Normal 2 4 3 2 4 2 7 2" xfId="25953"/>
    <cellStyle name="Normal 2 4 3 2 4 2 8" xfId="25954"/>
    <cellStyle name="Normal 2 4 3 2 4 2 8 2" xfId="25955"/>
    <cellStyle name="Normal 2 4 3 2 4 2 9" xfId="25956"/>
    <cellStyle name="Normal 2 4 3 2 4 2 9 2" xfId="25957"/>
    <cellStyle name="Normal 2 4 3 2 4 3" xfId="25958"/>
    <cellStyle name="Normal 2 4 3 2 4 3 10" xfId="25959"/>
    <cellStyle name="Normal 2 4 3 2 4 3 10 2" xfId="25960"/>
    <cellStyle name="Normal 2 4 3 2 4 3 11" xfId="25961"/>
    <cellStyle name="Normal 2 4 3 2 4 3 2" xfId="25962"/>
    <cellStyle name="Normal 2 4 3 2 4 3 2 2" xfId="25963"/>
    <cellStyle name="Normal 2 4 3 2 4 3 3" xfId="25964"/>
    <cellStyle name="Normal 2 4 3 2 4 3 3 2" xfId="25965"/>
    <cellStyle name="Normal 2 4 3 2 4 3 4" xfId="25966"/>
    <cellStyle name="Normal 2 4 3 2 4 3 4 2" xfId="25967"/>
    <cellStyle name="Normal 2 4 3 2 4 3 5" xfId="25968"/>
    <cellStyle name="Normal 2 4 3 2 4 3 5 2" xfId="25969"/>
    <cellStyle name="Normal 2 4 3 2 4 3 6" xfId="25970"/>
    <cellStyle name="Normal 2 4 3 2 4 3 6 2" xfId="25971"/>
    <cellStyle name="Normal 2 4 3 2 4 3 7" xfId="25972"/>
    <cellStyle name="Normal 2 4 3 2 4 3 7 2" xfId="25973"/>
    <cellStyle name="Normal 2 4 3 2 4 3 8" xfId="25974"/>
    <cellStyle name="Normal 2 4 3 2 4 3 8 2" xfId="25975"/>
    <cellStyle name="Normal 2 4 3 2 4 3 9" xfId="25976"/>
    <cellStyle name="Normal 2 4 3 2 4 3 9 2" xfId="25977"/>
    <cellStyle name="Normal 2 4 3 2 4 4" xfId="25978"/>
    <cellStyle name="Normal 2 4 3 2 4 4 2" xfId="25979"/>
    <cellStyle name="Normal 2 4 3 2 4 5" xfId="25980"/>
    <cellStyle name="Normal 2 4 3 2 4 5 2" xfId="25981"/>
    <cellStyle name="Normal 2 4 3 2 4 6" xfId="25982"/>
    <cellStyle name="Normal 2 4 3 2 4 6 2" xfId="25983"/>
    <cellStyle name="Normal 2 4 3 2 4 7" xfId="25984"/>
    <cellStyle name="Normal 2 4 3 2 4 7 2" xfId="25985"/>
    <cellStyle name="Normal 2 4 3 2 4 8" xfId="25986"/>
    <cellStyle name="Normal 2 4 3 2 4 8 2" xfId="25987"/>
    <cellStyle name="Normal 2 4 3 2 4 9" xfId="25988"/>
    <cellStyle name="Normal 2 4 3 2 4 9 2" xfId="25989"/>
    <cellStyle name="Normal 2 4 3 2 5" xfId="25990"/>
    <cellStyle name="Normal 2 4 3 2 5 10" xfId="25991"/>
    <cellStyle name="Normal 2 4 3 2 5 10 2" xfId="25992"/>
    <cellStyle name="Normal 2 4 3 2 5 11" xfId="25993"/>
    <cellStyle name="Normal 2 4 3 2 5 11 2" xfId="25994"/>
    <cellStyle name="Normal 2 4 3 2 5 12" xfId="25995"/>
    <cellStyle name="Normal 2 4 3 2 5 12 2" xfId="25996"/>
    <cellStyle name="Normal 2 4 3 2 5 13" xfId="25997"/>
    <cellStyle name="Normal 2 4 3 2 5 2" xfId="25998"/>
    <cellStyle name="Normal 2 4 3 2 5 2 10" xfId="25999"/>
    <cellStyle name="Normal 2 4 3 2 5 2 10 2" xfId="26000"/>
    <cellStyle name="Normal 2 4 3 2 5 2 11" xfId="26001"/>
    <cellStyle name="Normal 2 4 3 2 5 2 11 2" xfId="26002"/>
    <cellStyle name="Normal 2 4 3 2 5 2 12" xfId="26003"/>
    <cellStyle name="Normal 2 4 3 2 5 2 2" xfId="26004"/>
    <cellStyle name="Normal 2 4 3 2 5 2 2 10" xfId="26005"/>
    <cellStyle name="Normal 2 4 3 2 5 2 2 10 2" xfId="26006"/>
    <cellStyle name="Normal 2 4 3 2 5 2 2 11" xfId="26007"/>
    <cellStyle name="Normal 2 4 3 2 5 2 2 2" xfId="26008"/>
    <cellStyle name="Normal 2 4 3 2 5 2 2 2 2" xfId="26009"/>
    <cellStyle name="Normal 2 4 3 2 5 2 2 3" xfId="26010"/>
    <cellStyle name="Normal 2 4 3 2 5 2 2 3 2" xfId="26011"/>
    <cellStyle name="Normal 2 4 3 2 5 2 2 4" xfId="26012"/>
    <cellStyle name="Normal 2 4 3 2 5 2 2 4 2" xfId="26013"/>
    <cellStyle name="Normal 2 4 3 2 5 2 2 5" xfId="26014"/>
    <cellStyle name="Normal 2 4 3 2 5 2 2 5 2" xfId="26015"/>
    <cellStyle name="Normal 2 4 3 2 5 2 2 6" xfId="26016"/>
    <cellStyle name="Normal 2 4 3 2 5 2 2 6 2" xfId="26017"/>
    <cellStyle name="Normal 2 4 3 2 5 2 2 7" xfId="26018"/>
    <cellStyle name="Normal 2 4 3 2 5 2 2 7 2" xfId="26019"/>
    <cellStyle name="Normal 2 4 3 2 5 2 2 8" xfId="26020"/>
    <cellStyle name="Normal 2 4 3 2 5 2 2 8 2" xfId="26021"/>
    <cellStyle name="Normal 2 4 3 2 5 2 2 9" xfId="26022"/>
    <cellStyle name="Normal 2 4 3 2 5 2 2 9 2" xfId="26023"/>
    <cellStyle name="Normal 2 4 3 2 5 2 3" xfId="26024"/>
    <cellStyle name="Normal 2 4 3 2 5 2 3 2" xfId="26025"/>
    <cellStyle name="Normal 2 4 3 2 5 2 4" xfId="26026"/>
    <cellStyle name="Normal 2 4 3 2 5 2 4 2" xfId="26027"/>
    <cellStyle name="Normal 2 4 3 2 5 2 5" xfId="26028"/>
    <cellStyle name="Normal 2 4 3 2 5 2 5 2" xfId="26029"/>
    <cellStyle name="Normal 2 4 3 2 5 2 6" xfId="26030"/>
    <cellStyle name="Normal 2 4 3 2 5 2 6 2" xfId="26031"/>
    <cellStyle name="Normal 2 4 3 2 5 2 7" xfId="26032"/>
    <cellStyle name="Normal 2 4 3 2 5 2 7 2" xfId="26033"/>
    <cellStyle name="Normal 2 4 3 2 5 2 8" xfId="26034"/>
    <cellStyle name="Normal 2 4 3 2 5 2 8 2" xfId="26035"/>
    <cellStyle name="Normal 2 4 3 2 5 2 9" xfId="26036"/>
    <cellStyle name="Normal 2 4 3 2 5 2 9 2" xfId="26037"/>
    <cellStyle name="Normal 2 4 3 2 5 3" xfId="26038"/>
    <cellStyle name="Normal 2 4 3 2 5 3 10" xfId="26039"/>
    <cellStyle name="Normal 2 4 3 2 5 3 10 2" xfId="26040"/>
    <cellStyle name="Normal 2 4 3 2 5 3 11" xfId="26041"/>
    <cellStyle name="Normal 2 4 3 2 5 3 2" xfId="26042"/>
    <cellStyle name="Normal 2 4 3 2 5 3 2 2" xfId="26043"/>
    <cellStyle name="Normal 2 4 3 2 5 3 3" xfId="26044"/>
    <cellStyle name="Normal 2 4 3 2 5 3 3 2" xfId="26045"/>
    <cellStyle name="Normal 2 4 3 2 5 3 4" xfId="26046"/>
    <cellStyle name="Normal 2 4 3 2 5 3 4 2" xfId="26047"/>
    <cellStyle name="Normal 2 4 3 2 5 3 5" xfId="26048"/>
    <cellStyle name="Normal 2 4 3 2 5 3 5 2" xfId="26049"/>
    <cellStyle name="Normal 2 4 3 2 5 3 6" xfId="26050"/>
    <cellStyle name="Normal 2 4 3 2 5 3 6 2" xfId="26051"/>
    <cellStyle name="Normal 2 4 3 2 5 3 7" xfId="26052"/>
    <cellStyle name="Normal 2 4 3 2 5 3 7 2" xfId="26053"/>
    <cellStyle name="Normal 2 4 3 2 5 3 8" xfId="26054"/>
    <cellStyle name="Normal 2 4 3 2 5 3 8 2" xfId="26055"/>
    <cellStyle name="Normal 2 4 3 2 5 3 9" xfId="26056"/>
    <cellStyle name="Normal 2 4 3 2 5 3 9 2" xfId="26057"/>
    <cellStyle name="Normal 2 4 3 2 5 4" xfId="26058"/>
    <cellStyle name="Normal 2 4 3 2 5 4 2" xfId="26059"/>
    <cellStyle name="Normal 2 4 3 2 5 5" xfId="26060"/>
    <cellStyle name="Normal 2 4 3 2 5 5 2" xfId="26061"/>
    <cellStyle name="Normal 2 4 3 2 5 6" xfId="26062"/>
    <cellStyle name="Normal 2 4 3 2 5 6 2" xfId="26063"/>
    <cellStyle name="Normal 2 4 3 2 5 7" xfId="26064"/>
    <cellStyle name="Normal 2 4 3 2 5 7 2" xfId="26065"/>
    <cellStyle name="Normal 2 4 3 2 5 8" xfId="26066"/>
    <cellStyle name="Normal 2 4 3 2 5 8 2" xfId="26067"/>
    <cellStyle name="Normal 2 4 3 2 5 9" xfId="26068"/>
    <cellStyle name="Normal 2 4 3 2 5 9 2" xfId="26069"/>
    <cellStyle name="Normal 2 4 3 2 6" xfId="26070"/>
    <cellStyle name="Normal 2 4 3 3" xfId="26071"/>
    <cellStyle name="Normal 2 4 3 3 2" xfId="26072"/>
    <cellStyle name="Normal 2 4 3 4" xfId="26073"/>
    <cellStyle name="Normal 2 4 3 4 2" xfId="26074"/>
    <cellStyle name="Normal 2 4 3 5" xfId="26075"/>
    <cellStyle name="Normal 2 4 3 5 2" xfId="26076"/>
    <cellStyle name="Normal 2 4 3 6" xfId="26077"/>
    <cellStyle name="Normal 2 4 3 6 2" xfId="26078"/>
    <cellStyle name="Normal 2 4 3 7" xfId="26079"/>
    <cellStyle name="Normal 2 4 3 7 10" xfId="26080"/>
    <cellStyle name="Normal 2 4 3 7 10 2" xfId="26081"/>
    <cellStyle name="Normal 2 4 3 7 11" xfId="26082"/>
    <cellStyle name="Normal 2 4 3 7 11 2" xfId="26083"/>
    <cellStyle name="Normal 2 4 3 7 12" xfId="26084"/>
    <cellStyle name="Normal 2 4 3 7 2" xfId="26085"/>
    <cellStyle name="Normal 2 4 3 7 2 10" xfId="26086"/>
    <cellStyle name="Normal 2 4 3 7 2 10 2" xfId="26087"/>
    <cellStyle name="Normal 2 4 3 7 2 11" xfId="26088"/>
    <cellStyle name="Normal 2 4 3 7 2 2" xfId="26089"/>
    <cellStyle name="Normal 2 4 3 7 2 2 2" xfId="26090"/>
    <cellStyle name="Normal 2 4 3 7 2 3" xfId="26091"/>
    <cellStyle name="Normal 2 4 3 7 2 3 2" xfId="26092"/>
    <cellStyle name="Normal 2 4 3 7 2 4" xfId="26093"/>
    <cellStyle name="Normal 2 4 3 7 2 4 2" xfId="26094"/>
    <cellStyle name="Normal 2 4 3 7 2 5" xfId="26095"/>
    <cellStyle name="Normal 2 4 3 7 2 5 2" xfId="26096"/>
    <cellStyle name="Normal 2 4 3 7 2 6" xfId="26097"/>
    <cellStyle name="Normal 2 4 3 7 2 6 2" xfId="26098"/>
    <cellStyle name="Normal 2 4 3 7 2 7" xfId="26099"/>
    <cellStyle name="Normal 2 4 3 7 2 7 2" xfId="26100"/>
    <cellStyle name="Normal 2 4 3 7 2 8" xfId="26101"/>
    <cellStyle name="Normal 2 4 3 7 2 8 2" xfId="26102"/>
    <cellStyle name="Normal 2 4 3 7 2 9" xfId="26103"/>
    <cellStyle name="Normal 2 4 3 7 2 9 2" xfId="26104"/>
    <cellStyle name="Normal 2 4 3 7 3" xfId="26105"/>
    <cellStyle name="Normal 2 4 3 7 3 2" xfId="26106"/>
    <cellStyle name="Normal 2 4 3 7 4" xfId="26107"/>
    <cellStyle name="Normal 2 4 3 7 4 2" xfId="26108"/>
    <cellStyle name="Normal 2 4 3 7 5" xfId="26109"/>
    <cellStyle name="Normal 2 4 3 7 5 2" xfId="26110"/>
    <cellStyle name="Normal 2 4 3 7 6" xfId="26111"/>
    <cellStyle name="Normal 2 4 3 7 6 2" xfId="26112"/>
    <cellStyle name="Normal 2 4 3 7 7" xfId="26113"/>
    <cellStyle name="Normal 2 4 3 7 7 2" xfId="26114"/>
    <cellStyle name="Normal 2 4 3 7 8" xfId="26115"/>
    <cellStyle name="Normal 2 4 3 7 8 2" xfId="26116"/>
    <cellStyle name="Normal 2 4 3 7 9" xfId="26117"/>
    <cellStyle name="Normal 2 4 3 7 9 2" xfId="26118"/>
    <cellStyle name="Normal 2 4 3 8" xfId="26119"/>
    <cellStyle name="Normal 2 4 3 8 10" xfId="26120"/>
    <cellStyle name="Normal 2 4 3 8 10 2" xfId="26121"/>
    <cellStyle name="Normal 2 4 3 8 11" xfId="26122"/>
    <cellStyle name="Normal 2 4 3 8 2" xfId="26123"/>
    <cellStyle name="Normal 2 4 3 8 2 2" xfId="26124"/>
    <cellStyle name="Normal 2 4 3 8 3" xfId="26125"/>
    <cellStyle name="Normal 2 4 3 8 3 2" xfId="26126"/>
    <cellStyle name="Normal 2 4 3 8 4" xfId="26127"/>
    <cellStyle name="Normal 2 4 3 8 4 2" xfId="26128"/>
    <cellStyle name="Normal 2 4 3 8 5" xfId="26129"/>
    <cellStyle name="Normal 2 4 3 8 5 2" xfId="26130"/>
    <cellStyle name="Normal 2 4 3 8 6" xfId="26131"/>
    <cellStyle name="Normal 2 4 3 8 6 2" xfId="26132"/>
    <cellStyle name="Normal 2 4 3 8 7" xfId="26133"/>
    <cellStyle name="Normal 2 4 3 8 7 2" xfId="26134"/>
    <cellStyle name="Normal 2 4 3 8 8" xfId="26135"/>
    <cellStyle name="Normal 2 4 3 8 8 2" xfId="26136"/>
    <cellStyle name="Normal 2 4 3 8 9" xfId="26137"/>
    <cellStyle name="Normal 2 4 3 8 9 2" xfId="26138"/>
    <cellStyle name="Normal 2 4 3 9" xfId="26139"/>
    <cellStyle name="Normal 2 4 3 9 2" xfId="26140"/>
    <cellStyle name="Normal 2 4 4" xfId="26141"/>
    <cellStyle name="Normal 2 4 4 2" xfId="26142"/>
    <cellStyle name="Normal 2 4 5" xfId="26143"/>
    <cellStyle name="Normal 2 4 5 2" xfId="26144"/>
    <cellStyle name="Normal 2 4 6" xfId="26145"/>
    <cellStyle name="Normal 2 4 6 10" xfId="26146"/>
    <cellStyle name="Normal 2 4 6 10 2" xfId="26147"/>
    <cellStyle name="Normal 2 4 6 11" xfId="26148"/>
    <cellStyle name="Normal 2 4 6 11 2" xfId="26149"/>
    <cellStyle name="Normal 2 4 6 12" xfId="26150"/>
    <cellStyle name="Normal 2 4 6 12 2" xfId="26151"/>
    <cellStyle name="Normal 2 4 6 13" xfId="26152"/>
    <cellStyle name="Normal 2 4 6 13 2" xfId="26153"/>
    <cellStyle name="Normal 2 4 6 14" xfId="26154"/>
    <cellStyle name="Normal 2 4 6 14 2" xfId="26155"/>
    <cellStyle name="Normal 2 4 6 15" xfId="26156"/>
    <cellStyle name="Normal 2 4 6 15 2" xfId="26157"/>
    <cellStyle name="Normal 2 4 6 16" xfId="26158"/>
    <cellStyle name="Normal 2 4 6 16 2" xfId="26159"/>
    <cellStyle name="Normal 2 4 6 17" xfId="26160"/>
    <cellStyle name="Normal 2 4 6 2" xfId="26161"/>
    <cellStyle name="Normal 2 4 6 2 2" xfId="26162"/>
    <cellStyle name="Normal 2 4 6 3" xfId="26163"/>
    <cellStyle name="Normal 2 4 6 3 2" xfId="26164"/>
    <cellStyle name="Normal 2 4 6 4" xfId="26165"/>
    <cellStyle name="Normal 2 4 6 4 2" xfId="26166"/>
    <cellStyle name="Normal 2 4 6 5" xfId="26167"/>
    <cellStyle name="Normal 2 4 6 5 2" xfId="26168"/>
    <cellStyle name="Normal 2 4 6 6" xfId="26169"/>
    <cellStyle name="Normal 2 4 6 6 10" xfId="26170"/>
    <cellStyle name="Normal 2 4 6 6 10 2" xfId="26171"/>
    <cellStyle name="Normal 2 4 6 6 11" xfId="26172"/>
    <cellStyle name="Normal 2 4 6 6 11 2" xfId="26173"/>
    <cellStyle name="Normal 2 4 6 6 12" xfId="26174"/>
    <cellStyle name="Normal 2 4 6 6 2" xfId="26175"/>
    <cellStyle name="Normal 2 4 6 6 2 10" xfId="26176"/>
    <cellStyle name="Normal 2 4 6 6 2 10 2" xfId="26177"/>
    <cellStyle name="Normal 2 4 6 6 2 11" xfId="26178"/>
    <cellStyle name="Normal 2 4 6 6 2 2" xfId="26179"/>
    <cellStyle name="Normal 2 4 6 6 2 2 2" xfId="26180"/>
    <cellStyle name="Normal 2 4 6 6 2 3" xfId="26181"/>
    <cellStyle name="Normal 2 4 6 6 2 3 2" xfId="26182"/>
    <cellStyle name="Normal 2 4 6 6 2 4" xfId="26183"/>
    <cellStyle name="Normal 2 4 6 6 2 4 2" xfId="26184"/>
    <cellStyle name="Normal 2 4 6 6 2 5" xfId="26185"/>
    <cellStyle name="Normal 2 4 6 6 2 5 2" xfId="26186"/>
    <cellStyle name="Normal 2 4 6 6 2 6" xfId="26187"/>
    <cellStyle name="Normal 2 4 6 6 2 6 2" xfId="26188"/>
    <cellStyle name="Normal 2 4 6 6 2 7" xfId="26189"/>
    <cellStyle name="Normal 2 4 6 6 2 7 2" xfId="26190"/>
    <cellStyle name="Normal 2 4 6 6 2 8" xfId="26191"/>
    <cellStyle name="Normal 2 4 6 6 2 8 2" xfId="26192"/>
    <cellStyle name="Normal 2 4 6 6 2 9" xfId="26193"/>
    <cellStyle name="Normal 2 4 6 6 2 9 2" xfId="26194"/>
    <cellStyle name="Normal 2 4 6 6 3" xfId="26195"/>
    <cellStyle name="Normal 2 4 6 6 3 2" xfId="26196"/>
    <cellStyle name="Normal 2 4 6 6 4" xfId="26197"/>
    <cellStyle name="Normal 2 4 6 6 4 2" xfId="26198"/>
    <cellStyle name="Normal 2 4 6 6 5" xfId="26199"/>
    <cellStyle name="Normal 2 4 6 6 5 2" xfId="26200"/>
    <cellStyle name="Normal 2 4 6 6 6" xfId="26201"/>
    <cellStyle name="Normal 2 4 6 6 6 2" xfId="26202"/>
    <cellStyle name="Normal 2 4 6 6 7" xfId="26203"/>
    <cellStyle name="Normal 2 4 6 6 7 2" xfId="26204"/>
    <cellStyle name="Normal 2 4 6 6 8" xfId="26205"/>
    <cellStyle name="Normal 2 4 6 6 8 2" xfId="26206"/>
    <cellStyle name="Normal 2 4 6 6 9" xfId="26207"/>
    <cellStyle name="Normal 2 4 6 6 9 2" xfId="26208"/>
    <cellStyle name="Normal 2 4 6 7" xfId="26209"/>
    <cellStyle name="Normal 2 4 6 7 10" xfId="26210"/>
    <cellStyle name="Normal 2 4 6 7 10 2" xfId="26211"/>
    <cellStyle name="Normal 2 4 6 7 11" xfId="26212"/>
    <cellStyle name="Normal 2 4 6 7 2" xfId="26213"/>
    <cellStyle name="Normal 2 4 6 7 2 2" xfId="26214"/>
    <cellStyle name="Normal 2 4 6 7 3" xfId="26215"/>
    <cellStyle name="Normal 2 4 6 7 3 2" xfId="26216"/>
    <cellStyle name="Normal 2 4 6 7 4" xfId="26217"/>
    <cellStyle name="Normal 2 4 6 7 4 2" xfId="26218"/>
    <cellStyle name="Normal 2 4 6 7 5" xfId="26219"/>
    <cellStyle name="Normal 2 4 6 7 5 2" xfId="26220"/>
    <cellStyle name="Normal 2 4 6 7 6" xfId="26221"/>
    <cellStyle name="Normal 2 4 6 7 6 2" xfId="26222"/>
    <cellStyle name="Normal 2 4 6 7 7" xfId="26223"/>
    <cellStyle name="Normal 2 4 6 7 7 2" xfId="26224"/>
    <cellStyle name="Normal 2 4 6 7 8" xfId="26225"/>
    <cellStyle name="Normal 2 4 6 7 8 2" xfId="26226"/>
    <cellStyle name="Normal 2 4 6 7 9" xfId="26227"/>
    <cellStyle name="Normal 2 4 6 7 9 2" xfId="26228"/>
    <cellStyle name="Normal 2 4 6 8" xfId="26229"/>
    <cellStyle name="Normal 2 4 6 8 2" xfId="26230"/>
    <cellStyle name="Normal 2 4 6 9" xfId="26231"/>
    <cellStyle name="Normal 2 4 6 9 2" xfId="26232"/>
    <cellStyle name="Normal 2 4 7" xfId="26233"/>
    <cellStyle name="Normal 2 4 7 10" xfId="26234"/>
    <cellStyle name="Normal 2 4 7 10 2" xfId="26235"/>
    <cellStyle name="Normal 2 4 7 11" xfId="26236"/>
    <cellStyle name="Normal 2 4 7 11 2" xfId="26237"/>
    <cellStyle name="Normal 2 4 7 12" xfId="26238"/>
    <cellStyle name="Normal 2 4 7 12 2" xfId="26239"/>
    <cellStyle name="Normal 2 4 7 13" xfId="26240"/>
    <cellStyle name="Normal 2 4 7 2" xfId="26241"/>
    <cellStyle name="Normal 2 4 7 2 10" xfId="26242"/>
    <cellStyle name="Normal 2 4 7 2 10 2" xfId="26243"/>
    <cellStyle name="Normal 2 4 7 2 11" xfId="26244"/>
    <cellStyle name="Normal 2 4 7 2 11 2" xfId="26245"/>
    <cellStyle name="Normal 2 4 7 2 12" xfId="26246"/>
    <cellStyle name="Normal 2 4 7 2 2" xfId="26247"/>
    <cellStyle name="Normal 2 4 7 2 2 10" xfId="26248"/>
    <cellStyle name="Normal 2 4 7 2 2 10 2" xfId="26249"/>
    <cellStyle name="Normal 2 4 7 2 2 11" xfId="26250"/>
    <cellStyle name="Normal 2 4 7 2 2 2" xfId="26251"/>
    <cellStyle name="Normal 2 4 7 2 2 2 2" xfId="26252"/>
    <cellStyle name="Normal 2 4 7 2 2 3" xfId="26253"/>
    <cellStyle name="Normal 2 4 7 2 2 3 2" xfId="26254"/>
    <cellStyle name="Normal 2 4 7 2 2 4" xfId="26255"/>
    <cellStyle name="Normal 2 4 7 2 2 4 2" xfId="26256"/>
    <cellStyle name="Normal 2 4 7 2 2 5" xfId="26257"/>
    <cellStyle name="Normal 2 4 7 2 2 5 2" xfId="26258"/>
    <cellStyle name="Normal 2 4 7 2 2 6" xfId="26259"/>
    <cellStyle name="Normal 2 4 7 2 2 6 2" xfId="26260"/>
    <cellStyle name="Normal 2 4 7 2 2 7" xfId="26261"/>
    <cellStyle name="Normal 2 4 7 2 2 7 2" xfId="26262"/>
    <cellStyle name="Normal 2 4 7 2 2 8" xfId="26263"/>
    <cellStyle name="Normal 2 4 7 2 2 8 2" xfId="26264"/>
    <cellStyle name="Normal 2 4 7 2 2 9" xfId="26265"/>
    <cellStyle name="Normal 2 4 7 2 2 9 2" xfId="26266"/>
    <cellStyle name="Normal 2 4 7 2 3" xfId="26267"/>
    <cellStyle name="Normal 2 4 7 2 3 2" xfId="26268"/>
    <cellStyle name="Normal 2 4 7 2 4" xfId="26269"/>
    <cellStyle name="Normal 2 4 7 2 4 2" xfId="26270"/>
    <cellStyle name="Normal 2 4 7 2 5" xfId="26271"/>
    <cellStyle name="Normal 2 4 7 2 5 2" xfId="26272"/>
    <cellStyle name="Normal 2 4 7 2 6" xfId="26273"/>
    <cellStyle name="Normal 2 4 7 2 6 2" xfId="26274"/>
    <cellStyle name="Normal 2 4 7 2 7" xfId="26275"/>
    <cellStyle name="Normal 2 4 7 2 7 2" xfId="26276"/>
    <cellStyle name="Normal 2 4 7 2 8" xfId="26277"/>
    <cellStyle name="Normal 2 4 7 2 8 2" xfId="26278"/>
    <cellStyle name="Normal 2 4 7 2 9" xfId="26279"/>
    <cellStyle name="Normal 2 4 7 2 9 2" xfId="26280"/>
    <cellStyle name="Normal 2 4 7 3" xfId="26281"/>
    <cellStyle name="Normal 2 4 7 3 10" xfId="26282"/>
    <cellStyle name="Normal 2 4 7 3 10 2" xfId="26283"/>
    <cellStyle name="Normal 2 4 7 3 11" xfId="26284"/>
    <cellStyle name="Normal 2 4 7 3 2" xfId="26285"/>
    <cellStyle name="Normal 2 4 7 3 2 2" xfId="26286"/>
    <cellStyle name="Normal 2 4 7 3 3" xfId="26287"/>
    <cellStyle name="Normal 2 4 7 3 3 2" xfId="26288"/>
    <cellStyle name="Normal 2 4 7 3 4" xfId="26289"/>
    <cellStyle name="Normal 2 4 7 3 4 2" xfId="26290"/>
    <cellStyle name="Normal 2 4 7 3 5" xfId="26291"/>
    <cellStyle name="Normal 2 4 7 3 5 2" xfId="26292"/>
    <cellStyle name="Normal 2 4 7 3 6" xfId="26293"/>
    <cellStyle name="Normal 2 4 7 3 6 2" xfId="26294"/>
    <cellStyle name="Normal 2 4 7 3 7" xfId="26295"/>
    <cellStyle name="Normal 2 4 7 3 7 2" xfId="26296"/>
    <cellStyle name="Normal 2 4 7 3 8" xfId="26297"/>
    <cellStyle name="Normal 2 4 7 3 8 2" xfId="26298"/>
    <cellStyle name="Normal 2 4 7 3 9" xfId="26299"/>
    <cellStyle name="Normal 2 4 7 3 9 2" xfId="26300"/>
    <cellStyle name="Normal 2 4 7 4" xfId="26301"/>
    <cellStyle name="Normal 2 4 7 4 2" xfId="26302"/>
    <cellStyle name="Normal 2 4 7 5" xfId="26303"/>
    <cellStyle name="Normal 2 4 7 5 2" xfId="26304"/>
    <cellStyle name="Normal 2 4 7 6" xfId="26305"/>
    <cellStyle name="Normal 2 4 7 6 2" xfId="26306"/>
    <cellStyle name="Normal 2 4 7 7" xfId="26307"/>
    <cellStyle name="Normal 2 4 7 7 2" xfId="26308"/>
    <cellStyle name="Normal 2 4 7 8" xfId="26309"/>
    <cellStyle name="Normal 2 4 7 8 2" xfId="26310"/>
    <cellStyle name="Normal 2 4 7 9" xfId="26311"/>
    <cellStyle name="Normal 2 4 7 9 2" xfId="26312"/>
    <cellStyle name="Normal 2 4 8" xfId="26313"/>
    <cellStyle name="Normal 2 4 8 10" xfId="26314"/>
    <cellStyle name="Normal 2 4 8 10 2" xfId="26315"/>
    <cellStyle name="Normal 2 4 8 11" xfId="26316"/>
    <cellStyle name="Normal 2 4 8 11 2" xfId="26317"/>
    <cellStyle name="Normal 2 4 8 12" xfId="26318"/>
    <cellStyle name="Normal 2 4 8 12 2" xfId="26319"/>
    <cellStyle name="Normal 2 4 8 13" xfId="26320"/>
    <cellStyle name="Normal 2 4 8 2" xfId="26321"/>
    <cellStyle name="Normal 2 4 8 2 10" xfId="26322"/>
    <cellStyle name="Normal 2 4 8 2 10 2" xfId="26323"/>
    <cellStyle name="Normal 2 4 8 2 11" xfId="26324"/>
    <cellStyle name="Normal 2 4 8 2 11 2" xfId="26325"/>
    <cellStyle name="Normal 2 4 8 2 12" xfId="26326"/>
    <cellStyle name="Normal 2 4 8 2 2" xfId="26327"/>
    <cellStyle name="Normal 2 4 8 2 2 10" xfId="26328"/>
    <cellStyle name="Normal 2 4 8 2 2 10 2" xfId="26329"/>
    <cellStyle name="Normal 2 4 8 2 2 11" xfId="26330"/>
    <cellStyle name="Normal 2 4 8 2 2 2" xfId="26331"/>
    <cellStyle name="Normal 2 4 8 2 2 2 2" xfId="26332"/>
    <cellStyle name="Normal 2 4 8 2 2 3" xfId="26333"/>
    <cellStyle name="Normal 2 4 8 2 2 3 2" xfId="26334"/>
    <cellStyle name="Normal 2 4 8 2 2 4" xfId="26335"/>
    <cellStyle name="Normal 2 4 8 2 2 4 2" xfId="26336"/>
    <cellStyle name="Normal 2 4 8 2 2 5" xfId="26337"/>
    <cellStyle name="Normal 2 4 8 2 2 5 2" xfId="26338"/>
    <cellStyle name="Normal 2 4 8 2 2 6" xfId="26339"/>
    <cellStyle name="Normal 2 4 8 2 2 6 2" xfId="26340"/>
    <cellStyle name="Normal 2 4 8 2 2 7" xfId="26341"/>
    <cellStyle name="Normal 2 4 8 2 2 7 2" xfId="26342"/>
    <cellStyle name="Normal 2 4 8 2 2 8" xfId="26343"/>
    <cellStyle name="Normal 2 4 8 2 2 8 2" xfId="26344"/>
    <cellStyle name="Normal 2 4 8 2 2 9" xfId="26345"/>
    <cellStyle name="Normal 2 4 8 2 2 9 2" xfId="26346"/>
    <cellStyle name="Normal 2 4 8 2 3" xfId="26347"/>
    <cellStyle name="Normal 2 4 8 2 3 2" xfId="26348"/>
    <cellStyle name="Normal 2 4 8 2 4" xfId="26349"/>
    <cellStyle name="Normal 2 4 8 2 4 2" xfId="26350"/>
    <cellStyle name="Normal 2 4 8 2 5" xfId="26351"/>
    <cellStyle name="Normal 2 4 8 2 5 2" xfId="26352"/>
    <cellStyle name="Normal 2 4 8 2 6" xfId="26353"/>
    <cellStyle name="Normal 2 4 8 2 6 2" xfId="26354"/>
    <cellStyle name="Normal 2 4 8 2 7" xfId="26355"/>
    <cellStyle name="Normal 2 4 8 2 7 2" xfId="26356"/>
    <cellStyle name="Normal 2 4 8 2 8" xfId="26357"/>
    <cellStyle name="Normal 2 4 8 2 8 2" xfId="26358"/>
    <cellStyle name="Normal 2 4 8 2 9" xfId="26359"/>
    <cellStyle name="Normal 2 4 8 2 9 2" xfId="26360"/>
    <cellStyle name="Normal 2 4 8 3" xfId="26361"/>
    <cellStyle name="Normal 2 4 8 3 10" xfId="26362"/>
    <cellStyle name="Normal 2 4 8 3 10 2" xfId="26363"/>
    <cellStyle name="Normal 2 4 8 3 11" xfId="26364"/>
    <cellStyle name="Normal 2 4 8 3 2" xfId="26365"/>
    <cellStyle name="Normal 2 4 8 3 2 2" xfId="26366"/>
    <cellStyle name="Normal 2 4 8 3 3" xfId="26367"/>
    <cellStyle name="Normal 2 4 8 3 3 2" xfId="26368"/>
    <cellStyle name="Normal 2 4 8 3 4" xfId="26369"/>
    <cellStyle name="Normal 2 4 8 3 4 2" xfId="26370"/>
    <cellStyle name="Normal 2 4 8 3 5" xfId="26371"/>
    <cellStyle name="Normal 2 4 8 3 5 2" xfId="26372"/>
    <cellStyle name="Normal 2 4 8 3 6" xfId="26373"/>
    <cellStyle name="Normal 2 4 8 3 6 2" xfId="26374"/>
    <cellStyle name="Normal 2 4 8 3 7" xfId="26375"/>
    <cellStyle name="Normal 2 4 8 3 7 2" xfId="26376"/>
    <cellStyle name="Normal 2 4 8 3 8" xfId="26377"/>
    <cellStyle name="Normal 2 4 8 3 8 2" xfId="26378"/>
    <cellStyle name="Normal 2 4 8 3 9" xfId="26379"/>
    <cellStyle name="Normal 2 4 8 3 9 2" xfId="26380"/>
    <cellStyle name="Normal 2 4 8 4" xfId="26381"/>
    <cellStyle name="Normal 2 4 8 4 2" xfId="26382"/>
    <cellStyle name="Normal 2 4 8 5" xfId="26383"/>
    <cellStyle name="Normal 2 4 8 5 2" xfId="26384"/>
    <cellStyle name="Normal 2 4 8 6" xfId="26385"/>
    <cellStyle name="Normal 2 4 8 6 2" xfId="26386"/>
    <cellStyle name="Normal 2 4 8 7" xfId="26387"/>
    <cellStyle name="Normal 2 4 8 7 2" xfId="26388"/>
    <cellStyle name="Normal 2 4 8 8" xfId="26389"/>
    <cellStyle name="Normal 2 4 8 8 2" xfId="26390"/>
    <cellStyle name="Normal 2 4 8 9" xfId="26391"/>
    <cellStyle name="Normal 2 4 8 9 2" xfId="26392"/>
    <cellStyle name="Normal 2 4 9" xfId="26393"/>
    <cellStyle name="Normal 2 4 9 10" xfId="26394"/>
    <cellStyle name="Normal 2 4 9 10 2" xfId="26395"/>
    <cellStyle name="Normal 2 4 9 11" xfId="26396"/>
    <cellStyle name="Normal 2 4 9 11 2" xfId="26397"/>
    <cellStyle name="Normal 2 4 9 12" xfId="26398"/>
    <cellStyle name="Normal 2 4 9 12 2" xfId="26399"/>
    <cellStyle name="Normal 2 4 9 13" xfId="26400"/>
    <cellStyle name="Normal 2 4 9 2" xfId="26401"/>
    <cellStyle name="Normal 2 4 9 2 10" xfId="26402"/>
    <cellStyle name="Normal 2 4 9 2 10 2" xfId="26403"/>
    <cellStyle name="Normal 2 4 9 2 11" xfId="26404"/>
    <cellStyle name="Normal 2 4 9 2 11 2" xfId="26405"/>
    <cellStyle name="Normal 2 4 9 2 12" xfId="26406"/>
    <cellStyle name="Normal 2 4 9 2 2" xfId="26407"/>
    <cellStyle name="Normal 2 4 9 2 2 10" xfId="26408"/>
    <cellStyle name="Normal 2 4 9 2 2 10 2" xfId="26409"/>
    <cellStyle name="Normal 2 4 9 2 2 11" xfId="26410"/>
    <cellStyle name="Normal 2 4 9 2 2 2" xfId="26411"/>
    <cellStyle name="Normal 2 4 9 2 2 2 2" xfId="26412"/>
    <cellStyle name="Normal 2 4 9 2 2 3" xfId="26413"/>
    <cellStyle name="Normal 2 4 9 2 2 3 2" xfId="26414"/>
    <cellStyle name="Normal 2 4 9 2 2 4" xfId="26415"/>
    <cellStyle name="Normal 2 4 9 2 2 4 2" xfId="26416"/>
    <cellStyle name="Normal 2 4 9 2 2 5" xfId="26417"/>
    <cellStyle name="Normal 2 4 9 2 2 5 2" xfId="26418"/>
    <cellStyle name="Normal 2 4 9 2 2 6" xfId="26419"/>
    <cellStyle name="Normal 2 4 9 2 2 6 2" xfId="26420"/>
    <cellStyle name="Normal 2 4 9 2 2 7" xfId="26421"/>
    <cellStyle name="Normal 2 4 9 2 2 7 2" xfId="26422"/>
    <cellStyle name="Normal 2 4 9 2 2 8" xfId="26423"/>
    <cellStyle name="Normal 2 4 9 2 2 8 2" xfId="26424"/>
    <cellStyle name="Normal 2 4 9 2 2 9" xfId="26425"/>
    <cellStyle name="Normal 2 4 9 2 2 9 2" xfId="26426"/>
    <cellStyle name="Normal 2 4 9 2 3" xfId="26427"/>
    <cellStyle name="Normal 2 4 9 2 3 2" xfId="26428"/>
    <cellStyle name="Normal 2 4 9 2 4" xfId="26429"/>
    <cellStyle name="Normal 2 4 9 2 4 2" xfId="26430"/>
    <cellStyle name="Normal 2 4 9 2 5" xfId="26431"/>
    <cellStyle name="Normal 2 4 9 2 5 2" xfId="26432"/>
    <cellStyle name="Normal 2 4 9 2 6" xfId="26433"/>
    <cellStyle name="Normal 2 4 9 2 6 2" xfId="26434"/>
    <cellStyle name="Normal 2 4 9 2 7" xfId="26435"/>
    <cellStyle name="Normal 2 4 9 2 7 2" xfId="26436"/>
    <cellStyle name="Normal 2 4 9 2 8" xfId="26437"/>
    <cellStyle name="Normal 2 4 9 2 8 2" xfId="26438"/>
    <cellStyle name="Normal 2 4 9 2 9" xfId="26439"/>
    <cellStyle name="Normal 2 4 9 2 9 2" xfId="26440"/>
    <cellStyle name="Normal 2 4 9 3" xfId="26441"/>
    <cellStyle name="Normal 2 4 9 3 10" xfId="26442"/>
    <cellStyle name="Normal 2 4 9 3 10 2" xfId="26443"/>
    <cellStyle name="Normal 2 4 9 3 11" xfId="26444"/>
    <cellStyle name="Normal 2 4 9 3 2" xfId="26445"/>
    <cellStyle name="Normal 2 4 9 3 2 2" xfId="26446"/>
    <cellStyle name="Normal 2 4 9 3 3" xfId="26447"/>
    <cellStyle name="Normal 2 4 9 3 3 2" xfId="26448"/>
    <cellStyle name="Normal 2 4 9 3 4" xfId="26449"/>
    <cellStyle name="Normal 2 4 9 3 4 2" xfId="26450"/>
    <cellStyle name="Normal 2 4 9 3 5" xfId="26451"/>
    <cellStyle name="Normal 2 4 9 3 5 2" xfId="26452"/>
    <cellStyle name="Normal 2 4 9 3 6" xfId="26453"/>
    <cellStyle name="Normal 2 4 9 3 6 2" xfId="26454"/>
    <cellStyle name="Normal 2 4 9 3 7" xfId="26455"/>
    <cellStyle name="Normal 2 4 9 3 7 2" xfId="26456"/>
    <cellStyle name="Normal 2 4 9 3 8" xfId="26457"/>
    <cellStyle name="Normal 2 4 9 3 8 2" xfId="26458"/>
    <cellStyle name="Normal 2 4 9 3 9" xfId="26459"/>
    <cellStyle name="Normal 2 4 9 3 9 2" xfId="26460"/>
    <cellStyle name="Normal 2 4 9 4" xfId="26461"/>
    <cellStyle name="Normal 2 4 9 4 2" xfId="26462"/>
    <cellStyle name="Normal 2 4 9 5" xfId="26463"/>
    <cellStyle name="Normal 2 4 9 5 2" xfId="26464"/>
    <cellStyle name="Normal 2 4 9 6" xfId="26465"/>
    <cellStyle name="Normal 2 4 9 6 2" xfId="26466"/>
    <cellStyle name="Normal 2 4 9 7" xfId="26467"/>
    <cellStyle name="Normal 2 4 9 7 2" xfId="26468"/>
    <cellStyle name="Normal 2 4 9 8" xfId="26469"/>
    <cellStyle name="Normal 2 4 9 8 2" xfId="26470"/>
    <cellStyle name="Normal 2 4 9 9" xfId="26471"/>
    <cellStyle name="Normal 2 4 9 9 2" xfId="26472"/>
    <cellStyle name="Normal 2 5" xfId="26473"/>
    <cellStyle name="Normal 2 5 2" xfId="26474"/>
    <cellStyle name="Normal 2 5 2 10" xfId="26475"/>
    <cellStyle name="Normal 2 5 2 10 2" xfId="26476"/>
    <cellStyle name="Normal 2 5 2 11" xfId="26477"/>
    <cellStyle name="Normal 2 5 2 11 2" xfId="26478"/>
    <cellStyle name="Normal 2 5 2 12" xfId="26479"/>
    <cellStyle name="Normal 2 5 2 12 2" xfId="26480"/>
    <cellStyle name="Normal 2 5 2 13" xfId="26481"/>
    <cellStyle name="Normal 2 5 2 2" xfId="26482"/>
    <cellStyle name="Normal 2 5 2 2 10" xfId="26483"/>
    <cellStyle name="Normal 2 5 2 2 10 2" xfId="26484"/>
    <cellStyle name="Normal 2 5 2 2 11" xfId="26485"/>
    <cellStyle name="Normal 2 5 2 2 11 2" xfId="26486"/>
    <cellStyle name="Normal 2 5 2 2 12" xfId="26487"/>
    <cellStyle name="Normal 2 5 2 2 2" xfId="26488"/>
    <cellStyle name="Normal 2 5 2 2 2 10" xfId="26489"/>
    <cellStyle name="Normal 2 5 2 2 2 10 2" xfId="26490"/>
    <cellStyle name="Normal 2 5 2 2 2 11" xfId="26491"/>
    <cellStyle name="Normal 2 5 2 2 2 2" xfId="26492"/>
    <cellStyle name="Normal 2 5 2 2 2 2 2" xfId="26493"/>
    <cellStyle name="Normal 2 5 2 2 2 3" xfId="26494"/>
    <cellStyle name="Normal 2 5 2 2 2 3 2" xfId="26495"/>
    <cellStyle name="Normal 2 5 2 2 2 4" xfId="26496"/>
    <cellStyle name="Normal 2 5 2 2 2 4 2" xfId="26497"/>
    <cellStyle name="Normal 2 5 2 2 2 5" xfId="26498"/>
    <cellStyle name="Normal 2 5 2 2 2 5 2" xfId="26499"/>
    <cellStyle name="Normal 2 5 2 2 2 6" xfId="26500"/>
    <cellStyle name="Normal 2 5 2 2 2 6 2" xfId="26501"/>
    <cellStyle name="Normal 2 5 2 2 2 7" xfId="26502"/>
    <cellStyle name="Normal 2 5 2 2 2 7 2" xfId="26503"/>
    <cellStyle name="Normal 2 5 2 2 2 8" xfId="26504"/>
    <cellStyle name="Normal 2 5 2 2 2 8 2" xfId="26505"/>
    <cellStyle name="Normal 2 5 2 2 2 9" xfId="26506"/>
    <cellStyle name="Normal 2 5 2 2 2 9 2" xfId="26507"/>
    <cellStyle name="Normal 2 5 2 2 3" xfId="26508"/>
    <cellStyle name="Normal 2 5 2 2 3 2" xfId="26509"/>
    <cellStyle name="Normal 2 5 2 2 4" xfId="26510"/>
    <cellStyle name="Normal 2 5 2 2 4 2" xfId="26511"/>
    <cellStyle name="Normal 2 5 2 2 5" xfId="26512"/>
    <cellStyle name="Normal 2 5 2 2 5 2" xfId="26513"/>
    <cellStyle name="Normal 2 5 2 2 6" xfId="26514"/>
    <cellStyle name="Normal 2 5 2 2 6 2" xfId="26515"/>
    <cellStyle name="Normal 2 5 2 2 7" xfId="26516"/>
    <cellStyle name="Normal 2 5 2 2 7 2" xfId="26517"/>
    <cellStyle name="Normal 2 5 2 2 8" xfId="26518"/>
    <cellStyle name="Normal 2 5 2 2 8 2" xfId="26519"/>
    <cellStyle name="Normal 2 5 2 2 9" xfId="26520"/>
    <cellStyle name="Normal 2 5 2 2 9 2" xfId="26521"/>
    <cellStyle name="Normal 2 5 2 3" xfId="26522"/>
    <cellStyle name="Normal 2 5 2 3 10" xfId="26523"/>
    <cellStyle name="Normal 2 5 2 3 10 2" xfId="26524"/>
    <cellStyle name="Normal 2 5 2 3 11" xfId="26525"/>
    <cellStyle name="Normal 2 5 2 3 2" xfId="26526"/>
    <cellStyle name="Normal 2 5 2 3 2 2" xfId="26527"/>
    <cellStyle name="Normal 2 5 2 3 3" xfId="26528"/>
    <cellStyle name="Normal 2 5 2 3 3 2" xfId="26529"/>
    <cellStyle name="Normal 2 5 2 3 4" xfId="26530"/>
    <cellStyle name="Normal 2 5 2 3 4 2" xfId="26531"/>
    <cellStyle name="Normal 2 5 2 3 5" xfId="26532"/>
    <cellStyle name="Normal 2 5 2 3 5 2" xfId="26533"/>
    <cellStyle name="Normal 2 5 2 3 6" xfId="26534"/>
    <cellStyle name="Normal 2 5 2 3 6 2" xfId="26535"/>
    <cellStyle name="Normal 2 5 2 3 7" xfId="26536"/>
    <cellStyle name="Normal 2 5 2 3 7 2" xfId="26537"/>
    <cellStyle name="Normal 2 5 2 3 8" xfId="26538"/>
    <cellStyle name="Normal 2 5 2 3 8 2" xfId="26539"/>
    <cellStyle name="Normal 2 5 2 3 9" xfId="26540"/>
    <cellStyle name="Normal 2 5 2 3 9 2" xfId="26541"/>
    <cellStyle name="Normal 2 5 2 4" xfId="26542"/>
    <cellStyle name="Normal 2 5 2 4 2" xfId="26543"/>
    <cellStyle name="Normal 2 5 2 5" xfId="26544"/>
    <cellStyle name="Normal 2 5 2 5 2" xfId="26545"/>
    <cellStyle name="Normal 2 5 2 6" xfId="26546"/>
    <cellStyle name="Normal 2 5 2 6 2" xfId="26547"/>
    <cellStyle name="Normal 2 5 2 7" xfId="26548"/>
    <cellStyle name="Normal 2 5 2 7 2" xfId="26549"/>
    <cellStyle name="Normal 2 5 2 8" xfId="26550"/>
    <cellStyle name="Normal 2 5 2 8 2" xfId="26551"/>
    <cellStyle name="Normal 2 5 2 9" xfId="26552"/>
    <cellStyle name="Normal 2 5 2 9 2" xfId="26553"/>
    <cellStyle name="Normal 2 5 3" xfId="26554"/>
    <cellStyle name="Normal 2 6" xfId="26555"/>
    <cellStyle name="Normal 2 6 2" xfId="26556"/>
    <cellStyle name="Normal 2 6 2 10" xfId="26557"/>
    <cellStyle name="Normal 2 6 2 10 2" xfId="26558"/>
    <cellStyle name="Normal 2 6 2 11" xfId="26559"/>
    <cellStyle name="Normal 2 6 2 11 2" xfId="26560"/>
    <cellStyle name="Normal 2 6 2 12" xfId="26561"/>
    <cellStyle name="Normal 2 6 2 12 2" xfId="26562"/>
    <cellStyle name="Normal 2 6 2 13" xfId="26563"/>
    <cellStyle name="Normal 2 6 2 2" xfId="26564"/>
    <cellStyle name="Normal 2 6 2 2 10" xfId="26565"/>
    <cellStyle name="Normal 2 6 2 2 10 2" xfId="26566"/>
    <cellStyle name="Normal 2 6 2 2 11" xfId="26567"/>
    <cellStyle name="Normal 2 6 2 2 11 2" xfId="26568"/>
    <cellStyle name="Normal 2 6 2 2 12" xfId="26569"/>
    <cellStyle name="Normal 2 6 2 2 2" xfId="26570"/>
    <cellStyle name="Normal 2 6 2 2 2 10" xfId="26571"/>
    <cellStyle name="Normal 2 6 2 2 2 10 2" xfId="26572"/>
    <cellStyle name="Normal 2 6 2 2 2 11" xfId="26573"/>
    <cellStyle name="Normal 2 6 2 2 2 2" xfId="26574"/>
    <cellStyle name="Normal 2 6 2 2 2 2 2" xfId="26575"/>
    <cellStyle name="Normal 2 6 2 2 2 3" xfId="26576"/>
    <cellStyle name="Normal 2 6 2 2 2 3 2" xfId="26577"/>
    <cellStyle name="Normal 2 6 2 2 2 4" xfId="26578"/>
    <cellStyle name="Normal 2 6 2 2 2 4 2" xfId="26579"/>
    <cellStyle name="Normal 2 6 2 2 2 5" xfId="26580"/>
    <cellStyle name="Normal 2 6 2 2 2 5 2" xfId="26581"/>
    <cellStyle name="Normal 2 6 2 2 2 6" xfId="26582"/>
    <cellStyle name="Normal 2 6 2 2 2 6 2" xfId="26583"/>
    <cellStyle name="Normal 2 6 2 2 2 7" xfId="26584"/>
    <cellStyle name="Normal 2 6 2 2 2 7 2" xfId="26585"/>
    <cellStyle name="Normal 2 6 2 2 2 8" xfId="26586"/>
    <cellStyle name="Normal 2 6 2 2 2 8 2" xfId="26587"/>
    <cellStyle name="Normal 2 6 2 2 2 9" xfId="26588"/>
    <cellStyle name="Normal 2 6 2 2 2 9 2" xfId="26589"/>
    <cellStyle name="Normal 2 6 2 2 3" xfId="26590"/>
    <cellStyle name="Normal 2 6 2 2 3 2" xfId="26591"/>
    <cellStyle name="Normal 2 6 2 2 4" xfId="26592"/>
    <cellStyle name="Normal 2 6 2 2 4 2" xfId="26593"/>
    <cellStyle name="Normal 2 6 2 2 5" xfId="26594"/>
    <cellStyle name="Normal 2 6 2 2 5 2" xfId="26595"/>
    <cellStyle name="Normal 2 6 2 2 6" xfId="26596"/>
    <cellStyle name="Normal 2 6 2 2 6 2" xfId="26597"/>
    <cellStyle name="Normal 2 6 2 2 7" xfId="26598"/>
    <cellStyle name="Normal 2 6 2 2 7 2" xfId="26599"/>
    <cellStyle name="Normal 2 6 2 2 8" xfId="26600"/>
    <cellStyle name="Normal 2 6 2 2 8 2" xfId="26601"/>
    <cellStyle name="Normal 2 6 2 2 9" xfId="26602"/>
    <cellStyle name="Normal 2 6 2 2 9 2" xfId="26603"/>
    <cellStyle name="Normal 2 6 2 3" xfId="26604"/>
    <cellStyle name="Normal 2 6 2 3 10" xfId="26605"/>
    <cellStyle name="Normal 2 6 2 3 10 2" xfId="26606"/>
    <cellStyle name="Normal 2 6 2 3 11" xfId="26607"/>
    <cellStyle name="Normal 2 6 2 3 2" xfId="26608"/>
    <cellStyle name="Normal 2 6 2 3 2 2" xfId="26609"/>
    <cellStyle name="Normal 2 6 2 3 3" xfId="26610"/>
    <cellStyle name="Normal 2 6 2 3 3 2" xfId="26611"/>
    <cellStyle name="Normal 2 6 2 3 4" xfId="26612"/>
    <cellStyle name="Normal 2 6 2 3 4 2" xfId="26613"/>
    <cellStyle name="Normal 2 6 2 3 5" xfId="26614"/>
    <cellStyle name="Normal 2 6 2 3 5 2" xfId="26615"/>
    <cellStyle name="Normal 2 6 2 3 6" xfId="26616"/>
    <cellStyle name="Normal 2 6 2 3 6 2" xfId="26617"/>
    <cellStyle name="Normal 2 6 2 3 7" xfId="26618"/>
    <cellStyle name="Normal 2 6 2 3 7 2" xfId="26619"/>
    <cellStyle name="Normal 2 6 2 3 8" xfId="26620"/>
    <cellStyle name="Normal 2 6 2 3 8 2" xfId="26621"/>
    <cellStyle name="Normal 2 6 2 3 9" xfId="26622"/>
    <cellStyle name="Normal 2 6 2 3 9 2" xfId="26623"/>
    <cellStyle name="Normal 2 6 2 4" xfId="26624"/>
    <cellStyle name="Normal 2 6 2 4 2" xfId="26625"/>
    <cellStyle name="Normal 2 6 2 5" xfId="26626"/>
    <cellStyle name="Normal 2 6 2 5 2" xfId="26627"/>
    <cellStyle name="Normal 2 6 2 6" xfId="26628"/>
    <cellStyle name="Normal 2 6 2 6 2" xfId="26629"/>
    <cellStyle name="Normal 2 6 2 7" xfId="26630"/>
    <cellStyle name="Normal 2 6 2 7 2" xfId="26631"/>
    <cellStyle name="Normal 2 6 2 8" xfId="26632"/>
    <cellStyle name="Normal 2 6 2 8 2" xfId="26633"/>
    <cellStyle name="Normal 2 6 2 9" xfId="26634"/>
    <cellStyle name="Normal 2 6 2 9 2" xfId="26635"/>
    <cellStyle name="Normal 2 6 3" xfId="26636"/>
    <cellStyle name="Normal 2 7" xfId="26637"/>
    <cellStyle name="Normal 2 7 10" xfId="26638"/>
    <cellStyle name="Normal 2 7 10 2" xfId="26639"/>
    <cellStyle name="Normal 2 7 11" xfId="26640"/>
    <cellStyle name="Normal 2 7 11 2" xfId="26641"/>
    <cellStyle name="Normal 2 7 12" xfId="26642"/>
    <cellStyle name="Normal 2 7 12 2" xfId="26643"/>
    <cellStyle name="Normal 2 7 13" xfId="26644"/>
    <cellStyle name="Normal 2 7 2" xfId="26645"/>
    <cellStyle name="Normal 2 7 2 10" xfId="26646"/>
    <cellStyle name="Normal 2 7 2 10 2" xfId="26647"/>
    <cellStyle name="Normal 2 7 2 11" xfId="26648"/>
    <cellStyle name="Normal 2 7 2 11 2" xfId="26649"/>
    <cellStyle name="Normal 2 7 2 12" xfId="26650"/>
    <cellStyle name="Normal 2 7 2 2" xfId="26651"/>
    <cellStyle name="Normal 2 7 2 2 10" xfId="26652"/>
    <cellStyle name="Normal 2 7 2 2 10 2" xfId="26653"/>
    <cellStyle name="Normal 2 7 2 2 11" xfId="26654"/>
    <cellStyle name="Normal 2 7 2 2 2" xfId="26655"/>
    <cellStyle name="Normal 2 7 2 2 2 2" xfId="26656"/>
    <cellStyle name="Normal 2 7 2 2 3" xfId="26657"/>
    <cellStyle name="Normal 2 7 2 2 3 2" xfId="26658"/>
    <cellStyle name="Normal 2 7 2 2 4" xfId="26659"/>
    <cellStyle name="Normal 2 7 2 2 4 2" xfId="26660"/>
    <cellStyle name="Normal 2 7 2 2 5" xfId="26661"/>
    <cellStyle name="Normal 2 7 2 2 5 2" xfId="26662"/>
    <cellStyle name="Normal 2 7 2 2 6" xfId="26663"/>
    <cellStyle name="Normal 2 7 2 2 6 2" xfId="26664"/>
    <cellStyle name="Normal 2 7 2 2 7" xfId="26665"/>
    <cellStyle name="Normal 2 7 2 2 7 2" xfId="26666"/>
    <cellStyle name="Normal 2 7 2 2 8" xfId="26667"/>
    <cellStyle name="Normal 2 7 2 2 8 2" xfId="26668"/>
    <cellStyle name="Normal 2 7 2 2 9" xfId="26669"/>
    <cellStyle name="Normal 2 7 2 2 9 2" xfId="26670"/>
    <cellStyle name="Normal 2 7 2 3" xfId="26671"/>
    <cellStyle name="Normal 2 7 2 3 2" xfId="26672"/>
    <cellStyle name="Normal 2 7 2 4" xfId="26673"/>
    <cellStyle name="Normal 2 7 2 4 2" xfId="26674"/>
    <cellStyle name="Normal 2 7 2 5" xfId="26675"/>
    <cellStyle name="Normal 2 7 2 5 2" xfId="26676"/>
    <cellStyle name="Normal 2 7 2 6" xfId="26677"/>
    <cellStyle name="Normal 2 7 2 6 2" xfId="26678"/>
    <cellStyle name="Normal 2 7 2 7" xfId="26679"/>
    <cellStyle name="Normal 2 7 2 7 2" xfId="26680"/>
    <cellStyle name="Normal 2 7 2 8" xfId="26681"/>
    <cellStyle name="Normal 2 7 2 8 2" xfId="26682"/>
    <cellStyle name="Normal 2 7 2 9" xfId="26683"/>
    <cellStyle name="Normal 2 7 2 9 2" xfId="26684"/>
    <cellStyle name="Normal 2 7 3" xfId="26685"/>
    <cellStyle name="Normal 2 7 3 10" xfId="26686"/>
    <cellStyle name="Normal 2 7 3 10 2" xfId="26687"/>
    <cellStyle name="Normal 2 7 3 11" xfId="26688"/>
    <cellStyle name="Normal 2 7 3 2" xfId="26689"/>
    <cellStyle name="Normal 2 7 3 2 2" xfId="26690"/>
    <cellStyle name="Normal 2 7 3 3" xfId="26691"/>
    <cellStyle name="Normal 2 7 3 3 2" xfId="26692"/>
    <cellStyle name="Normal 2 7 3 4" xfId="26693"/>
    <cellStyle name="Normal 2 7 3 4 2" xfId="26694"/>
    <cellStyle name="Normal 2 7 3 5" xfId="26695"/>
    <cellStyle name="Normal 2 7 3 5 2" xfId="26696"/>
    <cellStyle name="Normal 2 7 3 6" xfId="26697"/>
    <cellStyle name="Normal 2 7 3 6 2" xfId="26698"/>
    <cellStyle name="Normal 2 7 3 7" xfId="26699"/>
    <cellStyle name="Normal 2 7 3 7 2" xfId="26700"/>
    <cellStyle name="Normal 2 7 3 8" xfId="26701"/>
    <cellStyle name="Normal 2 7 3 8 2" xfId="26702"/>
    <cellStyle name="Normal 2 7 3 9" xfId="26703"/>
    <cellStyle name="Normal 2 7 3 9 2" xfId="26704"/>
    <cellStyle name="Normal 2 7 4" xfId="26705"/>
    <cellStyle name="Normal 2 7 4 2" xfId="26706"/>
    <cellStyle name="Normal 2 7 5" xfId="26707"/>
    <cellStyle name="Normal 2 7 5 2" xfId="26708"/>
    <cellStyle name="Normal 2 7 6" xfId="26709"/>
    <cellStyle name="Normal 2 7 6 2" xfId="26710"/>
    <cellStyle name="Normal 2 7 7" xfId="26711"/>
    <cellStyle name="Normal 2 7 7 2" xfId="26712"/>
    <cellStyle name="Normal 2 7 8" xfId="26713"/>
    <cellStyle name="Normal 2 7 8 2" xfId="26714"/>
    <cellStyle name="Normal 2 7 9" xfId="26715"/>
    <cellStyle name="Normal 2 7 9 2" xfId="26716"/>
    <cellStyle name="Normal 2 8" xfId="26717"/>
    <cellStyle name="Normal 2 8 10" xfId="26718"/>
    <cellStyle name="Normal 2 8 10 2" xfId="26719"/>
    <cellStyle name="Normal 2 8 11" xfId="26720"/>
    <cellStyle name="Normal 2 8 11 2" xfId="26721"/>
    <cellStyle name="Normal 2 8 12" xfId="26722"/>
    <cellStyle name="Normal 2 8 12 2" xfId="26723"/>
    <cellStyle name="Normal 2 8 13" xfId="26724"/>
    <cellStyle name="Normal 2 8 2" xfId="26725"/>
    <cellStyle name="Normal 2 8 2 10" xfId="26726"/>
    <cellStyle name="Normal 2 8 2 10 2" xfId="26727"/>
    <cellStyle name="Normal 2 8 2 11" xfId="26728"/>
    <cellStyle name="Normal 2 8 2 11 2" xfId="26729"/>
    <cellStyle name="Normal 2 8 2 12" xfId="26730"/>
    <cellStyle name="Normal 2 8 2 2" xfId="26731"/>
    <cellStyle name="Normal 2 8 2 2 10" xfId="26732"/>
    <cellStyle name="Normal 2 8 2 2 10 2" xfId="26733"/>
    <cellStyle name="Normal 2 8 2 2 11" xfId="26734"/>
    <cellStyle name="Normal 2 8 2 2 2" xfId="26735"/>
    <cellStyle name="Normal 2 8 2 2 2 2" xfId="26736"/>
    <cellStyle name="Normal 2 8 2 2 3" xfId="26737"/>
    <cellStyle name="Normal 2 8 2 2 3 2" xfId="26738"/>
    <cellStyle name="Normal 2 8 2 2 4" xfId="26739"/>
    <cellStyle name="Normal 2 8 2 2 4 2" xfId="26740"/>
    <cellStyle name="Normal 2 8 2 2 5" xfId="26741"/>
    <cellStyle name="Normal 2 8 2 2 5 2" xfId="26742"/>
    <cellStyle name="Normal 2 8 2 2 6" xfId="26743"/>
    <cellStyle name="Normal 2 8 2 2 6 2" xfId="26744"/>
    <cellStyle name="Normal 2 8 2 2 7" xfId="26745"/>
    <cellStyle name="Normal 2 8 2 2 7 2" xfId="26746"/>
    <cellStyle name="Normal 2 8 2 2 8" xfId="26747"/>
    <cellStyle name="Normal 2 8 2 2 8 2" xfId="26748"/>
    <cellStyle name="Normal 2 8 2 2 9" xfId="26749"/>
    <cellStyle name="Normal 2 8 2 2 9 2" xfId="26750"/>
    <cellStyle name="Normal 2 8 2 3" xfId="26751"/>
    <cellStyle name="Normal 2 8 2 3 2" xfId="26752"/>
    <cellStyle name="Normal 2 8 2 4" xfId="26753"/>
    <cellStyle name="Normal 2 8 2 4 2" xfId="26754"/>
    <cellStyle name="Normal 2 8 2 5" xfId="26755"/>
    <cellStyle name="Normal 2 8 2 5 2" xfId="26756"/>
    <cellStyle name="Normal 2 8 2 6" xfId="26757"/>
    <cellStyle name="Normal 2 8 2 6 2" xfId="26758"/>
    <cellStyle name="Normal 2 8 2 7" xfId="26759"/>
    <cellStyle name="Normal 2 8 2 7 2" xfId="26760"/>
    <cellStyle name="Normal 2 8 2 8" xfId="26761"/>
    <cellStyle name="Normal 2 8 2 8 2" xfId="26762"/>
    <cellStyle name="Normal 2 8 2 9" xfId="26763"/>
    <cellStyle name="Normal 2 8 2 9 2" xfId="26764"/>
    <cellStyle name="Normal 2 8 3" xfId="26765"/>
    <cellStyle name="Normal 2 8 3 10" xfId="26766"/>
    <cellStyle name="Normal 2 8 3 10 2" xfId="26767"/>
    <cellStyle name="Normal 2 8 3 11" xfId="26768"/>
    <cellStyle name="Normal 2 8 3 2" xfId="26769"/>
    <cellStyle name="Normal 2 8 3 2 2" xfId="26770"/>
    <cellStyle name="Normal 2 8 3 3" xfId="26771"/>
    <cellStyle name="Normal 2 8 3 3 2" xfId="26772"/>
    <cellStyle name="Normal 2 8 3 4" xfId="26773"/>
    <cellStyle name="Normal 2 8 3 4 2" xfId="26774"/>
    <cellStyle name="Normal 2 8 3 5" xfId="26775"/>
    <cellStyle name="Normal 2 8 3 5 2" xfId="26776"/>
    <cellStyle name="Normal 2 8 3 6" xfId="26777"/>
    <cellStyle name="Normal 2 8 3 6 2" xfId="26778"/>
    <cellStyle name="Normal 2 8 3 7" xfId="26779"/>
    <cellStyle name="Normal 2 8 3 7 2" xfId="26780"/>
    <cellStyle name="Normal 2 8 3 8" xfId="26781"/>
    <cellStyle name="Normal 2 8 3 8 2" xfId="26782"/>
    <cellStyle name="Normal 2 8 3 9" xfId="26783"/>
    <cellStyle name="Normal 2 8 3 9 2" xfId="26784"/>
    <cellStyle name="Normal 2 8 4" xfId="26785"/>
    <cellStyle name="Normal 2 8 4 2" xfId="26786"/>
    <cellStyle name="Normal 2 8 5" xfId="26787"/>
    <cellStyle name="Normal 2 8 5 2" xfId="26788"/>
    <cellStyle name="Normal 2 8 6" xfId="26789"/>
    <cellStyle name="Normal 2 8 6 2" xfId="26790"/>
    <cellStyle name="Normal 2 8 7" xfId="26791"/>
    <cellStyle name="Normal 2 8 7 2" xfId="26792"/>
    <cellStyle name="Normal 2 8 8" xfId="26793"/>
    <cellStyle name="Normal 2 8 8 2" xfId="26794"/>
    <cellStyle name="Normal 2 8 9" xfId="26795"/>
    <cellStyle name="Normal 2 8 9 2" xfId="26796"/>
    <cellStyle name="Normal 2 9" xfId="26797"/>
    <cellStyle name="Normal 2 9 10" xfId="26798"/>
    <cellStyle name="Normal 2 9 10 2" xfId="26799"/>
    <cellStyle name="Normal 2 9 11" xfId="26800"/>
    <cellStyle name="Normal 2 9 11 2" xfId="26801"/>
    <cellStyle name="Normal 2 9 12" xfId="26802"/>
    <cellStyle name="Normal 2 9 12 2" xfId="26803"/>
    <cellStyle name="Normal 2 9 13" xfId="26804"/>
    <cellStyle name="Normal 2 9 2" xfId="26805"/>
    <cellStyle name="Normal 2 9 2 10" xfId="26806"/>
    <cellStyle name="Normal 2 9 2 10 2" xfId="26807"/>
    <cellStyle name="Normal 2 9 2 11" xfId="26808"/>
    <cellStyle name="Normal 2 9 2 11 2" xfId="26809"/>
    <cellStyle name="Normal 2 9 2 12" xfId="26810"/>
    <cellStyle name="Normal 2 9 2 2" xfId="26811"/>
    <cellStyle name="Normal 2 9 2 2 10" xfId="26812"/>
    <cellStyle name="Normal 2 9 2 2 10 2" xfId="26813"/>
    <cellStyle name="Normal 2 9 2 2 11" xfId="26814"/>
    <cellStyle name="Normal 2 9 2 2 2" xfId="26815"/>
    <cellStyle name="Normal 2 9 2 2 2 2" xfId="26816"/>
    <cellStyle name="Normal 2 9 2 2 3" xfId="26817"/>
    <cellStyle name="Normal 2 9 2 2 3 2" xfId="26818"/>
    <cellStyle name="Normal 2 9 2 2 4" xfId="26819"/>
    <cellStyle name="Normal 2 9 2 2 4 2" xfId="26820"/>
    <cellStyle name="Normal 2 9 2 2 5" xfId="26821"/>
    <cellStyle name="Normal 2 9 2 2 5 2" xfId="26822"/>
    <cellStyle name="Normal 2 9 2 2 6" xfId="26823"/>
    <cellStyle name="Normal 2 9 2 2 6 2" xfId="26824"/>
    <cellStyle name="Normal 2 9 2 2 7" xfId="26825"/>
    <cellStyle name="Normal 2 9 2 2 7 2" xfId="26826"/>
    <cellStyle name="Normal 2 9 2 2 8" xfId="26827"/>
    <cellStyle name="Normal 2 9 2 2 8 2" xfId="26828"/>
    <cellStyle name="Normal 2 9 2 2 9" xfId="26829"/>
    <cellStyle name="Normal 2 9 2 2 9 2" xfId="26830"/>
    <cellStyle name="Normal 2 9 2 3" xfId="26831"/>
    <cellStyle name="Normal 2 9 2 3 2" xfId="26832"/>
    <cellStyle name="Normal 2 9 2 4" xfId="26833"/>
    <cellStyle name="Normal 2 9 2 4 2" xfId="26834"/>
    <cellStyle name="Normal 2 9 2 5" xfId="26835"/>
    <cellStyle name="Normal 2 9 2 5 2" xfId="26836"/>
    <cellStyle name="Normal 2 9 2 6" xfId="26837"/>
    <cellStyle name="Normal 2 9 2 6 2" xfId="26838"/>
    <cellStyle name="Normal 2 9 2 7" xfId="26839"/>
    <cellStyle name="Normal 2 9 2 7 2" xfId="26840"/>
    <cellStyle name="Normal 2 9 2 8" xfId="26841"/>
    <cellStyle name="Normal 2 9 2 8 2" xfId="26842"/>
    <cellStyle name="Normal 2 9 2 9" xfId="26843"/>
    <cellStyle name="Normal 2 9 2 9 2" xfId="26844"/>
    <cellStyle name="Normal 2 9 3" xfId="26845"/>
    <cellStyle name="Normal 2 9 3 10" xfId="26846"/>
    <cellStyle name="Normal 2 9 3 10 2" xfId="26847"/>
    <cellStyle name="Normal 2 9 3 11" xfId="26848"/>
    <cellStyle name="Normal 2 9 3 2" xfId="26849"/>
    <cellStyle name="Normal 2 9 3 2 2" xfId="26850"/>
    <cellStyle name="Normal 2 9 3 3" xfId="26851"/>
    <cellStyle name="Normal 2 9 3 3 2" xfId="26852"/>
    <cellStyle name="Normal 2 9 3 4" xfId="26853"/>
    <cellStyle name="Normal 2 9 3 4 2" xfId="26854"/>
    <cellStyle name="Normal 2 9 3 5" xfId="26855"/>
    <cellStyle name="Normal 2 9 3 5 2" xfId="26856"/>
    <cellStyle name="Normal 2 9 3 6" xfId="26857"/>
    <cellStyle name="Normal 2 9 3 6 2" xfId="26858"/>
    <cellStyle name="Normal 2 9 3 7" xfId="26859"/>
    <cellStyle name="Normal 2 9 3 7 2" xfId="26860"/>
    <cellStyle name="Normal 2 9 3 8" xfId="26861"/>
    <cellStyle name="Normal 2 9 3 8 2" xfId="26862"/>
    <cellStyle name="Normal 2 9 3 9" xfId="26863"/>
    <cellStyle name="Normal 2 9 3 9 2" xfId="26864"/>
    <cellStyle name="Normal 2 9 4" xfId="26865"/>
    <cellStyle name="Normal 2 9 4 2" xfId="26866"/>
    <cellStyle name="Normal 2 9 5" xfId="26867"/>
    <cellStyle name="Normal 2 9 5 2" xfId="26868"/>
    <cellStyle name="Normal 2 9 6" xfId="26869"/>
    <cellStyle name="Normal 2 9 6 2" xfId="26870"/>
    <cellStyle name="Normal 2 9 7" xfId="26871"/>
    <cellStyle name="Normal 2 9 7 2" xfId="26872"/>
    <cellStyle name="Normal 2 9 8" xfId="26873"/>
    <cellStyle name="Normal 2 9 8 2" xfId="26874"/>
    <cellStyle name="Normal 2 9 9" xfId="26875"/>
    <cellStyle name="Normal 2 9 9 2" xfId="26876"/>
    <cellStyle name="Normal 20" xfId="26877"/>
    <cellStyle name="Normal 20 10" xfId="26878"/>
    <cellStyle name="Normal 20 11" xfId="26879"/>
    <cellStyle name="Normal 20 12" xfId="26880"/>
    <cellStyle name="Normal 20 13" xfId="26881"/>
    <cellStyle name="Normal 20 14" xfId="26882"/>
    <cellStyle name="Normal 20 15" xfId="26883"/>
    <cellStyle name="Normal 20 16" xfId="26884"/>
    <cellStyle name="Normal 20 17" xfId="26885"/>
    <cellStyle name="Normal 20 18" xfId="26886"/>
    <cellStyle name="Normal 20 2" xfId="26887"/>
    <cellStyle name="Normal 20 2 10" xfId="26888"/>
    <cellStyle name="Normal 20 2 11" xfId="26889"/>
    <cellStyle name="Normal 20 2 12" xfId="26890"/>
    <cellStyle name="Normal 20 2 13" xfId="26891"/>
    <cellStyle name="Normal 20 2 14" xfId="26892"/>
    <cellStyle name="Normal 20 2 2" xfId="26893"/>
    <cellStyle name="Normal 20 2 3" xfId="26894"/>
    <cellStyle name="Normal 20 2 4" xfId="26895"/>
    <cellStyle name="Normal 20 2 5" xfId="26896"/>
    <cellStyle name="Normal 20 2 6" xfId="26897"/>
    <cellStyle name="Normal 20 2 7" xfId="26898"/>
    <cellStyle name="Normal 20 2 8" xfId="26899"/>
    <cellStyle name="Normal 20 2 9" xfId="26900"/>
    <cellStyle name="Normal 20 3" xfId="26901"/>
    <cellStyle name="Normal 20 4" xfId="26902"/>
    <cellStyle name="Normal 20 4 10" xfId="26903"/>
    <cellStyle name="Normal 20 4 10 2" xfId="26904"/>
    <cellStyle name="Normal 20 4 11" xfId="26905"/>
    <cellStyle name="Normal 20 4 11 2" xfId="26906"/>
    <cellStyle name="Normal 20 4 12" xfId="26907"/>
    <cellStyle name="Normal 20 4 12 2" xfId="26908"/>
    <cellStyle name="Normal 20 4 13" xfId="26909"/>
    <cellStyle name="Normal 20 4 2" xfId="26910"/>
    <cellStyle name="Normal 20 4 2 10" xfId="26911"/>
    <cellStyle name="Normal 20 4 2 10 2" xfId="26912"/>
    <cellStyle name="Normal 20 4 2 11" xfId="26913"/>
    <cellStyle name="Normal 20 4 2 11 2" xfId="26914"/>
    <cellStyle name="Normal 20 4 2 12" xfId="26915"/>
    <cellStyle name="Normal 20 4 2 2" xfId="26916"/>
    <cellStyle name="Normal 20 4 2 2 10" xfId="26917"/>
    <cellStyle name="Normal 20 4 2 2 10 2" xfId="26918"/>
    <cellStyle name="Normal 20 4 2 2 11" xfId="26919"/>
    <cellStyle name="Normal 20 4 2 2 2" xfId="26920"/>
    <cellStyle name="Normal 20 4 2 2 2 2" xfId="26921"/>
    <cellStyle name="Normal 20 4 2 2 3" xfId="26922"/>
    <cellStyle name="Normal 20 4 2 2 3 2" xfId="26923"/>
    <cellStyle name="Normal 20 4 2 2 4" xfId="26924"/>
    <cellStyle name="Normal 20 4 2 2 4 2" xfId="26925"/>
    <cellStyle name="Normal 20 4 2 2 5" xfId="26926"/>
    <cellStyle name="Normal 20 4 2 2 5 2" xfId="26927"/>
    <cellStyle name="Normal 20 4 2 2 6" xfId="26928"/>
    <cellStyle name="Normal 20 4 2 2 6 2" xfId="26929"/>
    <cellStyle name="Normal 20 4 2 2 7" xfId="26930"/>
    <cellStyle name="Normal 20 4 2 2 7 2" xfId="26931"/>
    <cellStyle name="Normal 20 4 2 2 8" xfId="26932"/>
    <cellStyle name="Normal 20 4 2 2 8 2" xfId="26933"/>
    <cellStyle name="Normal 20 4 2 2 9" xfId="26934"/>
    <cellStyle name="Normal 20 4 2 2 9 2" xfId="26935"/>
    <cellStyle name="Normal 20 4 2 3" xfId="26936"/>
    <cellStyle name="Normal 20 4 2 3 2" xfId="26937"/>
    <cellStyle name="Normal 20 4 2 4" xfId="26938"/>
    <cellStyle name="Normal 20 4 2 4 2" xfId="26939"/>
    <cellStyle name="Normal 20 4 2 5" xfId="26940"/>
    <cellStyle name="Normal 20 4 2 5 2" xfId="26941"/>
    <cellStyle name="Normal 20 4 2 6" xfId="26942"/>
    <cellStyle name="Normal 20 4 2 6 2" xfId="26943"/>
    <cellStyle name="Normal 20 4 2 7" xfId="26944"/>
    <cellStyle name="Normal 20 4 2 7 2" xfId="26945"/>
    <cellStyle name="Normal 20 4 2 8" xfId="26946"/>
    <cellStyle name="Normal 20 4 2 8 2" xfId="26947"/>
    <cellStyle name="Normal 20 4 2 9" xfId="26948"/>
    <cellStyle name="Normal 20 4 2 9 2" xfId="26949"/>
    <cellStyle name="Normal 20 4 3" xfId="26950"/>
    <cellStyle name="Normal 20 4 3 10" xfId="26951"/>
    <cellStyle name="Normal 20 4 3 10 2" xfId="26952"/>
    <cellStyle name="Normal 20 4 3 11" xfId="26953"/>
    <cellStyle name="Normal 20 4 3 2" xfId="26954"/>
    <cellStyle name="Normal 20 4 3 2 2" xfId="26955"/>
    <cellStyle name="Normal 20 4 3 3" xfId="26956"/>
    <cellStyle name="Normal 20 4 3 3 2" xfId="26957"/>
    <cellStyle name="Normal 20 4 3 4" xfId="26958"/>
    <cellStyle name="Normal 20 4 3 4 2" xfId="26959"/>
    <cellStyle name="Normal 20 4 3 5" xfId="26960"/>
    <cellStyle name="Normal 20 4 3 5 2" xfId="26961"/>
    <cellStyle name="Normal 20 4 3 6" xfId="26962"/>
    <cellStyle name="Normal 20 4 3 6 2" xfId="26963"/>
    <cellStyle name="Normal 20 4 3 7" xfId="26964"/>
    <cellStyle name="Normal 20 4 3 7 2" xfId="26965"/>
    <cellStyle name="Normal 20 4 3 8" xfId="26966"/>
    <cellStyle name="Normal 20 4 3 8 2" xfId="26967"/>
    <cellStyle name="Normal 20 4 3 9" xfId="26968"/>
    <cellStyle name="Normal 20 4 3 9 2" xfId="26969"/>
    <cellStyle name="Normal 20 4 4" xfId="26970"/>
    <cellStyle name="Normal 20 4 4 2" xfId="26971"/>
    <cellStyle name="Normal 20 4 5" xfId="26972"/>
    <cellStyle name="Normal 20 4 5 2" xfId="26973"/>
    <cellStyle name="Normal 20 4 6" xfId="26974"/>
    <cellStyle name="Normal 20 4 6 2" xfId="26975"/>
    <cellStyle name="Normal 20 4 7" xfId="26976"/>
    <cellStyle name="Normal 20 4 7 2" xfId="26977"/>
    <cellStyle name="Normal 20 4 8" xfId="26978"/>
    <cellStyle name="Normal 20 4 8 2" xfId="26979"/>
    <cellStyle name="Normal 20 4 9" xfId="26980"/>
    <cellStyle name="Normal 20 4 9 2" xfId="26981"/>
    <cellStyle name="Normal 20 5" xfId="26982"/>
    <cellStyle name="Normal 20 6" xfId="26983"/>
    <cellStyle name="Normal 20 7" xfId="26984"/>
    <cellStyle name="Normal 20 8" xfId="26985"/>
    <cellStyle name="Normal 20 9" xfId="26986"/>
    <cellStyle name="Normal 21" xfId="26987"/>
    <cellStyle name="Normal 21 10" xfId="26988"/>
    <cellStyle name="Normal 21 11" xfId="26989"/>
    <cellStyle name="Normal 21 12" xfId="26990"/>
    <cellStyle name="Normal 21 13" xfId="26991"/>
    <cellStyle name="Normal 21 14" xfId="26992"/>
    <cellStyle name="Normal 21 15" xfId="26993"/>
    <cellStyle name="Normal 21 2" xfId="26994"/>
    <cellStyle name="Normal 21 3" xfId="26995"/>
    <cellStyle name="Normal 21 4" xfId="26996"/>
    <cellStyle name="Normal 21 5" xfId="26997"/>
    <cellStyle name="Normal 21 6" xfId="26998"/>
    <cellStyle name="Normal 21 7" xfId="26999"/>
    <cellStyle name="Normal 21 8" xfId="27000"/>
    <cellStyle name="Normal 21 9" xfId="27001"/>
    <cellStyle name="Normal 22" xfId="27002"/>
    <cellStyle name="Normal 22 10" xfId="27003"/>
    <cellStyle name="Normal 22 10 2" xfId="27004"/>
    <cellStyle name="Normal 22 11" xfId="27005"/>
    <cellStyle name="Normal 22 11 2" xfId="27006"/>
    <cellStyle name="Normal 22 12" xfId="27007"/>
    <cellStyle name="Normal 22 12 2" xfId="27008"/>
    <cellStyle name="Normal 22 13" xfId="27009"/>
    <cellStyle name="Normal 22 14" xfId="27010"/>
    <cellStyle name="Normal 22 2" xfId="27011"/>
    <cellStyle name="Normal 22 2 10" xfId="27012"/>
    <cellStyle name="Normal 22 2 10 2" xfId="27013"/>
    <cellStyle name="Normal 22 2 11" xfId="27014"/>
    <cellStyle name="Normal 22 2 11 2" xfId="27015"/>
    <cellStyle name="Normal 22 2 12" xfId="27016"/>
    <cellStyle name="Normal 22 2 13" xfId="27017"/>
    <cellStyle name="Normal 22 2 2" xfId="27018"/>
    <cellStyle name="Normal 22 2 2 10" xfId="27019"/>
    <cellStyle name="Normal 22 2 2 10 2" xfId="27020"/>
    <cellStyle name="Normal 22 2 2 11" xfId="27021"/>
    <cellStyle name="Normal 22 2 2 2" xfId="27022"/>
    <cellStyle name="Normal 22 2 2 2 2" xfId="27023"/>
    <cellStyle name="Normal 22 2 2 3" xfId="27024"/>
    <cellStyle name="Normal 22 2 2 3 2" xfId="27025"/>
    <cellStyle name="Normal 22 2 2 4" xfId="27026"/>
    <cellStyle name="Normal 22 2 2 4 2" xfId="27027"/>
    <cellStyle name="Normal 22 2 2 5" xfId="27028"/>
    <cellStyle name="Normal 22 2 2 5 2" xfId="27029"/>
    <cellStyle name="Normal 22 2 2 6" xfId="27030"/>
    <cellStyle name="Normal 22 2 2 6 2" xfId="27031"/>
    <cellStyle name="Normal 22 2 2 7" xfId="27032"/>
    <cellStyle name="Normal 22 2 2 7 2" xfId="27033"/>
    <cellStyle name="Normal 22 2 2 8" xfId="27034"/>
    <cellStyle name="Normal 22 2 2 8 2" xfId="27035"/>
    <cellStyle name="Normal 22 2 2 9" xfId="27036"/>
    <cellStyle name="Normal 22 2 2 9 2" xfId="27037"/>
    <cellStyle name="Normal 22 2 3" xfId="27038"/>
    <cellStyle name="Normal 22 2 3 2" xfId="27039"/>
    <cellStyle name="Normal 22 2 4" xfId="27040"/>
    <cellStyle name="Normal 22 2 4 2" xfId="27041"/>
    <cellStyle name="Normal 22 2 5" xfId="27042"/>
    <cellStyle name="Normal 22 2 5 2" xfId="27043"/>
    <cellStyle name="Normal 22 2 6" xfId="27044"/>
    <cellStyle name="Normal 22 2 6 2" xfId="27045"/>
    <cellStyle name="Normal 22 2 7" xfId="27046"/>
    <cellStyle name="Normal 22 2 7 2" xfId="27047"/>
    <cellStyle name="Normal 22 2 8" xfId="27048"/>
    <cellStyle name="Normal 22 2 8 2" xfId="27049"/>
    <cellStyle name="Normal 22 2 9" xfId="27050"/>
    <cellStyle name="Normal 22 2 9 2" xfId="27051"/>
    <cellStyle name="Normal 22 3" xfId="27052"/>
    <cellStyle name="Normal 22 3 10" xfId="27053"/>
    <cellStyle name="Normal 22 3 10 2" xfId="27054"/>
    <cellStyle name="Normal 22 3 11" xfId="27055"/>
    <cellStyle name="Normal 22 3 2" xfId="27056"/>
    <cellStyle name="Normal 22 3 2 2" xfId="27057"/>
    <cellStyle name="Normal 22 3 3" xfId="27058"/>
    <cellStyle name="Normal 22 3 3 2" xfId="27059"/>
    <cellStyle name="Normal 22 3 4" xfId="27060"/>
    <cellStyle name="Normal 22 3 4 2" xfId="27061"/>
    <cellStyle name="Normal 22 3 5" xfId="27062"/>
    <cellStyle name="Normal 22 3 5 2" xfId="27063"/>
    <cellStyle name="Normal 22 3 6" xfId="27064"/>
    <cellStyle name="Normal 22 3 6 2" xfId="27065"/>
    <cellStyle name="Normal 22 3 7" xfId="27066"/>
    <cellStyle name="Normal 22 3 7 2" xfId="27067"/>
    <cellStyle name="Normal 22 3 8" xfId="27068"/>
    <cellStyle name="Normal 22 3 8 2" xfId="27069"/>
    <cellStyle name="Normal 22 3 9" xfId="27070"/>
    <cellStyle name="Normal 22 3 9 2" xfId="27071"/>
    <cellStyle name="Normal 22 4" xfId="27072"/>
    <cellStyle name="Normal 22 4 2" xfId="27073"/>
    <cellStyle name="Normal 22 5" xfId="27074"/>
    <cellStyle name="Normal 22 5 2" xfId="27075"/>
    <cellStyle name="Normal 22 6" xfId="27076"/>
    <cellStyle name="Normal 22 6 2" xfId="27077"/>
    <cellStyle name="Normal 22 7" xfId="27078"/>
    <cellStyle name="Normal 22 7 2" xfId="27079"/>
    <cellStyle name="Normal 22 8" xfId="27080"/>
    <cellStyle name="Normal 22 8 2" xfId="27081"/>
    <cellStyle name="Normal 22 9" xfId="27082"/>
    <cellStyle name="Normal 22 9 2" xfId="27083"/>
    <cellStyle name="Normal 23" xfId="27084"/>
    <cellStyle name="Normal 23 10" xfId="27085"/>
    <cellStyle name="Normal 23 10 2" xfId="27086"/>
    <cellStyle name="Normal 23 11" xfId="27087"/>
    <cellStyle name="Normal 23 11 2" xfId="27088"/>
    <cellStyle name="Normal 23 12" xfId="27089"/>
    <cellStyle name="Normal 23 12 2" xfId="27090"/>
    <cellStyle name="Normal 23 13" xfId="27091"/>
    <cellStyle name="Normal 23 14" xfId="27092"/>
    <cellStyle name="Normal 23 2" xfId="27093"/>
    <cellStyle name="Normal 23 2 10" xfId="27094"/>
    <cellStyle name="Normal 23 2 10 2" xfId="27095"/>
    <cellStyle name="Normal 23 2 11" xfId="27096"/>
    <cellStyle name="Normal 23 2 11 2" xfId="27097"/>
    <cellStyle name="Normal 23 2 12" xfId="27098"/>
    <cellStyle name="Normal 23 2 13" xfId="27099"/>
    <cellStyle name="Normal 23 2 2" xfId="27100"/>
    <cellStyle name="Normal 23 2 2 10" xfId="27101"/>
    <cellStyle name="Normal 23 2 2 10 2" xfId="27102"/>
    <cellStyle name="Normal 23 2 2 11" xfId="27103"/>
    <cellStyle name="Normal 23 2 2 2" xfId="27104"/>
    <cellStyle name="Normal 23 2 2 2 2" xfId="27105"/>
    <cellStyle name="Normal 23 2 2 3" xfId="27106"/>
    <cellStyle name="Normal 23 2 2 3 2" xfId="27107"/>
    <cellStyle name="Normal 23 2 2 4" xfId="27108"/>
    <cellStyle name="Normal 23 2 2 4 2" xfId="27109"/>
    <cellStyle name="Normal 23 2 2 5" xfId="27110"/>
    <cellStyle name="Normal 23 2 2 5 2" xfId="27111"/>
    <cellStyle name="Normal 23 2 2 6" xfId="27112"/>
    <cellStyle name="Normal 23 2 2 6 2" xfId="27113"/>
    <cellStyle name="Normal 23 2 2 7" xfId="27114"/>
    <cellStyle name="Normal 23 2 2 7 2" xfId="27115"/>
    <cellStyle name="Normal 23 2 2 8" xfId="27116"/>
    <cellStyle name="Normal 23 2 2 8 2" xfId="27117"/>
    <cellStyle name="Normal 23 2 2 9" xfId="27118"/>
    <cellStyle name="Normal 23 2 2 9 2" xfId="27119"/>
    <cellStyle name="Normal 23 2 3" xfId="27120"/>
    <cellStyle name="Normal 23 2 3 2" xfId="27121"/>
    <cellStyle name="Normal 23 2 4" xfId="27122"/>
    <cellStyle name="Normal 23 2 4 2" xfId="27123"/>
    <cellStyle name="Normal 23 2 5" xfId="27124"/>
    <cellStyle name="Normal 23 2 5 2" xfId="27125"/>
    <cellStyle name="Normal 23 2 6" xfId="27126"/>
    <cellStyle name="Normal 23 2 6 2" xfId="27127"/>
    <cellStyle name="Normal 23 2 7" xfId="27128"/>
    <cellStyle name="Normal 23 2 7 2" xfId="27129"/>
    <cellStyle name="Normal 23 2 8" xfId="27130"/>
    <cellStyle name="Normal 23 2 8 2" xfId="27131"/>
    <cellStyle name="Normal 23 2 9" xfId="27132"/>
    <cellStyle name="Normal 23 2 9 2" xfId="27133"/>
    <cellStyle name="Normal 23 3" xfId="27134"/>
    <cellStyle name="Normal 23 3 10" xfId="27135"/>
    <cellStyle name="Normal 23 3 10 2" xfId="27136"/>
    <cellStyle name="Normal 23 3 11" xfId="27137"/>
    <cellStyle name="Normal 23 3 2" xfId="27138"/>
    <cellStyle name="Normal 23 3 2 2" xfId="27139"/>
    <cellStyle name="Normal 23 3 3" xfId="27140"/>
    <cellStyle name="Normal 23 3 3 2" xfId="27141"/>
    <cellStyle name="Normal 23 3 4" xfId="27142"/>
    <cellStyle name="Normal 23 3 4 2" xfId="27143"/>
    <cellStyle name="Normal 23 3 5" xfId="27144"/>
    <cellStyle name="Normal 23 3 5 2" xfId="27145"/>
    <cellStyle name="Normal 23 3 6" xfId="27146"/>
    <cellStyle name="Normal 23 3 6 2" xfId="27147"/>
    <cellStyle name="Normal 23 3 7" xfId="27148"/>
    <cellStyle name="Normal 23 3 7 2" xfId="27149"/>
    <cellStyle name="Normal 23 3 8" xfId="27150"/>
    <cellStyle name="Normal 23 3 8 2" xfId="27151"/>
    <cellStyle name="Normal 23 3 9" xfId="27152"/>
    <cellStyle name="Normal 23 3 9 2" xfId="27153"/>
    <cellStyle name="Normal 23 4" xfId="27154"/>
    <cellStyle name="Normal 23 4 2" xfId="27155"/>
    <cellStyle name="Normal 23 5" xfId="27156"/>
    <cellStyle name="Normal 23 5 2" xfId="27157"/>
    <cellStyle name="Normal 23 6" xfId="27158"/>
    <cellStyle name="Normal 23 6 2" xfId="27159"/>
    <cellStyle name="Normal 23 7" xfId="27160"/>
    <cellStyle name="Normal 23 7 2" xfId="27161"/>
    <cellStyle name="Normal 23 8" xfId="27162"/>
    <cellStyle name="Normal 23 8 2" xfId="27163"/>
    <cellStyle name="Normal 23 9" xfId="27164"/>
    <cellStyle name="Normal 23 9 2" xfId="27165"/>
    <cellStyle name="Normal 24" xfId="27166"/>
    <cellStyle name="Normal 24 10" xfId="27167"/>
    <cellStyle name="Normal 24 11" xfId="27168"/>
    <cellStyle name="Normal 24 12" xfId="27169"/>
    <cellStyle name="Normal 24 13" xfId="27170"/>
    <cellStyle name="Normal 24 14" xfId="27171"/>
    <cellStyle name="Normal 24 2" xfId="27172"/>
    <cellStyle name="Normal 24 3" xfId="27173"/>
    <cellStyle name="Normal 24 4" xfId="27174"/>
    <cellStyle name="Normal 24 5" xfId="27175"/>
    <cellStyle name="Normal 24 6" xfId="27176"/>
    <cellStyle name="Normal 24 7" xfId="27177"/>
    <cellStyle name="Normal 24 8" xfId="27178"/>
    <cellStyle name="Normal 24 9" xfId="27179"/>
    <cellStyle name="Normal 25" xfId="27180"/>
    <cellStyle name="Normal 25 10" xfId="27181"/>
    <cellStyle name="Normal 25 10 2" xfId="27182"/>
    <cellStyle name="Normal 25 11" xfId="27183"/>
    <cellStyle name="Normal 25 11 2" xfId="27184"/>
    <cellStyle name="Normal 25 12" xfId="27185"/>
    <cellStyle name="Normal 25 12 2" xfId="27186"/>
    <cellStyle name="Normal 25 13" xfId="27187"/>
    <cellStyle name="Normal 25 14" xfId="27188"/>
    <cellStyle name="Normal 25 2" xfId="27189"/>
    <cellStyle name="Normal 25 2 10" xfId="27190"/>
    <cellStyle name="Normal 25 2 10 2" xfId="27191"/>
    <cellStyle name="Normal 25 2 11" xfId="27192"/>
    <cellStyle name="Normal 25 2 11 2" xfId="27193"/>
    <cellStyle name="Normal 25 2 12" xfId="27194"/>
    <cellStyle name="Normal 25 2 13" xfId="27195"/>
    <cellStyle name="Normal 25 2 2" xfId="27196"/>
    <cellStyle name="Normal 25 2 2 10" xfId="27197"/>
    <cellStyle name="Normal 25 2 2 10 2" xfId="27198"/>
    <cellStyle name="Normal 25 2 2 11" xfId="27199"/>
    <cellStyle name="Normal 25 2 2 2" xfId="27200"/>
    <cellStyle name="Normal 25 2 2 2 2" xfId="27201"/>
    <cellStyle name="Normal 25 2 2 3" xfId="27202"/>
    <cellStyle name="Normal 25 2 2 3 2" xfId="27203"/>
    <cellStyle name="Normal 25 2 2 4" xfId="27204"/>
    <cellStyle name="Normal 25 2 2 4 2" xfId="27205"/>
    <cellStyle name="Normal 25 2 2 5" xfId="27206"/>
    <cellStyle name="Normal 25 2 2 5 2" xfId="27207"/>
    <cellStyle name="Normal 25 2 2 6" xfId="27208"/>
    <cellStyle name="Normal 25 2 2 6 2" xfId="27209"/>
    <cellStyle name="Normal 25 2 2 7" xfId="27210"/>
    <cellStyle name="Normal 25 2 2 7 2" xfId="27211"/>
    <cellStyle name="Normal 25 2 2 8" xfId="27212"/>
    <cellStyle name="Normal 25 2 2 8 2" xfId="27213"/>
    <cellStyle name="Normal 25 2 2 9" xfId="27214"/>
    <cellStyle name="Normal 25 2 2 9 2" xfId="27215"/>
    <cellStyle name="Normal 25 2 3" xfId="27216"/>
    <cellStyle name="Normal 25 2 3 2" xfId="27217"/>
    <cellStyle name="Normal 25 2 4" xfId="27218"/>
    <cellStyle name="Normal 25 2 4 2" xfId="27219"/>
    <cellStyle name="Normal 25 2 5" xfId="27220"/>
    <cellStyle name="Normal 25 2 5 2" xfId="27221"/>
    <cellStyle name="Normal 25 2 6" xfId="27222"/>
    <cellStyle name="Normal 25 2 6 2" xfId="27223"/>
    <cellStyle name="Normal 25 2 7" xfId="27224"/>
    <cellStyle name="Normal 25 2 7 2" xfId="27225"/>
    <cellStyle name="Normal 25 2 8" xfId="27226"/>
    <cellStyle name="Normal 25 2 8 2" xfId="27227"/>
    <cellStyle name="Normal 25 2 9" xfId="27228"/>
    <cellStyle name="Normal 25 2 9 2" xfId="27229"/>
    <cellStyle name="Normal 25 3" xfId="27230"/>
    <cellStyle name="Normal 25 3 10" xfId="27231"/>
    <cellStyle name="Normal 25 3 10 2" xfId="27232"/>
    <cellStyle name="Normal 25 3 11" xfId="27233"/>
    <cellStyle name="Normal 25 3 2" xfId="27234"/>
    <cellStyle name="Normal 25 3 2 2" xfId="27235"/>
    <cellStyle name="Normal 25 3 3" xfId="27236"/>
    <cellStyle name="Normal 25 3 3 2" xfId="27237"/>
    <cellStyle name="Normal 25 3 4" xfId="27238"/>
    <cellStyle name="Normal 25 3 4 2" xfId="27239"/>
    <cellStyle name="Normal 25 3 5" xfId="27240"/>
    <cellStyle name="Normal 25 3 5 2" xfId="27241"/>
    <cellStyle name="Normal 25 3 6" xfId="27242"/>
    <cellStyle name="Normal 25 3 6 2" xfId="27243"/>
    <cellStyle name="Normal 25 3 7" xfId="27244"/>
    <cellStyle name="Normal 25 3 7 2" xfId="27245"/>
    <cellStyle name="Normal 25 3 8" xfId="27246"/>
    <cellStyle name="Normal 25 3 8 2" xfId="27247"/>
    <cellStyle name="Normal 25 3 9" xfId="27248"/>
    <cellStyle name="Normal 25 3 9 2" xfId="27249"/>
    <cellStyle name="Normal 25 4" xfId="27250"/>
    <cellStyle name="Normal 25 4 2" xfId="27251"/>
    <cellStyle name="Normal 25 5" xfId="27252"/>
    <cellStyle name="Normal 25 5 2" xfId="27253"/>
    <cellStyle name="Normal 25 6" xfId="27254"/>
    <cellStyle name="Normal 25 6 2" xfId="27255"/>
    <cellStyle name="Normal 25 7" xfId="27256"/>
    <cellStyle name="Normal 25 7 2" xfId="27257"/>
    <cellStyle name="Normal 25 8" xfId="27258"/>
    <cellStyle name="Normal 25 8 2" xfId="27259"/>
    <cellStyle name="Normal 25 9" xfId="27260"/>
    <cellStyle name="Normal 25 9 2" xfId="27261"/>
    <cellStyle name="Normal 26" xfId="27262"/>
    <cellStyle name="Normal 26 10" xfId="27263"/>
    <cellStyle name="Normal 26 10 2" xfId="27264"/>
    <cellStyle name="Normal 26 11" xfId="27265"/>
    <cellStyle name="Normal 26 11 2" xfId="27266"/>
    <cellStyle name="Normal 26 12" xfId="27267"/>
    <cellStyle name="Normal 26 12 2" xfId="27268"/>
    <cellStyle name="Normal 26 13" xfId="27269"/>
    <cellStyle name="Normal 26 14" xfId="27270"/>
    <cellStyle name="Normal 26 2" xfId="27271"/>
    <cellStyle name="Normal 26 2 10" xfId="27272"/>
    <cellStyle name="Normal 26 2 10 2" xfId="27273"/>
    <cellStyle name="Normal 26 2 11" xfId="27274"/>
    <cellStyle name="Normal 26 2 11 2" xfId="27275"/>
    <cellStyle name="Normal 26 2 12" xfId="27276"/>
    <cellStyle name="Normal 26 2 13" xfId="27277"/>
    <cellStyle name="Normal 26 2 2" xfId="27278"/>
    <cellStyle name="Normal 26 2 2 10" xfId="27279"/>
    <cellStyle name="Normal 26 2 2 10 2" xfId="27280"/>
    <cellStyle name="Normal 26 2 2 11" xfId="27281"/>
    <cellStyle name="Normal 26 2 2 2" xfId="27282"/>
    <cellStyle name="Normal 26 2 2 2 2" xfId="27283"/>
    <cellStyle name="Normal 26 2 2 3" xfId="27284"/>
    <cellStyle name="Normal 26 2 2 3 2" xfId="27285"/>
    <cellStyle name="Normal 26 2 2 4" xfId="27286"/>
    <cellStyle name="Normal 26 2 2 4 2" xfId="27287"/>
    <cellStyle name="Normal 26 2 2 5" xfId="27288"/>
    <cellStyle name="Normal 26 2 2 5 2" xfId="27289"/>
    <cellStyle name="Normal 26 2 2 6" xfId="27290"/>
    <cellStyle name="Normal 26 2 2 6 2" xfId="27291"/>
    <cellStyle name="Normal 26 2 2 7" xfId="27292"/>
    <cellStyle name="Normal 26 2 2 7 2" xfId="27293"/>
    <cellStyle name="Normal 26 2 2 8" xfId="27294"/>
    <cellStyle name="Normal 26 2 2 8 2" xfId="27295"/>
    <cellStyle name="Normal 26 2 2 9" xfId="27296"/>
    <cellStyle name="Normal 26 2 2 9 2" xfId="27297"/>
    <cellStyle name="Normal 26 2 3" xfId="27298"/>
    <cellStyle name="Normal 26 2 3 2" xfId="27299"/>
    <cellStyle name="Normal 26 2 4" xfId="27300"/>
    <cellStyle name="Normal 26 2 4 2" xfId="27301"/>
    <cellStyle name="Normal 26 2 5" xfId="27302"/>
    <cellStyle name="Normal 26 2 5 2" xfId="27303"/>
    <cellStyle name="Normal 26 2 6" xfId="27304"/>
    <cellStyle name="Normal 26 2 6 2" xfId="27305"/>
    <cellStyle name="Normal 26 2 7" xfId="27306"/>
    <cellStyle name="Normal 26 2 7 2" xfId="27307"/>
    <cellStyle name="Normal 26 2 8" xfId="27308"/>
    <cellStyle name="Normal 26 2 8 2" xfId="27309"/>
    <cellStyle name="Normal 26 2 9" xfId="27310"/>
    <cellStyle name="Normal 26 2 9 2" xfId="27311"/>
    <cellStyle name="Normal 26 3" xfId="27312"/>
    <cellStyle name="Normal 26 3 10" xfId="27313"/>
    <cellStyle name="Normal 26 3 10 2" xfId="27314"/>
    <cellStyle name="Normal 26 3 11" xfId="27315"/>
    <cellStyle name="Normal 26 3 2" xfId="27316"/>
    <cellStyle name="Normal 26 3 2 2" xfId="27317"/>
    <cellStyle name="Normal 26 3 3" xfId="27318"/>
    <cellStyle name="Normal 26 3 3 2" xfId="27319"/>
    <cellStyle name="Normal 26 3 4" xfId="27320"/>
    <cellStyle name="Normal 26 3 4 2" xfId="27321"/>
    <cellStyle name="Normal 26 3 5" xfId="27322"/>
    <cellStyle name="Normal 26 3 5 2" xfId="27323"/>
    <cellStyle name="Normal 26 3 6" xfId="27324"/>
    <cellStyle name="Normal 26 3 6 2" xfId="27325"/>
    <cellStyle name="Normal 26 3 7" xfId="27326"/>
    <cellStyle name="Normal 26 3 7 2" xfId="27327"/>
    <cellStyle name="Normal 26 3 8" xfId="27328"/>
    <cellStyle name="Normal 26 3 8 2" xfId="27329"/>
    <cellStyle name="Normal 26 3 9" xfId="27330"/>
    <cellStyle name="Normal 26 3 9 2" xfId="27331"/>
    <cellStyle name="Normal 26 4" xfId="27332"/>
    <cellStyle name="Normal 26 4 2" xfId="27333"/>
    <cellStyle name="Normal 26 5" xfId="27334"/>
    <cellStyle name="Normal 26 5 2" xfId="27335"/>
    <cellStyle name="Normal 26 6" xfId="27336"/>
    <cellStyle name="Normal 26 6 2" xfId="27337"/>
    <cellStyle name="Normal 26 7" xfId="27338"/>
    <cellStyle name="Normal 26 7 2" xfId="27339"/>
    <cellStyle name="Normal 26 8" xfId="27340"/>
    <cellStyle name="Normal 26 8 2" xfId="27341"/>
    <cellStyle name="Normal 26 9" xfId="27342"/>
    <cellStyle name="Normal 26 9 2" xfId="27343"/>
    <cellStyle name="Normal 27" xfId="27344"/>
    <cellStyle name="Normal 27 10" xfId="27345"/>
    <cellStyle name="Normal 27 10 2" xfId="27346"/>
    <cellStyle name="Normal 27 11" xfId="27347"/>
    <cellStyle name="Normal 27 11 2" xfId="27348"/>
    <cellStyle name="Normal 27 12" xfId="27349"/>
    <cellStyle name="Normal 27 12 2" xfId="27350"/>
    <cellStyle name="Normal 27 13" xfId="27351"/>
    <cellStyle name="Normal 27 14" xfId="27352"/>
    <cellStyle name="Normal 27 2" xfId="27353"/>
    <cellStyle name="Normal 27 2 10" xfId="27354"/>
    <cellStyle name="Normal 27 2 10 2" xfId="27355"/>
    <cellStyle name="Normal 27 2 11" xfId="27356"/>
    <cellStyle name="Normal 27 2 11 2" xfId="27357"/>
    <cellStyle name="Normal 27 2 12" xfId="27358"/>
    <cellStyle name="Normal 27 2 13" xfId="27359"/>
    <cellStyle name="Normal 27 2 2" xfId="27360"/>
    <cellStyle name="Normal 27 2 2 10" xfId="27361"/>
    <cellStyle name="Normal 27 2 2 10 2" xfId="27362"/>
    <cellStyle name="Normal 27 2 2 11" xfId="27363"/>
    <cellStyle name="Normal 27 2 2 2" xfId="27364"/>
    <cellStyle name="Normal 27 2 2 2 2" xfId="27365"/>
    <cellStyle name="Normal 27 2 2 3" xfId="27366"/>
    <cellStyle name="Normal 27 2 2 3 2" xfId="27367"/>
    <cellStyle name="Normal 27 2 2 4" xfId="27368"/>
    <cellStyle name="Normal 27 2 2 4 2" xfId="27369"/>
    <cellStyle name="Normal 27 2 2 5" xfId="27370"/>
    <cellStyle name="Normal 27 2 2 5 2" xfId="27371"/>
    <cellStyle name="Normal 27 2 2 6" xfId="27372"/>
    <cellStyle name="Normal 27 2 2 6 2" xfId="27373"/>
    <cellStyle name="Normal 27 2 2 7" xfId="27374"/>
    <cellStyle name="Normal 27 2 2 7 2" xfId="27375"/>
    <cellStyle name="Normal 27 2 2 8" xfId="27376"/>
    <cellStyle name="Normal 27 2 2 8 2" xfId="27377"/>
    <cellStyle name="Normal 27 2 2 9" xfId="27378"/>
    <cellStyle name="Normal 27 2 2 9 2" xfId="27379"/>
    <cellStyle name="Normal 27 2 3" xfId="27380"/>
    <cellStyle name="Normal 27 2 3 2" xfId="27381"/>
    <cellStyle name="Normal 27 2 4" xfId="27382"/>
    <cellStyle name="Normal 27 2 4 2" xfId="27383"/>
    <cellStyle name="Normal 27 2 5" xfId="27384"/>
    <cellStyle name="Normal 27 2 5 2" xfId="27385"/>
    <cellStyle name="Normal 27 2 6" xfId="27386"/>
    <cellStyle name="Normal 27 2 6 2" xfId="27387"/>
    <cellStyle name="Normal 27 2 7" xfId="27388"/>
    <cellStyle name="Normal 27 2 7 2" xfId="27389"/>
    <cellStyle name="Normal 27 2 8" xfId="27390"/>
    <cellStyle name="Normal 27 2 8 2" xfId="27391"/>
    <cellStyle name="Normal 27 2 9" xfId="27392"/>
    <cellStyle name="Normal 27 2 9 2" xfId="27393"/>
    <cellStyle name="Normal 27 3" xfId="27394"/>
    <cellStyle name="Normal 27 3 10" xfId="27395"/>
    <cellStyle name="Normal 27 3 10 2" xfId="27396"/>
    <cellStyle name="Normal 27 3 11" xfId="27397"/>
    <cellStyle name="Normal 27 3 2" xfId="27398"/>
    <cellStyle name="Normal 27 3 2 2" xfId="27399"/>
    <cellStyle name="Normal 27 3 3" xfId="27400"/>
    <cellStyle name="Normal 27 3 3 2" xfId="27401"/>
    <cellStyle name="Normal 27 3 4" xfId="27402"/>
    <cellStyle name="Normal 27 3 4 2" xfId="27403"/>
    <cellStyle name="Normal 27 3 5" xfId="27404"/>
    <cellStyle name="Normal 27 3 5 2" xfId="27405"/>
    <cellStyle name="Normal 27 3 6" xfId="27406"/>
    <cellStyle name="Normal 27 3 6 2" xfId="27407"/>
    <cellStyle name="Normal 27 3 7" xfId="27408"/>
    <cellStyle name="Normal 27 3 7 2" xfId="27409"/>
    <cellStyle name="Normal 27 3 8" xfId="27410"/>
    <cellStyle name="Normal 27 3 8 2" xfId="27411"/>
    <cellStyle name="Normal 27 3 9" xfId="27412"/>
    <cellStyle name="Normal 27 3 9 2" xfId="27413"/>
    <cellStyle name="Normal 27 4" xfId="27414"/>
    <cellStyle name="Normal 27 4 2" xfId="27415"/>
    <cellStyle name="Normal 27 5" xfId="27416"/>
    <cellStyle name="Normal 27 5 2" xfId="27417"/>
    <cellStyle name="Normal 27 6" xfId="27418"/>
    <cellStyle name="Normal 27 6 2" xfId="27419"/>
    <cellStyle name="Normal 27 7" xfId="27420"/>
    <cellStyle name="Normal 27 7 2" xfId="27421"/>
    <cellStyle name="Normal 27 8" xfId="27422"/>
    <cellStyle name="Normal 27 8 2" xfId="27423"/>
    <cellStyle name="Normal 27 9" xfId="27424"/>
    <cellStyle name="Normal 27 9 2" xfId="27425"/>
    <cellStyle name="Normal 28" xfId="27426"/>
    <cellStyle name="Normal 28 10" xfId="27427"/>
    <cellStyle name="Normal 28 10 2" xfId="27428"/>
    <cellStyle name="Normal 28 11" xfId="27429"/>
    <cellStyle name="Normal 28 11 2" xfId="27430"/>
    <cellStyle name="Normal 28 12" xfId="27431"/>
    <cellStyle name="Normal 28 12 2" xfId="27432"/>
    <cellStyle name="Normal 28 13" xfId="27433"/>
    <cellStyle name="Normal 28 14" xfId="27434"/>
    <cellStyle name="Normal 28 2" xfId="27435"/>
    <cellStyle name="Normal 28 2 10" xfId="27436"/>
    <cellStyle name="Normal 28 2 10 2" xfId="27437"/>
    <cellStyle name="Normal 28 2 11" xfId="27438"/>
    <cellStyle name="Normal 28 2 11 2" xfId="27439"/>
    <cellStyle name="Normal 28 2 12" xfId="27440"/>
    <cellStyle name="Normal 28 2 13" xfId="27441"/>
    <cellStyle name="Normal 28 2 2" xfId="27442"/>
    <cellStyle name="Normal 28 2 2 10" xfId="27443"/>
    <cellStyle name="Normal 28 2 2 10 2" xfId="27444"/>
    <cellStyle name="Normal 28 2 2 11" xfId="27445"/>
    <cellStyle name="Normal 28 2 2 2" xfId="27446"/>
    <cellStyle name="Normal 28 2 2 2 2" xfId="27447"/>
    <cellStyle name="Normal 28 2 2 3" xfId="27448"/>
    <cellStyle name="Normal 28 2 2 3 2" xfId="27449"/>
    <cellStyle name="Normal 28 2 2 4" xfId="27450"/>
    <cellStyle name="Normal 28 2 2 4 2" xfId="27451"/>
    <cellStyle name="Normal 28 2 2 5" xfId="27452"/>
    <cellStyle name="Normal 28 2 2 5 2" xfId="27453"/>
    <cellStyle name="Normal 28 2 2 6" xfId="27454"/>
    <cellStyle name="Normal 28 2 2 6 2" xfId="27455"/>
    <cellStyle name="Normal 28 2 2 7" xfId="27456"/>
    <cellStyle name="Normal 28 2 2 7 2" xfId="27457"/>
    <cellStyle name="Normal 28 2 2 8" xfId="27458"/>
    <cellStyle name="Normal 28 2 2 8 2" xfId="27459"/>
    <cellStyle name="Normal 28 2 2 9" xfId="27460"/>
    <cellStyle name="Normal 28 2 2 9 2" xfId="27461"/>
    <cellStyle name="Normal 28 2 3" xfId="27462"/>
    <cellStyle name="Normal 28 2 3 2" xfId="27463"/>
    <cellStyle name="Normal 28 2 4" xfId="27464"/>
    <cellStyle name="Normal 28 2 4 2" xfId="27465"/>
    <cellStyle name="Normal 28 2 5" xfId="27466"/>
    <cellStyle name="Normal 28 2 5 2" xfId="27467"/>
    <cellStyle name="Normal 28 2 6" xfId="27468"/>
    <cellStyle name="Normal 28 2 6 2" xfId="27469"/>
    <cellStyle name="Normal 28 2 7" xfId="27470"/>
    <cellStyle name="Normal 28 2 7 2" xfId="27471"/>
    <cellStyle name="Normal 28 2 8" xfId="27472"/>
    <cellStyle name="Normal 28 2 8 2" xfId="27473"/>
    <cellStyle name="Normal 28 2 9" xfId="27474"/>
    <cellStyle name="Normal 28 2 9 2" xfId="27475"/>
    <cellStyle name="Normal 28 3" xfId="27476"/>
    <cellStyle name="Normal 28 3 10" xfId="27477"/>
    <cellStyle name="Normal 28 3 10 2" xfId="27478"/>
    <cellStyle name="Normal 28 3 11" xfId="27479"/>
    <cellStyle name="Normal 28 3 2" xfId="27480"/>
    <cellStyle name="Normal 28 3 2 2" xfId="27481"/>
    <cellStyle name="Normal 28 3 3" xfId="27482"/>
    <cellStyle name="Normal 28 3 3 2" xfId="27483"/>
    <cellStyle name="Normal 28 3 4" xfId="27484"/>
    <cellStyle name="Normal 28 3 4 2" xfId="27485"/>
    <cellStyle name="Normal 28 3 5" xfId="27486"/>
    <cellStyle name="Normal 28 3 5 2" xfId="27487"/>
    <cellStyle name="Normal 28 3 6" xfId="27488"/>
    <cellStyle name="Normal 28 3 6 2" xfId="27489"/>
    <cellStyle name="Normal 28 3 7" xfId="27490"/>
    <cellStyle name="Normal 28 3 7 2" xfId="27491"/>
    <cellStyle name="Normal 28 3 8" xfId="27492"/>
    <cellStyle name="Normal 28 3 8 2" xfId="27493"/>
    <cellStyle name="Normal 28 3 9" xfId="27494"/>
    <cellStyle name="Normal 28 3 9 2" xfId="27495"/>
    <cellStyle name="Normal 28 4" xfId="27496"/>
    <cellStyle name="Normal 28 4 2" xfId="27497"/>
    <cellStyle name="Normal 28 5" xfId="27498"/>
    <cellStyle name="Normal 28 5 2" xfId="27499"/>
    <cellStyle name="Normal 28 6" xfId="27500"/>
    <cellStyle name="Normal 28 6 2" xfId="27501"/>
    <cellStyle name="Normal 28 7" xfId="27502"/>
    <cellStyle name="Normal 28 7 2" xfId="27503"/>
    <cellStyle name="Normal 28 8" xfId="27504"/>
    <cellStyle name="Normal 28 8 2" xfId="27505"/>
    <cellStyle name="Normal 28 9" xfId="27506"/>
    <cellStyle name="Normal 28 9 2" xfId="27507"/>
    <cellStyle name="Normal 29" xfId="27508"/>
    <cellStyle name="Normal 29 10" xfId="27509"/>
    <cellStyle name="Normal 29 10 2" xfId="27510"/>
    <cellStyle name="Normal 29 11" xfId="27511"/>
    <cellStyle name="Normal 29 11 2" xfId="27512"/>
    <cellStyle name="Normal 29 12" xfId="27513"/>
    <cellStyle name="Normal 29 12 2" xfId="27514"/>
    <cellStyle name="Normal 29 13" xfId="27515"/>
    <cellStyle name="Normal 29 14" xfId="27516"/>
    <cellStyle name="Normal 29 2" xfId="27517"/>
    <cellStyle name="Normal 29 2 10" xfId="27518"/>
    <cellStyle name="Normal 29 2 10 2" xfId="27519"/>
    <cellStyle name="Normal 29 2 11" xfId="27520"/>
    <cellStyle name="Normal 29 2 11 2" xfId="27521"/>
    <cellStyle name="Normal 29 2 12" xfId="27522"/>
    <cellStyle name="Normal 29 2 13" xfId="27523"/>
    <cellStyle name="Normal 29 2 2" xfId="27524"/>
    <cellStyle name="Normal 29 2 2 10" xfId="27525"/>
    <cellStyle name="Normal 29 2 2 10 2" xfId="27526"/>
    <cellStyle name="Normal 29 2 2 11" xfId="27527"/>
    <cellStyle name="Normal 29 2 2 2" xfId="27528"/>
    <cellStyle name="Normal 29 2 2 2 2" xfId="27529"/>
    <cellStyle name="Normal 29 2 2 3" xfId="27530"/>
    <cellStyle name="Normal 29 2 2 3 2" xfId="27531"/>
    <cellStyle name="Normal 29 2 2 4" xfId="27532"/>
    <cellStyle name="Normal 29 2 2 4 2" xfId="27533"/>
    <cellStyle name="Normal 29 2 2 5" xfId="27534"/>
    <cellStyle name="Normal 29 2 2 5 2" xfId="27535"/>
    <cellStyle name="Normal 29 2 2 6" xfId="27536"/>
    <cellStyle name="Normal 29 2 2 6 2" xfId="27537"/>
    <cellStyle name="Normal 29 2 2 7" xfId="27538"/>
    <cellStyle name="Normal 29 2 2 7 2" xfId="27539"/>
    <cellStyle name="Normal 29 2 2 8" xfId="27540"/>
    <cellStyle name="Normal 29 2 2 8 2" xfId="27541"/>
    <cellStyle name="Normal 29 2 2 9" xfId="27542"/>
    <cellStyle name="Normal 29 2 2 9 2" xfId="27543"/>
    <cellStyle name="Normal 29 2 3" xfId="27544"/>
    <cellStyle name="Normal 29 2 3 2" xfId="27545"/>
    <cellStyle name="Normal 29 2 4" xfId="27546"/>
    <cellStyle name="Normal 29 2 4 2" xfId="27547"/>
    <cellStyle name="Normal 29 2 5" xfId="27548"/>
    <cellStyle name="Normal 29 2 5 2" xfId="27549"/>
    <cellStyle name="Normal 29 2 6" xfId="27550"/>
    <cellStyle name="Normal 29 2 6 2" xfId="27551"/>
    <cellStyle name="Normal 29 2 7" xfId="27552"/>
    <cellStyle name="Normal 29 2 7 2" xfId="27553"/>
    <cellStyle name="Normal 29 2 8" xfId="27554"/>
    <cellStyle name="Normal 29 2 8 2" xfId="27555"/>
    <cellStyle name="Normal 29 2 9" xfId="27556"/>
    <cellStyle name="Normal 29 2 9 2" xfId="27557"/>
    <cellStyle name="Normal 29 3" xfId="27558"/>
    <cellStyle name="Normal 29 3 10" xfId="27559"/>
    <cellStyle name="Normal 29 3 10 2" xfId="27560"/>
    <cellStyle name="Normal 29 3 11" xfId="27561"/>
    <cellStyle name="Normal 29 3 2" xfId="27562"/>
    <cellStyle name="Normal 29 3 2 2" xfId="27563"/>
    <cellStyle name="Normal 29 3 3" xfId="27564"/>
    <cellStyle name="Normal 29 3 3 2" xfId="27565"/>
    <cellStyle name="Normal 29 3 4" xfId="27566"/>
    <cellStyle name="Normal 29 3 4 2" xfId="27567"/>
    <cellStyle name="Normal 29 3 5" xfId="27568"/>
    <cellStyle name="Normal 29 3 5 2" xfId="27569"/>
    <cellStyle name="Normal 29 3 6" xfId="27570"/>
    <cellStyle name="Normal 29 3 6 2" xfId="27571"/>
    <cellStyle name="Normal 29 3 7" xfId="27572"/>
    <cellStyle name="Normal 29 3 7 2" xfId="27573"/>
    <cellStyle name="Normal 29 3 8" xfId="27574"/>
    <cellStyle name="Normal 29 3 8 2" xfId="27575"/>
    <cellStyle name="Normal 29 3 9" xfId="27576"/>
    <cellStyle name="Normal 29 3 9 2" xfId="27577"/>
    <cellStyle name="Normal 29 4" xfId="27578"/>
    <cellStyle name="Normal 29 4 2" xfId="27579"/>
    <cellStyle name="Normal 29 5" xfId="27580"/>
    <cellStyle name="Normal 29 5 2" xfId="27581"/>
    <cellStyle name="Normal 29 6" xfId="27582"/>
    <cellStyle name="Normal 29 6 2" xfId="27583"/>
    <cellStyle name="Normal 29 7" xfId="27584"/>
    <cellStyle name="Normal 29 7 2" xfId="27585"/>
    <cellStyle name="Normal 29 8" xfId="27586"/>
    <cellStyle name="Normal 29 8 2" xfId="27587"/>
    <cellStyle name="Normal 29 9" xfId="27588"/>
    <cellStyle name="Normal 29 9 2" xfId="27589"/>
    <cellStyle name="Normal 3" xfId="27590"/>
    <cellStyle name="Normal 3 2" xfId="27591"/>
    <cellStyle name="Normal 3 2 10" xfId="27592"/>
    <cellStyle name="Normal 3 2 11" xfId="27593"/>
    <cellStyle name="Normal 3 2 12" xfId="27594"/>
    <cellStyle name="Normal 3 2 13" xfId="27595"/>
    <cellStyle name="Normal 3 2 14" xfId="27596"/>
    <cellStyle name="Normal 3 2 2" xfId="27597"/>
    <cellStyle name="Normal 3 2 3" xfId="27598"/>
    <cellStyle name="Normal 3 2 4" xfId="27599"/>
    <cellStyle name="Normal 3 2 5" xfId="27600"/>
    <cellStyle name="Normal 3 2 6" xfId="27601"/>
    <cellStyle name="Normal 3 2 7" xfId="27602"/>
    <cellStyle name="Normal 3 2 8" xfId="27603"/>
    <cellStyle name="Normal 3 2 9" xfId="27604"/>
    <cellStyle name="Normal 3 3" xfId="27605"/>
    <cellStyle name="Normal 3 3 2" xfId="27606"/>
    <cellStyle name="Normal 3 4" xfId="27607"/>
    <cellStyle name="Normal 3 4 2" xfId="27608"/>
    <cellStyle name="Normal 3 5" xfId="27609"/>
    <cellStyle name="Normal 3 5 2" xfId="27610"/>
    <cellStyle name="Normal 3 6" xfId="27611"/>
    <cellStyle name="Normal 3 6 2" xfId="27612"/>
    <cellStyle name="Normal 3 7" xfId="27613"/>
    <cellStyle name="Normal 3 7 2" xfId="27614"/>
    <cellStyle name="Normal 3 8" xfId="27615"/>
    <cellStyle name="Normal 3 8 2" xfId="27616"/>
    <cellStyle name="Normal 3 9" xfId="27617"/>
    <cellStyle name="Normal 30" xfId="27618"/>
    <cellStyle name="Normal 30 10" xfId="27619"/>
    <cellStyle name="Normal 30 10 2" xfId="27620"/>
    <cellStyle name="Normal 30 11" xfId="27621"/>
    <cellStyle name="Normal 30 11 2" xfId="27622"/>
    <cellStyle name="Normal 30 12" xfId="27623"/>
    <cellStyle name="Normal 30 12 2" xfId="27624"/>
    <cellStyle name="Normal 30 13" xfId="27625"/>
    <cellStyle name="Normal 30 14" xfId="27626"/>
    <cellStyle name="Normal 30 2" xfId="27627"/>
    <cellStyle name="Normal 30 2 10" xfId="27628"/>
    <cellStyle name="Normal 30 2 10 2" xfId="27629"/>
    <cellStyle name="Normal 30 2 11" xfId="27630"/>
    <cellStyle name="Normal 30 2 11 2" xfId="27631"/>
    <cellStyle name="Normal 30 2 12" xfId="27632"/>
    <cellStyle name="Normal 30 2 13" xfId="27633"/>
    <cellStyle name="Normal 30 2 2" xfId="27634"/>
    <cellStyle name="Normal 30 2 2 10" xfId="27635"/>
    <cellStyle name="Normal 30 2 2 10 2" xfId="27636"/>
    <cellStyle name="Normal 30 2 2 11" xfId="27637"/>
    <cellStyle name="Normal 30 2 2 2" xfId="27638"/>
    <cellStyle name="Normal 30 2 2 2 2" xfId="27639"/>
    <cellStyle name="Normal 30 2 2 3" xfId="27640"/>
    <cellStyle name="Normal 30 2 2 3 2" xfId="27641"/>
    <cellStyle name="Normal 30 2 2 4" xfId="27642"/>
    <cellStyle name="Normal 30 2 2 4 2" xfId="27643"/>
    <cellStyle name="Normal 30 2 2 5" xfId="27644"/>
    <cellStyle name="Normal 30 2 2 5 2" xfId="27645"/>
    <cellStyle name="Normal 30 2 2 6" xfId="27646"/>
    <cellStyle name="Normal 30 2 2 6 2" xfId="27647"/>
    <cellStyle name="Normal 30 2 2 7" xfId="27648"/>
    <cellStyle name="Normal 30 2 2 7 2" xfId="27649"/>
    <cellStyle name="Normal 30 2 2 8" xfId="27650"/>
    <cellStyle name="Normal 30 2 2 8 2" xfId="27651"/>
    <cellStyle name="Normal 30 2 2 9" xfId="27652"/>
    <cellStyle name="Normal 30 2 2 9 2" xfId="27653"/>
    <cellStyle name="Normal 30 2 3" xfId="27654"/>
    <cellStyle name="Normal 30 2 3 2" xfId="27655"/>
    <cellStyle name="Normal 30 2 4" xfId="27656"/>
    <cellStyle name="Normal 30 2 4 2" xfId="27657"/>
    <cellStyle name="Normal 30 2 5" xfId="27658"/>
    <cellStyle name="Normal 30 2 5 2" xfId="27659"/>
    <cellStyle name="Normal 30 2 6" xfId="27660"/>
    <cellStyle name="Normal 30 2 6 2" xfId="27661"/>
    <cellStyle name="Normal 30 2 7" xfId="27662"/>
    <cellStyle name="Normal 30 2 7 2" xfId="27663"/>
    <cellStyle name="Normal 30 2 8" xfId="27664"/>
    <cellStyle name="Normal 30 2 8 2" xfId="27665"/>
    <cellStyle name="Normal 30 2 9" xfId="27666"/>
    <cellStyle name="Normal 30 2 9 2" xfId="27667"/>
    <cellStyle name="Normal 30 3" xfId="27668"/>
    <cellStyle name="Normal 30 3 10" xfId="27669"/>
    <cellStyle name="Normal 30 3 10 2" xfId="27670"/>
    <cellStyle name="Normal 30 3 11" xfId="27671"/>
    <cellStyle name="Normal 30 3 2" xfId="27672"/>
    <cellStyle name="Normal 30 3 2 2" xfId="27673"/>
    <cellStyle name="Normal 30 3 3" xfId="27674"/>
    <cellStyle name="Normal 30 3 3 2" xfId="27675"/>
    <cellStyle name="Normal 30 3 4" xfId="27676"/>
    <cellStyle name="Normal 30 3 4 2" xfId="27677"/>
    <cellStyle name="Normal 30 3 5" xfId="27678"/>
    <cellStyle name="Normal 30 3 5 2" xfId="27679"/>
    <cellStyle name="Normal 30 3 6" xfId="27680"/>
    <cellStyle name="Normal 30 3 6 2" xfId="27681"/>
    <cellStyle name="Normal 30 3 7" xfId="27682"/>
    <cellStyle name="Normal 30 3 7 2" xfId="27683"/>
    <cellStyle name="Normal 30 3 8" xfId="27684"/>
    <cellStyle name="Normal 30 3 8 2" xfId="27685"/>
    <cellStyle name="Normal 30 3 9" xfId="27686"/>
    <cellStyle name="Normal 30 3 9 2" xfId="27687"/>
    <cellStyle name="Normal 30 4" xfId="27688"/>
    <cellStyle name="Normal 30 4 2" xfId="27689"/>
    <cellStyle name="Normal 30 5" xfId="27690"/>
    <cellStyle name="Normal 30 5 2" xfId="27691"/>
    <cellStyle name="Normal 30 6" xfId="27692"/>
    <cellStyle name="Normal 30 6 2" xfId="27693"/>
    <cellStyle name="Normal 30 7" xfId="27694"/>
    <cellStyle name="Normal 30 7 2" xfId="27695"/>
    <cellStyle name="Normal 30 8" xfId="27696"/>
    <cellStyle name="Normal 30 8 2" xfId="27697"/>
    <cellStyle name="Normal 30 9" xfId="27698"/>
    <cellStyle name="Normal 30 9 2" xfId="27699"/>
    <cellStyle name="Normal 31" xfId="27700"/>
    <cellStyle name="Normal 31 10" xfId="27701"/>
    <cellStyle name="Normal 31 10 2" xfId="27702"/>
    <cellStyle name="Normal 31 11" xfId="27703"/>
    <cellStyle name="Normal 31 11 2" xfId="27704"/>
    <cellStyle name="Normal 31 12" xfId="27705"/>
    <cellStyle name="Normal 31 12 2" xfId="27706"/>
    <cellStyle name="Normal 31 13" xfId="27707"/>
    <cellStyle name="Normal 31 14" xfId="27708"/>
    <cellStyle name="Normal 31 2" xfId="27709"/>
    <cellStyle name="Normal 31 2 10" xfId="27710"/>
    <cellStyle name="Normal 31 2 10 2" xfId="27711"/>
    <cellStyle name="Normal 31 2 11" xfId="27712"/>
    <cellStyle name="Normal 31 2 11 2" xfId="27713"/>
    <cellStyle name="Normal 31 2 12" xfId="27714"/>
    <cellStyle name="Normal 31 2 13" xfId="27715"/>
    <cellStyle name="Normal 31 2 2" xfId="27716"/>
    <cellStyle name="Normal 31 2 2 10" xfId="27717"/>
    <cellStyle name="Normal 31 2 2 10 2" xfId="27718"/>
    <cellStyle name="Normal 31 2 2 11" xfId="27719"/>
    <cellStyle name="Normal 31 2 2 2" xfId="27720"/>
    <cellStyle name="Normal 31 2 2 2 2" xfId="27721"/>
    <cellStyle name="Normal 31 2 2 3" xfId="27722"/>
    <cellStyle name="Normal 31 2 2 3 2" xfId="27723"/>
    <cellStyle name="Normal 31 2 2 4" xfId="27724"/>
    <cellStyle name="Normal 31 2 2 4 2" xfId="27725"/>
    <cellStyle name="Normal 31 2 2 5" xfId="27726"/>
    <cellStyle name="Normal 31 2 2 5 2" xfId="27727"/>
    <cellStyle name="Normal 31 2 2 6" xfId="27728"/>
    <cellStyle name="Normal 31 2 2 6 2" xfId="27729"/>
    <cellStyle name="Normal 31 2 2 7" xfId="27730"/>
    <cellStyle name="Normal 31 2 2 7 2" xfId="27731"/>
    <cellStyle name="Normal 31 2 2 8" xfId="27732"/>
    <cellStyle name="Normal 31 2 2 8 2" xfId="27733"/>
    <cellStyle name="Normal 31 2 2 9" xfId="27734"/>
    <cellStyle name="Normal 31 2 2 9 2" xfId="27735"/>
    <cellStyle name="Normal 31 2 3" xfId="27736"/>
    <cellStyle name="Normal 31 2 3 2" xfId="27737"/>
    <cellStyle name="Normal 31 2 4" xfId="27738"/>
    <cellStyle name="Normal 31 2 4 2" xfId="27739"/>
    <cellStyle name="Normal 31 2 5" xfId="27740"/>
    <cellStyle name="Normal 31 2 5 2" xfId="27741"/>
    <cellStyle name="Normal 31 2 6" xfId="27742"/>
    <cellStyle name="Normal 31 2 6 2" xfId="27743"/>
    <cellStyle name="Normal 31 2 7" xfId="27744"/>
    <cellStyle name="Normal 31 2 7 2" xfId="27745"/>
    <cellStyle name="Normal 31 2 8" xfId="27746"/>
    <cellStyle name="Normal 31 2 8 2" xfId="27747"/>
    <cellStyle name="Normal 31 2 9" xfId="27748"/>
    <cellStyle name="Normal 31 2 9 2" xfId="27749"/>
    <cellStyle name="Normal 31 3" xfId="27750"/>
    <cellStyle name="Normal 31 3 10" xfId="27751"/>
    <cellStyle name="Normal 31 3 10 2" xfId="27752"/>
    <cellStyle name="Normal 31 3 11" xfId="27753"/>
    <cellStyle name="Normal 31 3 2" xfId="27754"/>
    <cellStyle name="Normal 31 3 2 2" xfId="27755"/>
    <cellStyle name="Normal 31 3 3" xfId="27756"/>
    <cellStyle name="Normal 31 3 3 2" xfId="27757"/>
    <cellStyle name="Normal 31 3 4" xfId="27758"/>
    <cellStyle name="Normal 31 3 4 2" xfId="27759"/>
    <cellStyle name="Normal 31 3 5" xfId="27760"/>
    <cellStyle name="Normal 31 3 5 2" xfId="27761"/>
    <cellStyle name="Normal 31 3 6" xfId="27762"/>
    <cellStyle name="Normal 31 3 6 2" xfId="27763"/>
    <cellStyle name="Normal 31 3 7" xfId="27764"/>
    <cellStyle name="Normal 31 3 7 2" xfId="27765"/>
    <cellStyle name="Normal 31 3 8" xfId="27766"/>
    <cellStyle name="Normal 31 3 8 2" xfId="27767"/>
    <cellStyle name="Normal 31 3 9" xfId="27768"/>
    <cellStyle name="Normal 31 3 9 2" xfId="27769"/>
    <cellStyle name="Normal 31 4" xfId="27770"/>
    <cellStyle name="Normal 31 4 2" xfId="27771"/>
    <cellStyle name="Normal 31 5" xfId="27772"/>
    <cellStyle name="Normal 31 5 2" xfId="27773"/>
    <cellStyle name="Normal 31 6" xfId="27774"/>
    <cellStyle name="Normal 31 6 2" xfId="27775"/>
    <cellStyle name="Normal 31 7" xfId="27776"/>
    <cellStyle name="Normal 31 7 2" xfId="27777"/>
    <cellStyle name="Normal 31 8" xfId="27778"/>
    <cellStyle name="Normal 31 8 2" xfId="27779"/>
    <cellStyle name="Normal 31 9" xfId="27780"/>
    <cellStyle name="Normal 31 9 2" xfId="27781"/>
    <cellStyle name="Normal 32" xfId="27782"/>
    <cellStyle name="Normal 32 10" xfId="27783"/>
    <cellStyle name="Normal 32 10 2" xfId="27784"/>
    <cellStyle name="Normal 32 11" xfId="27785"/>
    <cellStyle name="Normal 32 11 2" xfId="27786"/>
    <cellStyle name="Normal 32 12" xfId="27787"/>
    <cellStyle name="Normal 32 12 2" xfId="27788"/>
    <cellStyle name="Normal 32 13" xfId="27789"/>
    <cellStyle name="Normal 32 14" xfId="27790"/>
    <cellStyle name="Normal 32 2" xfId="27791"/>
    <cellStyle name="Normal 32 2 10" xfId="27792"/>
    <cellStyle name="Normal 32 2 10 2" xfId="27793"/>
    <cellStyle name="Normal 32 2 11" xfId="27794"/>
    <cellStyle name="Normal 32 2 11 2" xfId="27795"/>
    <cellStyle name="Normal 32 2 12" xfId="27796"/>
    <cellStyle name="Normal 32 2 13" xfId="27797"/>
    <cellStyle name="Normal 32 2 2" xfId="27798"/>
    <cellStyle name="Normal 32 2 2 10" xfId="27799"/>
    <cellStyle name="Normal 32 2 2 10 2" xfId="27800"/>
    <cellStyle name="Normal 32 2 2 11" xfId="27801"/>
    <cellStyle name="Normal 32 2 2 2" xfId="27802"/>
    <cellStyle name="Normal 32 2 2 2 2" xfId="27803"/>
    <cellStyle name="Normal 32 2 2 3" xfId="27804"/>
    <cellStyle name="Normal 32 2 2 3 2" xfId="27805"/>
    <cellStyle name="Normal 32 2 2 4" xfId="27806"/>
    <cellStyle name="Normal 32 2 2 4 2" xfId="27807"/>
    <cellStyle name="Normal 32 2 2 5" xfId="27808"/>
    <cellStyle name="Normal 32 2 2 5 2" xfId="27809"/>
    <cellStyle name="Normal 32 2 2 6" xfId="27810"/>
    <cellStyle name="Normal 32 2 2 6 2" xfId="27811"/>
    <cellStyle name="Normal 32 2 2 7" xfId="27812"/>
    <cellStyle name="Normal 32 2 2 7 2" xfId="27813"/>
    <cellStyle name="Normal 32 2 2 8" xfId="27814"/>
    <cellStyle name="Normal 32 2 2 8 2" xfId="27815"/>
    <cellStyle name="Normal 32 2 2 9" xfId="27816"/>
    <cellStyle name="Normal 32 2 2 9 2" xfId="27817"/>
    <cellStyle name="Normal 32 2 3" xfId="27818"/>
    <cellStyle name="Normal 32 2 3 2" xfId="27819"/>
    <cellStyle name="Normal 32 2 4" xfId="27820"/>
    <cellStyle name="Normal 32 2 4 2" xfId="27821"/>
    <cellStyle name="Normal 32 2 5" xfId="27822"/>
    <cellStyle name="Normal 32 2 5 2" xfId="27823"/>
    <cellStyle name="Normal 32 2 6" xfId="27824"/>
    <cellStyle name="Normal 32 2 6 2" xfId="27825"/>
    <cellStyle name="Normal 32 2 7" xfId="27826"/>
    <cellStyle name="Normal 32 2 7 2" xfId="27827"/>
    <cellStyle name="Normal 32 2 8" xfId="27828"/>
    <cellStyle name="Normal 32 2 8 2" xfId="27829"/>
    <cellStyle name="Normal 32 2 9" xfId="27830"/>
    <cellStyle name="Normal 32 2 9 2" xfId="27831"/>
    <cellStyle name="Normal 32 3" xfId="27832"/>
    <cellStyle name="Normal 32 3 10" xfId="27833"/>
    <cellStyle name="Normal 32 3 10 2" xfId="27834"/>
    <cellStyle name="Normal 32 3 11" xfId="27835"/>
    <cellStyle name="Normal 32 3 2" xfId="27836"/>
    <cellStyle name="Normal 32 3 2 2" xfId="27837"/>
    <cellStyle name="Normal 32 3 3" xfId="27838"/>
    <cellStyle name="Normal 32 3 3 2" xfId="27839"/>
    <cellStyle name="Normal 32 3 4" xfId="27840"/>
    <cellStyle name="Normal 32 3 4 2" xfId="27841"/>
    <cellStyle name="Normal 32 3 5" xfId="27842"/>
    <cellStyle name="Normal 32 3 5 2" xfId="27843"/>
    <cellStyle name="Normal 32 3 6" xfId="27844"/>
    <cellStyle name="Normal 32 3 6 2" xfId="27845"/>
    <cellStyle name="Normal 32 3 7" xfId="27846"/>
    <cellStyle name="Normal 32 3 7 2" xfId="27847"/>
    <cellStyle name="Normal 32 3 8" xfId="27848"/>
    <cellStyle name="Normal 32 3 8 2" xfId="27849"/>
    <cellStyle name="Normal 32 3 9" xfId="27850"/>
    <cellStyle name="Normal 32 3 9 2" xfId="27851"/>
    <cellStyle name="Normal 32 4" xfId="27852"/>
    <cellStyle name="Normal 32 4 2" xfId="27853"/>
    <cellStyle name="Normal 32 5" xfId="27854"/>
    <cellStyle name="Normal 32 5 2" xfId="27855"/>
    <cellStyle name="Normal 32 6" xfId="27856"/>
    <cellStyle name="Normal 32 6 2" xfId="27857"/>
    <cellStyle name="Normal 32 7" xfId="27858"/>
    <cellStyle name="Normal 32 7 2" xfId="27859"/>
    <cellStyle name="Normal 32 8" xfId="27860"/>
    <cellStyle name="Normal 32 8 2" xfId="27861"/>
    <cellStyle name="Normal 32 9" xfId="27862"/>
    <cellStyle name="Normal 32 9 2" xfId="27863"/>
    <cellStyle name="Normal 33" xfId="27864"/>
    <cellStyle name="Normal 33 10" xfId="27865"/>
    <cellStyle name="Normal 33 10 2" xfId="27866"/>
    <cellStyle name="Normal 33 11" xfId="27867"/>
    <cellStyle name="Normal 33 11 2" xfId="27868"/>
    <cellStyle name="Normal 33 12" xfId="27869"/>
    <cellStyle name="Normal 33 13" xfId="27870"/>
    <cellStyle name="Normal 33 2" xfId="27871"/>
    <cellStyle name="Normal 33 2 10" xfId="27872"/>
    <cellStyle name="Normal 33 2 10 2" xfId="27873"/>
    <cellStyle name="Normal 33 2 11" xfId="27874"/>
    <cellStyle name="Normal 33 2 12" xfId="27875"/>
    <cellStyle name="Normal 33 2 2" xfId="27876"/>
    <cellStyle name="Normal 33 2 2 2" xfId="27877"/>
    <cellStyle name="Normal 33 2 3" xfId="27878"/>
    <cellStyle name="Normal 33 2 3 2" xfId="27879"/>
    <cellStyle name="Normal 33 2 4" xfId="27880"/>
    <cellStyle name="Normal 33 2 4 2" xfId="27881"/>
    <cellStyle name="Normal 33 2 5" xfId="27882"/>
    <cellStyle name="Normal 33 2 5 2" xfId="27883"/>
    <cellStyle name="Normal 33 2 6" xfId="27884"/>
    <cellStyle name="Normal 33 2 6 2" xfId="27885"/>
    <cellStyle name="Normal 33 2 7" xfId="27886"/>
    <cellStyle name="Normal 33 2 7 2" xfId="27887"/>
    <cellStyle name="Normal 33 2 8" xfId="27888"/>
    <cellStyle name="Normal 33 2 8 2" xfId="27889"/>
    <cellStyle name="Normal 33 2 9" xfId="27890"/>
    <cellStyle name="Normal 33 2 9 2" xfId="27891"/>
    <cellStyle name="Normal 33 3" xfId="27892"/>
    <cellStyle name="Normal 33 3 2" xfId="27893"/>
    <cellStyle name="Normal 33 4" xfId="27894"/>
    <cellStyle name="Normal 33 4 2" xfId="27895"/>
    <cellStyle name="Normal 33 5" xfId="27896"/>
    <cellStyle name="Normal 33 5 2" xfId="27897"/>
    <cellStyle name="Normal 33 6" xfId="27898"/>
    <cellStyle name="Normal 33 6 2" xfId="27899"/>
    <cellStyle name="Normal 33 7" xfId="27900"/>
    <cellStyle name="Normal 33 7 2" xfId="27901"/>
    <cellStyle name="Normal 33 8" xfId="27902"/>
    <cellStyle name="Normal 33 8 2" xfId="27903"/>
    <cellStyle name="Normal 33 9" xfId="27904"/>
    <cellStyle name="Normal 33 9 2" xfId="27905"/>
    <cellStyle name="Normal 34" xfId="27906"/>
    <cellStyle name="Normal 34 2" xfId="27907"/>
    <cellStyle name="Normal 35" xfId="27908"/>
    <cellStyle name="Normal 35 10" xfId="27909"/>
    <cellStyle name="Normal 35 10 2" xfId="27910"/>
    <cellStyle name="Normal 35 11" xfId="27911"/>
    <cellStyle name="Normal 35 2" xfId="27912"/>
    <cellStyle name="Normal 35 2 2" xfId="27913"/>
    <cellStyle name="Normal 35 2 3" xfId="27914"/>
    <cellStyle name="Normal 35 3" xfId="27915"/>
    <cellStyle name="Normal 35 3 2" xfId="27916"/>
    <cellStyle name="Normal 35 4" xfId="27917"/>
    <cellStyle name="Normal 35 4 2" xfId="27918"/>
    <cellStyle name="Normal 35 5" xfId="27919"/>
    <cellStyle name="Normal 35 5 2" xfId="27920"/>
    <cellStyle name="Normal 35 6" xfId="27921"/>
    <cellStyle name="Normal 35 6 2" xfId="27922"/>
    <cellStyle name="Normal 35 7" xfId="27923"/>
    <cellStyle name="Normal 35 7 2" xfId="27924"/>
    <cellStyle name="Normal 35 8" xfId="27925"/>
    <cellStyle name="Normal 35 8 2" xfId="27926"/>
    <cellStyle name="Normal 35 9" xfId="27927"/>
    <cellStyle name="Normal 35 9 2" xfId="27928"/>
    <cellStyle name="Normal 36" xfId="27929"/>
    <cellStyle name="Normal 36 10" xfId="27930"/>
    <cellStyle name="Normal 36 11" xfId="27931"/>
    <cellStyle name="Normal 36 12" xfId="27932"/>
    <cellStyle name="Normal 36 2" xfId="27933"/>
    <cellStyle name="Normal 36 3" xfId="27934"/>
    <cellStyle name="Normal 36 4" xfId="27935"/>
    <cellStyle name="Normal 36 5" xfId="27936"/>
    <cellStyle name="Normal 36 6" xfId="27937"/>
    <cellStyle name="Normal 36 7" xfId="27938"/>
    <cellStyle name="Normal 36 8" xfId="27939"/>
    <cellStyle name="Normal 36 9" xfId="27940"/>
    <cellStyle name="Normal 37" xfId="27941"/>
    <cellStyle name="Normal 37 10" xfId="27942"/>
    <cellStyle name="Normal 37 10 2" xfId="27943"/>
    <cellStyle name="Normal 37 11" xfId="27944"/>
    <cellStyle name="Normal 37 12" xfId="27945"/>
    <cellStyle name="Normal 37 2" xfId="27946"/>
    <cellStyle name="Normal 37 2 2" xfId="27947"/>
    <cellStyle name="Normal 37 3" xfId="27948"/>
    <cellStyle name="Normal 37 3 2" xfId="27949"/>
    <cellStyle name="Normal 37 4" xfId="27950"/>
    <cellStyle name="Normal 37 4 2" xfId="27951"/>
    <cellStyle name="Normal 37 5" xfId="27952"/>
    <cellStyle name="Normal 37 5 2" xfId="27953"/>
    <cellStyle name="Normal 37 6" xfId="27954"/>
    <cellStyle name="Normal 37 6 2" xfId="27955"/>
    <cellStyle name="Normal 37 7" xfId="27956"/>
    <cellStyle name="Normal 37 7 2" xfId="27957"/>
    <cellStyle name="Normal 37 8" xfId="27958"/>
    <cellStyle name="Normal 37 8 2" xfId="27959"/>
    <cellStyle name="Normal 37 9" xfId="27960"/>
    <cellStyle name="Normal 37 9 2" xfId="27961"/>
    <cellStyle name="Normal 38" xfId="27962"/>
    <cellStyle name="Normal 38 10" xfId="27963"/>
    <cellStyle name="Normal 38 10 2" xfId="27964"/>
    <cellStyle name="Normal 38 11" xfId="27965"/>
    <cellStyle name="Normal 38 12" xfId="27966"/>
    <cellStyle name="Normal 38 2" xfId="27967"/>
    <cellStyle name="Normal 38 2 2" xfId="27968"/>
    <cellStyle name="Normal 38 3" xfId="27969"/>
    <cellStyle name="Normal 38 3 2" xfId="27970"/>
    <cellStyle name="Normal 38 4" xfId="27971"/>
    <cellStyle name="Normal 38 4 2" xfId="27972"/>
    <cellStyle name="Normal 38 5" xfId="27973"/>
    <cellStyle name="Normal 38 5 2" xfId="27974"/>
    <cellStyle name="Normal 38 6" xfId="27975"/>
    <cellStyle name="Normal 38 6 2" xfId="27976"/>
    <cellStyle name="Normal 38 7" xfId="27977"/>
    <cellStyle name="Normal 38 7 2" xfId="27978"/>
    <cellStyle name="Normal 38 8" xfId="27979"/>
    <cellStyle name="Normal 38 8 2" xfId="27980"/>
    <cellStyle name="Normal 38 9" xfId="27981"/>
    <cellStyle name="Normal 38 9 2" xfId="27982"/>
    <cellStyle name="Normal 39" xfId="27983"/>
    <cellStyle name="Normal 39 2" xfId="27984"/>
    <cellStyle name="Normal 4" xfId="27985"/>
    <cellStyle name="Normal 4 10" xfId="27986"/>
    <cellStyle name="Normal 4 10 2" xfId="27987"/>
    <cellStyle name="Normal 4 11" xfId="27988"/>
    <cellStyle name="Normal 4 11 2" xfId="27989"/>
    <cellStyle name="Normal 4 12" xfId="27990"/>
    <cellStyle name="Normal 4 12 2" xfId="27991"/>
    <cellStyle name="Normal 4 13" xfId="27992"/>
    <cellStyle name="Normal 4 13 2" xfId="27993"/>
    <cellStyle name="Normal 4 14" xfId="27994"/>
    <cellStyle name="Normal 4 14 2" xfId="27995"/>
    <cellStyle name="Normal 4 15" xfId="27996"/>
    <cellStyle name="Normal 4 15 2" xfId="27997"/>
    <cellStyle name="Normal 4 16" xfId="27998"/>
    <cellStyle name="Normal 4 16 2" xfId="27999"/>
    <cellStyle name="Normal 4 17" xfId="28000"/>
    <cellStyle name="Normal 4 17 2" xfId="28001"/>
    <cellStyle name="Normal 4 18" xfId="28002"/>
    <cellStyle name="Normal 4 18 2" xfId="28003"/>
    <cellStyle name="Normal 4 19" xfId="28004"/>
    <cellStyle name="Normal 4 2" xfId="28005"/>
    <cellStyle name="Normal 4 2 10" xfId="28006"/>
    <cellStyle name="Normal 4 2 10 2" xfId="28007"/>
    <cellStyle name="Normal 4 2 11" xfId="28008"/>
    <cellStyle name="Normal 4 2 11 2" xfId="28009"/>
    <cellStyle name="Normal 4 2 12" xfId="28010"/>
    <cellStyle name="Normal 4 2 12 2" xfId="28011"/>
    <cellStyle name="Normal 4 2 13" xfId="28012"/>
    <cellStyle name="Normal 4 2 13 2" xfId="28013"/>
    <cellStyle name="Normal 4 2 14" xfId="28014"/>
    <cellStyle name="Normal 4 2 14 2" xfId="28015"/>
    <cellStyle name="Normal 4 2 15" xfId="28016"/>
    <cellStyle name="Normal 4 2 15 2" xfId="28017"/>
    <cellStyle name="Normal 4 2 16" xfId="28018"/>
    <cellStyle name="Normal 4 2 16 2" xfId="28019"/>
    <cellStyle name="Normal 4 2 17" xfId="28020"/>
    <cellStyle name="Normal 4 2 18" xfId="28021"/>
    <cellStyle name="Normal 4 2 19" xfId="28022"/>
    <cellStyle name="Normal 4 2 2" xfId="28023"/>
    <cellStyle name="Normal 4 2 2 10" xfId="28024"/>
    <cellStyle name="Normal 4 2 2 10 2" xfId="28025"/>
    <cellStyle name="Normal 4 2 2 11" xfId="28026"/>
    <cellStyle name="Normal 4 2 2 11 2" xfId="28027"/>
    <cellStyle name="Normal 4 2 2 12" xfId="28028"/>
    <cellStyle name="Normal 4 2 2 12 2" xfId="28029"/>
    <cellStyle name="Normal 4 2 2 13" xfId="28030"/>
    <cellStyle name="Normal 4 2 2 2" xfId="28031"/>
    <cellStyle name="Normal 4 2 2 2 10" xfId="28032"/>
    <cellStyle name="Normal 4 2 2 2 10 2" xfId="28033"/>
    <cellStyle name="Normal 4 2 2 2 11" xfId="28034"/>
    <cellStyle name="Normal 4 2 2 2 11 2" xfId="28035"/>
    <cellStyle name="Normal 4 2 2 2 12" xfId="28036"/>
    <cellStyle name="Normal 4 2 2 2 2" xfId="28037"/>
    <cellStyle name="Normal 4 2 2 2 2 10" xfId="28038"/>
    <cellStyle name="Normal 4 2 2 2 2 10 2" xfId="28039"/>
    <cellStyle name="Normal 4 2 2 2 2 11" xfId="28040"/>
    <cellStyle name="Normal 4 2 2 2 2 2" xfId="28041"/>
    <cellStyle name="Normal 4 2 2 2 2 2 2" xfId="28042"/>
    <cellStyle name="Normal 4 2 2 2 2 3" xfId="28043"/>
    <cellStyle name="Normal 4 2 2 2 2 3 2" xfId="28044"/>
    <cellStyle name="Normal 4 2 2 2 2 4" xfId="28045"/>
    <cellStyle name="Normal 4 2 2 2 2 4 2" xfId="28046"/>
    <cellStyle name="Normal 4 2 2 2 2 5" xfId="28047"/>
    <cellStyle name="Normal 4 2 2 2 2 5 2" xfId="28048"/>
    <cellStyle name="Normal 4 2 2 2 2 6" xfId="28049"/>
    <cellStyle name="Normal 4 2 2 2 2 6 2" xfId="28050"/>
    <cellStyle name="Normal 4 2 2 2 2 7" xfId="28051"/>
    <cellStyle name="Normal 4 2 2 2 2 7 2" xfId="28052"/>
    <cellStyle name="Normal 4 2 2 2 2 8" xfId="28053"/>
    <cellStyle name="Normal 4 2 2 2 2 8 2" xfId="28054"/>
    <cellStyle name="Normal 4 2 2 2 2 9" xfId="28055"/>
    <cellStyle name="Normal 4 2 2 2 2 9 2" xfId="28056"/>
    <cellStyle name="Normal 4 2 2 2 3" xfId="28057"/>
    <cellStyle name="Normal 4 2 2 2 3 2" xfId="28058"/>
    <cellStyle name="Normal 4 2 2 2 4" xfId="28059"/>
    <cellStyle name="Normal 4 2 2 2 4 2" xfId="28060"/>
    <cellStyle name="Normal 4 2 2 2 5" xfId="28061"/>
    <cellStyle name="Normal 4 2 2 2 5 2" xfId="28062"/>
    <cellStyle name="Normal 4 2 2 2 6" xfId="28063"/>
    <cellStyle name="Normal 4 2 2 2 6 2" xfId="28064"/>
    <cellStyle name="Normal 4 2 2 2 7" xfId="28065"/>
    <cellStyle name="Normal 4 2 2 2 7 2" xfId="28066"/>
    <cellStyle name="Normal 4 2 2 2 8" xfId="28067"/>
    <cellStyle name="Normal 4 2 2 2 8 2" xfId="28068"/>
    <cellStyle name="Normal 4 2 2 2 9" xfId="28069"/>
    <cellStyle name="Normal 4 2 2 2 9 2" xfId="28070"/>
    <cellStyle name="Normal 4 2 2 3" xfId="28071"/>
    <cellStyle name="Normal 4 2 2 3 10" xfId="28072"/>
    <cellStyle name="Normal 4 2 2 3 10 2" xfId="28073"/>
    <cellStyle name="Normal 4 2 2 3 11" xfId="28074"/>
    <cellStyle name="Normal 4 2 2 3 2" xfId="28075"/>
    <cellStyle name="Normal 4 2 2 3 2 2" xfId="28076"/>
    <cellStyle name="Normal 4 2 2 3 3" xfId="28077"/>
    <cellStyle name="Normal 4 2 2 3 3 2" xfId="28078"/>
    <cellStyle name="Normal 4 2 2 3 4" xfId="28079"/>
    <cellStyle name="Normal 4 2 2 3 4 2" xfId="28080"/>
    <cellStyle name="Normal 4 2 2 3 5" xfId="28081"/>
    <cellStyle name="Normal 4 2 2 3 5 2" xfId="28082"/>
    <cellStyle name="Normal 4 2 2 3 6" xfId="28083"/>
    <cellStyle name="Normal 4 2 2 3 6 2" xfId="28084"/>
    <cellStyle name="Normal 4 2 2 3 7" xfId="28085"/>
    <cellStyle name="Normal 4 2 2 3 7 2" xfId="28086"/>
    <cellStyle name="Normal 4 2 2 3 8" xfId="28087"/>
    <cellStyle name="Normal 4 2 2 3 8 2" xfId="28088"/>
    <cellStyle name="Normal 4 2 2 3 9" xfId="28089"/>
    <cellStyle name="Normal 4 2 2 3 9 2" xfId="28090"/>
    <cellStyle name="Normal 4 2 2 4" xfId="28091"/>
    <cellStyle name="Normal 4 2 2 4 2" xfId="28092"/>
    <cellStyle name="Normal 4 2 2 5" xfId="28093"/>
    <cellStyle name="Normal 4 2 2 5 2" xfId="28094"/>
    <cellStyle name="Normal 4 2 2 6" xfId="28095"/>
    <cellStyle name="Normal 4 2 2 6 2" xfId="28096"/>
    <cellStyle name="Normal 4 2 2 7" xfId="28097"/>
    <cellStyle name="Normal 4 2 2 7 2" xfId="28098"/>
    <cellStyle name="Normal 4 2 2 8" xfId="28099"/>
    <cellStyle name="Normal 4 2 2 8 2" xfId="28100"/>
    <cellStyle name="Normal 4 2 2 9" xfId="28101"/>
    <cellStyle name="Normal 4 2 2 9 2" xfId="28102"/>
    <cellStyle name="Normal 4 2 20" xfId="28103"/>
    <cellStyle name="Normal 4 2 3" xfId="28104"/>
    <cellStyle name="Normal 4 2 3 10" xfId="28105"/>
    <cellStyle name="Normal 4 2 3 10 2" xfId="28106"/>
    <cellStyle name="Normal 4 2 3 11" xfId="28107"/>
    <cellStyle name="Normal 4 2 3 11 2" xfId="28108"/>
    <cellStyle name="Normal 4 2 3 12" xfId="28109"/>
    <cellStyle name="Normal 4 2 3 12 2" xfId="28110"/>
    <cellStyle name="Normal 4 2 3 13" xfId="28111"/>
    <cellStyle name="Normal 4 2 3 2" xfId="28112"/>
    <cellStyle name="Normal 4 2 3 2 10" xfId="28113"/>
    <cellStyle name="Normal 4 2 3 2 10 2" xfId="28114"/>
    <cellStyle name="Normal 4 2 3 2 11" xfId="28115"/>
    <cellStyle name="Normal 4 2 3 2 11 2" xfId="28116"/>
    <cellStyle name="Normal 4 2 3 2 12" xfId="28117"/>
    <cellStyle name="Normal 4 2 3 2 2" xfId="28118"/>
    <cellStyle name="Normal 4 2 3 2 2 10" xfId="28119"/>
    <cellStyle name="Normal 4 2 3 2 2 10 2" xfId="28120"/>
    <cellStyle name="Normal 4 2 3 2 2 11" xfId="28121"/>
    <cellStyle name="Normal 4 2 3 2 2 2" xfId="28122"/>
    <cellStyle name="Normal 4 2 3 2 2 2 2" xfId="28123"/>
    <cellStyle name="Normal 4 2 3 2 2 3" xfId="28124"/>
    <cellStyle name="Normal 4 2 3 2 2 3 2" xfId="28125"/>
    <cellStyle name="Normal 4 2 3 2 2 4" xfId="28126"/>
    <cellStyle name="Normal 4 2 3 2 2 4 2" xfId="28127"/>
    <cellStyle name="Normal 4 2 3 2 2 5" xfId="28128"/>
    <cellStyle name="Normal 4 2 3 2 2 5 2" xfId="28129"/>
    <cellStyle name="Normal 4 2 3 2 2 6" xfId="28130"/>
    <cellStyle name="Normal 4 2 3 2 2 6 2" xfId="28131"/>
    <cellStyle name="Normal 4 2 3 2 2 7" xfId="28132"/>
    <cellStyle name="Normal 4 2 3 2 2 7 2" xfId="28133"/>
    <cellStyle name="Normal 4 2 3 2 2 8" xfId="28134"/>
    <cellStyle name="Normal 4 2 3 2 2 8 2" xfId="28135"/>
    <cellStyle name="Normal 4 2 3 2 2 9" xfId="28136"/>
    <cellStyle name="Normal 4 2 3 2 2 9 2" xfId="28137"/>
    <cellStyle name="Normal 4 2 3 2 3" xfId="28138"/>
    <cellStyle name="Normal 4 2 3 2 3 2" xfId="28139"/>
    <cellStyle name="Normal 4 2 3 2 4" xfId="28140"/>
    <cellStyle name="Normal 4 2 3 2 4 2" xfId="28141"/>
    <cellStyle name="Normal 4 2 3 2 5" xfId="28142"/>
    <cellStyle name="Normal 4 2 3 2 5 2" xfId="28143"/>
    <cellStyle name="Normal 4 2 3 2 6" xfId="28144"/>
    <cellStyle name="Normal 4 2 3 2 6 2" xfId="28145"/>
    <cellStyle name="Normal 4 2 3 2 7" xfId="28146"/>
    <cellStyle name="Normal 4 2 3 2 7 2" xfId="28147"/>
    <cellStyle name="Normal 4 2 3 2 8" xfId="28148"/>
    <cellStyle name="Normal 4 2 3 2 8 2" xfId="28149"/>
    <cellStyle name="Normal 4 2 3 2 9" xfId="28150"/>
    <cellStyle name="Normal 4 2 3 2 9 2" xfId="28151"/>
    <cellStyle name="Normal 4 2 3 3" xfId="28152"/>
    <cellStyle name="Normal 4 2 3 3 10" xfId="28153"/>
    <cellStyle name="Normal 4 2 3 3 10 2" xfId="28154"/>
    <cellStyle name="Normal 4 2 3 3 11" xfId="28155"/>
    <cellStyle name="Normal 4 2 3 3 2" xfId="28156"/>
    <cellStyle name="Normal 4 2 3 3 2 2" xfId="28157"/>
    <cellStyle name="Normal 4 2 3 3 3" xfId="28158"/>
    <cellStyle name="Normal 4 2 3 3 3 2" xfId="28159"/>
    <cellStyle name="Normal 4 2 3 3 4" xfId="28160"/>
    <cellStyle name="Normal 4 2 3 3 4 2" xfId="28161"/>
    <cellStyle name="Normal 4 2 3 3 5" xfId="28162"/>
    <cellStyle name="Normal 4 2 3 3 5 2" xfId="28163"/>
    <cellStyle name="Normal 4 2 3 3 6" xfId="28164"/>
    <cellStyle name="Normal 4 2 3 3 6 2" xfId="28165"/>
    <cellStyle name="Normal 4 2 3 3 7" xfId="28166"/>
    <cellStyle name="Normal 4 2 3 3 7 2" xfId="28167"/>
    <cellStyle name="Normal 4 2 3 3 8" xfId="28168"/>
    <cellStyle name="Normal 4 2 3 3 8 2" xfId="28169"/>
    <cellStyle name="Normal 4 2 3 3 9" xfId="28170"/>
    <cellStyle name="Normal 4 2 3 3 9 2" xfId="28171"/>
    <cellStyle name="Normal 4 2 3 4" xfId="28172"/>
    <cellStyle name="Normal 4 2 3 4 2" xfId="28173"/>
    <cellStyle name="Normal 4 2 3 5" xfId="28174"/>
    <cellStyle name="Normal 4 2 3 5 2" xfId="28175"/>
    <cellStyle name="Normal 4 2 3 6" xfId="28176"/>
    <cellStyle name="Normal 4 2 3 6 2" xfId="28177"/>
    <cellStyle name="Normal 4 2 3 7" xfId="28178"/>
    <cellStyle name="Normal 4 2 3 7 2" xfId="28179"/>
    <cellStyle name="Normal 4 2 3 8" xfId="28180"/>
    <cellStyle name="Normal 4 2 3 8 2" xfId="28181"/>
    <cellStyle name="Normal 4 2 3 9" xfId="28182"/>
    <cellStyle name="Normal 4 2 3 9 2" xfId="28183"/>
    <cellStyle name="Normal 4 2 4" xfId="28184"/>
    <cellStyle name="Normal 4 2 4 10" xfId="28185"/>
    <cellStyle name="Normal 4 2 4 10 2" xfId="28186"/>
    <cellStyle name="Normal 4 2 4 11" xfId="28187"/>
    <cellStyle name="Normal 4 2 4 11 2" xfId="28188"/>
    <cellStyle name="Normal 4 2 4 12" xfId="28189"/>
    <cellStyle name="Normal 4 2 4 12 2" xfId="28190"/>
    <cellStyle name="Normal 4 2 4 13" xfId="28191"/>
    <cellStyle name="Normal 4 2 4 2" xfId="28192"/>
    <cellStyle name="Normal 4 2 4 2 10" xfId="28193"/>
    <cellStyle name="Normal 4 2 4 2 10 2" xfId="28194"/>
    <cellStyle name="Normal 4 2 4 2 11" xfId="28195"/>
    <cellStyle name="Normal 4 2 4 2 11 2" xfId="28196"/>
    <cellStyle name="Normal 4 2 4 2 12" xfId="28197"/>
    <cellStyle name="Normal 4 2 4 2 2" xfId="28198"/>
    <cellStyle name="Normal 4 2 4 2 2 10" xfId="28199"/>
    <cellStyle name="Normal 4 2 4 2 2 10 2" xfId="28200"/>
    <cellStyle name="Normal 4 2 4 2 2 11" xfId="28201"/>
    <cellStyle name="Normal 4 2 4 2 2 2" xfId="28202"/>
    <cellStyle name="Normal 4 2 4 2 2 2 2" xfId="28203"/>
    <cellStyle name="Normal 4 2 4 2 2 3" xfId="28204"/>
    <cellStyle name="Normal 4 2 4 2 2 3 2" xfId="28205"/>
    <cellStyle name="Normal 4 2 4 2 2 4" xfId="28206"/>
    <cellStyle name="Normal 4 2 4 2 2 4 2" xfId="28207"/>
    <cellStyle name="Normal 4 2 4 2 2 5" xfId="28208"/>
    <cellStyle name="Normal 4 2 4 2 2 5 2" xfId="28209"/>
    <cellStyle name="Normal 4 2 4 2 2 6" xfId="28210"/>
    <cellStyle name="Normal 4 2 4 2 2 6 2" xfId="28211"/>
    <cellStyle name="Normal 4 2 4 2 2 7" xfId="28212"/>
    <cellStyle name="Normal 4 2 4 2 2 7 2" xfId="28213"/>
    <cellStyle name="Normal 4 2 4 2 2 8" xfId="28214"/>
    <cellStyle name="Normal 4 2 4 2 2 8 2" xfId="28215"/>
    <cellStyle name="Normal 4 2 4 2 2 9" xfId="28216"/>
    <cellStyle name="Normal 4 2 4 2 2 9 2" xfId="28217"/>
    <cellStyle name="Normal 4 2 4 2 3" xfId="28218"/>
    <cellStyle name="Normal 4 2 4 2 3 2" xfId="28219"/>
    <cellStyle name="Normal 4 2 4 2 4" xfId="28220"/>
    <cellStyle name="Normal 4 2 4 2 4 2" xfId="28221"/>
    <cellStyle name="Normal 4 2 4 2 5" xfId="28222"/>
    <cellStyle name="Normal 4 2 4 2 5 2" xfId="28223"/>
    <cellStyle name="Normal 4 2 4 2 6" xfId="28224"/>
    <cellStyle name="Normal 4 2 4 2 6 2" xfId="28225"/>
    <cellStyle name="Normal 4 2 4 2 7" xfId="28226"/>
    <cellStyle name="Normal 4 2 4 2 7 2" xfId="28227"/>
    <cellStyle name="Normal 4 2 4 2 8" xfId="28228"/>
    <cellStyle name="Normal 4 2 4 2 8 2" xfId="28229"/>
    <cellStyle name="Normal 4 2 4 2 9" xfId="28230"/>
    <cellStyle name="Normal 4 2 4 2 9 2" xfId="28231"/>
    <cellStyle name="Normal 4 2 4 3" xfId="28232"/>
    <cellStyle name="Normal 4 2 4 3 10" xfId="28233"/>
    <cellStyle name="Normal 4 2 4 3 10 2" xfId="28234"/>
    <cellStyle name="Normal 4 2 4 3 11" xfId="28235"/>
    <cellStyle name="Normal 4 2 4 3 2" xfId="28236"/>
    <cellStyle name="Normal 4 2 4 3 2 2" xfId="28237"/>
    <cellStyle name="Normal 4 2 4 3 3" xfId="28238"/>
    <cellStyle name="Normal 4 2 4 3 3 2" xfId="28239"/>
    <cellStyle name="Normal 4 2 4 3 4" xfId="28240"/>
    <cellStyle name="Normal 4 2 4 3 4 2" xfId="28241"/>
    <cellStyle name="Normal 4 2 4 3 5" xfId="28242"/>
    <cellStyle name="Normal 4 2 4 3 5 2" xfId="28243"/>
    <cellStyle name="Normal 4 2 4 3 6" xfId="28244"/>
    <cellStyle name="Normal 4 2 4 3 6 2" xfId="28245"/>
    <cellStyle name="Normal 4 2 4 3 7" xfId="28246"/>
    <cellStyle name="Normal 4 2 4 3 7 2" xfId="28247"/>
    <cellStyle name="Normal 4 2 4 3 8" xfId="28248"/>
    <cellStyle name="Normal 4 2 4 3 8 2" xfId="28249"/>
    <cellStyle name="Normal 4 2 4 3 9" xfId="28250"/>
    <cellStyle name="Normal 4 2 4 3 9 2" xfId="28251"/>
    <cellStyle name="Normal 4 2 4 4" xfId="28252"/>
    <cellStyle name="Normal 4 2 4 4 2" xfId="28253"/>
    <cellStyle name="Normal 4 2 4 5" xfId="28254"/>
    <cellStyle name="Normal 4 2 4 5 2" xfId="28255"/>
    <cellStyle name="Normal 4 2 4 6" xfId="28256"/>
    <cellStyle name="Normal 4 2 4 6 2" xfId="28257"/>
    <cellStyle name="Normal 4 2 4 7" xfId="28258"/>
    <cellStyle name="Normal 4 2 4 7 2" xfId="28259"/>
    <cellStyle name="Normal 4 2 4 8" xfId="28260"/>
    <cellStyle name="Normal 4 2 4 8 2" xfId="28261"/>
    <cellStyle name="Normal 4 2 4 9" xfId="28262"/>
    <cellStyle name="Normal 4 2 4 9 2" xfId="28263"/>
    <cellStyle name="Normal 4 2 5" xfId="28264"/>
    <cellStyle name="Normal 4 2 5 10" xfId="28265"/>
    <cellStyle name="Normal 4 2 5 10 2" xfId="28266"/>
    <cellStyle name="Normal 4 2 5 11" xfId="28267"/>
    <cellStyle name="Normal 4 2 5 11 2" xfId="28268"/>
    <cellStyle name="Normal 4 2 5 12" xfId="28269"/>
    <cellStyle name="Normal 4 2 5 12 2" xfId="28270"/>
    <cellStyle name="Normal 4 2 5 13" xfId="28271"/>
    <cellStyle name="Normal 4 2 5 2" xfId="28272"/>
    <cellStyle name="Normal 4 2 5 2 10" xfId="28273"/>
    <cellStyle name="Normal 4 2 5 2 10 2" xfId="28274"/>
    <cellStyle name="Normal 4 2 5 2 11" xfId="28275"/>
    <cellStyle name="Normal 4 2 5 2 11 2" xfId="28276"/>
    <cellStyle name="Normal 4 2 5 2 12" xfId="28277"/>
    <cellStyle name="Normal 4 2 5 2 2" xfId="28278"/>
    <cellStyle name="Normal 4 2 5 2 2 10" xfId="28279"/>
    <cellStyle name="Normal 4 2 5 2 2 10 2" xfId="28280"/>
    <cellStyle name="Normal 4 2 5 2 2 11" xfId="28281"/>
    <cellStyle name="Normal 4 2 5 2 2 2" xfId="28282"/>
    <cellStyle name="Normal 4 2 5 2 2 2 2" xfId="28283"/>
    <cellStyle name="Normal 4 2 5 2 2 3" xfId="28284"/>
    <cellStyle name="Normal 4 2 5 2 2 3 2" xfId="28285"/>
    <cellStyle name="Normal 4 2 5 2 2 4" xfId="28286"/>
    <cellStyle name="Normal 4 2 5 2 2 4 2" xfId="28287"/>
    <cellStyle name="Normal 4 2 5 2 2 5" xfId="28288"/>
    <cellStyle name="Normal 4 2 5 2 2 5 2" xfId="28289"/>
    <cellStyle name="Normal 4 2 5 2 2 6" xfId="28290"/>
    <cellStyle name="Normal 4 2 5 2 2 6 2" xfId="28291"/>
    <cellStyle name="Normal 4 2 5 2 2 7" xfId="28292"/>
    <cellStyle name="Normal 4 2 5 2 2 7 2" xfId="28293"/>
    <cellStyle name="Normal 4 2 5 2 2 8" xfId="28294"/>
    <cellStyle name="Normal 4 2 5 2 2 8 2" xfId="28295"/>
    <cellStyle name="Normal 4 2 5 2 2 9" xfId="28296"/>
    <cellStyle name="Normal 4 2 5 2 2 9 2" xfId="28297"/>
    <cellStyle name="Normal 4 2 5 2 3" xfId="28298"/>
    <cellStyle name="Normal 4 2 5 2 3 2" xfId="28299"/>
    <cellStyle name="Normal 4 2 5 2 4" xfId="28300"/>
    <cellStyle name="Normal 4 2 5 2 4 2" xfId="28301"/>
    <cellStyle name="Normal 4 2 5 2 5" xfId="28302"/>
    <cellStyle name="Normal 4 2 5 2 5 2" xfId="28303"/>
    <cellStyle name="Normal 4 2 5 2 6" xfId="28304"/>
    <cellStyle name="Normal 4 2 5 2 6 2" xfId="28305"/>
    <cellStyle name="Normal 4 2 5 2 7" xfId="28306"/>
    <cellStyle name="Normal 4 2 5 2 7 2" xfId="28307"/>
    <cellStyle name="Normal 4 2 5 2 8" xfId="28308"/>
    <cellStyle name="Normal 4 2 5 2 8 2" xfId="28309"/>
    <cellStyle name="Normal 4 2 5 2 9" xfId="28310"/>
    <cellStyle name="Normal 4 2 5 2 9 2" xfId="28311"/>
    <cellStyle name="Normal 4 2 5 3" xfId="28312"/>
    <cellStyle name="Normal 4 2 5 3 10" xfId="28313"/>
    <cellStyle name="Normal 4 2 5 3 10 2" xfId="28314"/>
    <cellStyle name="Normal 4 2 5 3 11" xfId="28315"/>
    <cellStyle name="Normal 4 2 5 3 2" xfId="28316"/>
    <cellStyle name="Normal 4 2 5 3 2 2" xfId="28317"/>
    <cellStyle name="Normal 4 2 5 3 3" xfId="28318"/>
    <cellStyle name="Normal 4 2 5 3 3 2" xfId="28319"/>
    <cellStyle name="Normal 4 2 5 3 4" xfId="28320"/>
    <cellStyle name="Normal 4 2 5 3 4 2" xfId="28321"/>
    <cellStyle name="Normal 4 2 5 3 5" xfId="28322"/>
    <cellStyle name="Normal 4 2 5 3 5 2" xfId="28323"/>
    <cellStyle name="Normal 4 2 5 3 6" xfId="28324"/>
    <cellStyle name="Normal 4 2 5 3 6 2" xfId="28325"/>
    <cellStyle name="Normal 4 2 5 3 7" xfId="28326"/>
    <cellStyle name="Normal 4 2 5 3 7 2" xfId="28327"/>
    <cellStyle name="Normal 4 2 5 3 8" xfId="28328"/>
    <cellStyle name="Normal 4 2 5 3 8 2" xfId="28329"/>
    <cellStyle name="Normal 4 2 5 3 9" xfId="28330"/>
    <cellStyle name="Normal 4 2 5 3 9 2" xfId="28331"/>
    <cellStyle name="Normal 4 2 5 4" xfId="28332"/>
    <cellStyle name="Normal 4 2 5 4 2" xfId="28333"/>
    <cellStyle name="Normal 4 2 5 5" xfId="28334"/>
    <cellStyle name="Normal 4 2 5 5 2" xfId="28335"/>
    <cellStyle name="Normal 4 2 5 6" xfId="28336"/>
    <cellStyle name="Normal 4 2 5 6 2" xfId="28337"/>
    <cellStyle name="Normal 4 2 5 7" xfId="28338"/>
    <cellStyle name="Normal 4 2 5 7 2" xfId="28339"/>
    <cellStyle name="Normal 4 2 5 8" xfId="28340"/>
    <cellStyle name="Normal 4 2 5 8 2" xfId="28341"/>
    <cellStyle name="Normal 4 2 5 9" xfId="28342"/>
    <cellStyle name="Normal 4 2 5 9 2" xfId="28343"/>
    <cellStyle name="Normal 4 2 6" xfId="28344"/>
    <cellStyle name="Normal 4 2 6 10" xfId="28345"/>
    <cellStyle name="Normal 4 2 6 10 2" xfId="28346"/>
    <cellStyle name="Normal 4 2 6 11" xfId="28347"/>
    <cellStyle name="Normal 4 2 6 11 2" xfId="28348"/>
    <cellStyle name="Normal 4 2 6 12" xfId="28349"/>
    <cellStyle name="Normal 4 2 6 2" xfId="28350"/>
    <cellStyle name="Normal 4 2 6 2 10" xfId="28351"/>
    <cellStyle name="Normal 4 2 6 2 10 2" xfId="28352"/>
    <cellStyle name="Normal 4 2 6 2 11" xfId="28353"/>
    <cellStyle name="Normal 4 2 6 2 2" xfId="28354"/>
    <cellStyle name="Normal 4 2 6 2 2 2" xfId="28355"/>
    <cellStyle name="Normal 4 2 6 2 3" xfId="28356"/>
    <cellStyle name="Normal 4 2 6 2 3 2" xfId="28357"/>
    <cellStyle name="Normal 4 2 6 2 4" xfId="28358"/>
    <cellStyle name="Normal 4 2 6 2 4 2" xfId="28359"/>
    <cellStyle name="Normal 4 2 6 2 5" xfId="28360"/>
    <cellStyle name="Normal 4 2 6 2 5 2" xfId="28361"/>
    <cellStyle name="Normal 4 2 6 2 6" xfId="28362"/>
    <cellStyle name="Normal 4 2 6 2 6 2" xfId="28363"/>
    <cellStyle name="Normal 4 2 6 2 7" xfId="28364"/>
    <cellStyle name="Normal 4 2 6 2 7 2" xfId="28365"/>
    <cellStyle name="Normal 4 2 6 2 8" xfId="28366"/>
    <cellStyle name="Normal 4 2 6 2 8 2" xfId="28367"/>
    <cellStyle name="Normal 4 2 6 2 9" xfId="28368"/>
    <cellStyle name="Normal 4 2 6 2 9 2" xfId="28369"/>
    <cellStyle name="Normal 4 2 6 3" xfId="28370"/>
    <cellStyle name="Normal 4 2 6 3 2" xfId="28371"/>
    <cellStyle name="Normal 4 2 6 4" xfId="28372"/>
    <cellStyle name="Normal 4 2 6 4 2" xfId="28373"/>
    <cellStyle name="Normal 4 2 6 5" xfId="28374"/>
    <cellStyle name="Normal 4 2 6 5 2" xfId="28375"/>
    <cellStyle name="Normal 4 2 6 6" xfId="28376"/>
    <cellStyle name="Normal 4 2 6 6 2" xfId="28377"/>
    <cellStyle name="Normal 4 2 6 7" xfId="28378"/>
    <cellStyle name="Normal 4 2 6 7 2" xfId="28379"/>
    <cellStyle name="Normal 4 2 6 8" xfId="28380"/>
    <cellStyle name="Normal 4 2 6 8 2" xfId="28381"/>
    <cellStyle name="Normal 4 2 6 9" xfId="28382"/>
    <cellStyle name="Normal 4 2 6 9 2" xfId="28383"/>
    <cellStyle name="Normal 4 2 7" xfId="28384"/>
    <cellStyle name="Normal 4 2 7 10" xfId="28385"/>
    <cellStyle name="Normal 4 2 7 10 2" xfId="28386"/>
    <cellStyle name="Normal 4 2 7 11" xfId="28387"/>
    <cellStyle name="Normal 4 2 7 2" xfId="28388"/>
    <cellStyle name="Normal 4 2 7 2 2" xfId="28389"/>
    <cellStyle name="Normal 4 2 7 3" xfId="28390"/>
    <cellStyle name="Normal 4 2 7 3 2" xfId="28391"/>
    <cellStyle name="Normal 4 2 7 4" xfId="28392"/>
    <cellStyle name="Normal 4 2 7 4 2" xfId="28393"/>
    <cellStyle name="Normal 4 2 7 5" xfId="28394"/>
    <cellStyle name="Normal 4 2 7 5 2" xfId="28395"/>
    <cellStyle name="Normal 4 2 7 6" xfId="28396"/>
    <cellStyle name="Normal 4 2 7 6 2" xfId="28397"/>
    <cellStyle name="Normal 4 2 7 7" xfId="28398"/>
    <cellStyle name="Normal 4 2 7 7 2" xfId="28399"/>
    <cellStyle name="Normal 4 2 7 8" xfId="28400"/>
    <cellStyle name="Normal 4 2 7 8 2" xfId="28401"/>
    <cellStyle name="Normal 4 2 7 9" xfId="28402"/>
    <cellStyle name="Normal 4 2 7 9 2" xfId="28403"/>
    <cellStyle name="Normal 4 2 8" xfId="28404"/>
    <cellStyle name="Normal 4 2 8 2" xfId="28405"/>
    <cellStyle name="Normal 4 2 9" xfId="28406"/>
    <cellStyle name="Normal 4 2 9 2" xfId="28407"/>
    <cellStyle name="Normal 4 20" xfId="28408"/>
    <cellStyle name="Normal 4 21" xfId="28409"/>
    <cellStyle name="Normal 4 22" xfId="28410"/>
    <cellStyle name="Normal 4 3" xfId="28411"/>
    <cellStyle name="Normal 4 3 10" xfId="28412"/>
    <cellStyle name="Normal 4 3 10 2" xfId="28413"/>
    <cellStyle name="Normal 4 3 11" xfId="28414"/>
    <cellStyle name="Normal 4 3 11 2" xfId="28415"/>
    <cellStyle name="Normal 4 3 12" xfId="28416"/>
    <cellStyle name="Normal 4 3 12 2" xfId="28417"/>
    <cellStyle name="Normal 4 3 13" xfId="28418"/>
    <cellStyle name="Normal 4 3 2" xfId="28419"/>
    <cellStyle name="Normal 4 3 2 10" xfId="28420"/>
    <cellStyle name="Normal 4 3 2 10 2" xfId="28421"/>
    <cellStyle name="Normal 4 3 2 11" xfId="28422"/>
    <cellStyle name="Normal 4 3 2 11 2" xfId="28423"/>
    <cellStyle name="Normal 4 3 2 12" xfId="28424"/>
    <cellStyle name="Normal 4 3 2 2" xfId="28425"/>
    <cellStyle name="Normal 4 3 2 2 10" xfId="28426"/>
    <cellStyle name="Normal 4 3 2 2 10 2" xfId="28427"/>
    <cellStyle name="Normal 4 3 2 2 11" xfId="28428"/>
    <cellStyle name="Normal 4 3 2 2 2" xfId="28429"/>
    <cellStyle name="Normal 4 3 2 2 2 2" xfId="28430"/>
    <cellStyle name="Normal 4 3 2 2 3" xfId="28431"/>
    <cellStyle name="Normal 4 3 2 2 3 2" xfId="28432"/>
    <cellStyle name="Normal 4 3 2 2 4" xfId="28433"/>
    <cellStyle name="Normal 4 3 2 2 4 2" xfId="28434"/>
    <cellStyle name="Normal 4 3 2 2 5" xfId="28435"/>
    <cellStyle name="Normal 4 3 2 2 5 2" xfId="28436"/>
    <cellStyle name="Normal 4 3 2 2 6" xfId="28437"/>
    <cellStyle name="Normal 4 3 2 2 6 2" xfId="28438"/>
    <cellStyle name="Normal 4 3 2 2 7" xfId="28439"/>
    <cellStyle name="Normal 4 3 2 2 7 2" xfId="28440"/>
    <cellStyle name="Normal 4 3 2 2 8" xfId="28441"/>
    <cellStyle name="Normal 4 3 2 2 8 2" xfId="28442"/>
    <cellStyle name="Normal 4 3 2 2 9" xfId="28443"/>
    <cellStyle name="Normal 4 3 2 2 9 2" xfId="28444"/>
    <cellStyle name="Normal 4 3 2 3" xfId="28445"/>
    <cellStyle name="Normal 4 3 2 3 2" xfId="28446"/>
    <cellStyle name="Normal 4 3 2 4" xfId="28447"/>
    <cellStyle name="Normal 4 3 2 4 2" xfId="28448"/>
    <cellStyle name="Normal 4 3 2 5" xfId="28449"/>
    <cellStyle name="Normal 4 3 2 5 2" xfId="28450"/>
    <cellStyle name="Normal 4 3 2 6" xfId="28451"/>
    <cellStyle name="Normal 4 3 2 6 2" xfId="28452"/>
    <cellStyle name="Normal 4 3 2 7" xfId="28453"/>
    <cellStyle name="Normal 4 3 2 7 2" xfId="28454"/>
    <cellStyle name="Normal 4 3 2 8" xfId="28455"/>
    <cellStyle name="Normal 4 3 2 8 2" xfId="28456"/>
    <cellStyle name="Normal 4 3 2 9" xfId="28457"/>
    <cellStyle name="Normal 4 3 2 9 2" xfId="28458"/>
    <cellStyle name="Normal 4 3 3" xfId="28459"/>
    <cellStyle name="Normal 4 3 3 10" xfId="28460"/>
    <cellStyle name="Normal 4 3 3 10 2" xfId="28461"/>
    <cellStyle name="Normal 4 3 3 11" xfId="28462"/>
    <cellStyle name="Normal 4 3 3 2" xfId="28463"/>
    <cellStyle name="Normal 4 3 3 2 2" xfId="28464"/>
    <cellStyle name="Normal 4 3 3 3" xfId="28465"/>
    <cellStyle name="Normal 4 3 3 3 2" xfId="28466"/>
    <cellStyle name="Normal 4 3 3 4" xfId="28467"/>
    <cellStyle name="Normal 4 3 3 4 2" xfId="28468"/>
    <cellStyle name="Normal 4 3 3 5" xfId="28469"/>
    <cellStyle name="Normal 4 3 3 5 2" xfId="28470"/>
    <cellStyle name="Normal 4 3 3 6" xfId="28471"/>
    <cellStyle name="Normal 4 3 3 6 2" xfId="28472"/>
    <cellStyle name="Normal 4 3 3 7" xfId="28473"/>
    <cellStyle name="Normal 4 3 3 7 2" xfId="28474"/>
    <cellStyle name="Normal 4 3 3 8" xfId="28475"/>
    <cellStyle name="Normal 4 3 3 8 2" xfId="28476"/>
    <cellStyle name="Normal 4 3 3 9" xfId="28477"/>
    <cellStyle name="Normal 4 3 3 9 2" xfId="28478"/>
    <cellStyle name="Normal 4 3 4" xfId="28479"/>
    <cellStyle name="Normal 4 3 4 2" xfId="28480"/>
    <cellStyle name="Normal 4 3 5" xfId="28481"/>
    <cellStyle name="Normal 4 3 5 2" xfId="28482"/>
    <cellStyle name="Normal 4 3 6" xfId="28483"/>
    <cellStyle name="Normal 4 3 6 2" xfId="28484"/>
    <cellStyle name="Normal 4 3 7" xfId="28485"/>
    <cellStyle name="Normal 4 3 7 2" xfId="28486"/>
    <cellStyle name="Normal 4 3 8" xfId="28487"/>
    <cellStyle name="Normal 4 3 8 2" xfId="28488"/>
    <cellStyle name="Normal 4 3 9" xfId="28489"/>
    <cellStyle name="Normal 4 3 9 2" xfId="28490"/>
    <cellStyle name="Normal 4 4" xfId="28491"/>
    <cellStyle name="Normal 4 4 10" xfId="28492"/>
    <cellStyle name="Normal 4 4 10 2" xfId="28493"/>
    <cellStyle name="Normal 4 4 11" xfId="28494"/>
    <cellStyle name="Normal 4 4 11 2" xfId="28495"/>
    <cellStyle name="Normal 4 4 12" xfId="28496"/>
    <cellStyle name="Normal 4 4 12 2" xfId="28497"/>
    <cellStyle name="Normal 4 4 13" xfId="28498"/>
    <cellStyle name="Normal 4 4 2" xfId="28499"/>
    <cellStyle name="Normal 4 4 2 10" xfId="28500"/>
    <cellStyle name="Normal 4 4 2 10 2" xfId="28501"/>
    <cellStyle name="Normal 4 4 2 11" xfId="28502"/>
    <cellStyle name="Normal 4 4 2 11 2" xfId="28503"/>
    <cellStyle name="Normal 4 4 2 12" xfId="28504"/>
    <cellStyle name="Normal 4 4 2 2" xfId="28505"/>
    <cellStyle name="Normal 4 4 2 2 10" xfId="28506"/>
    <cellStyle name="Normal 4 4 2 2 10 2" xfId="28507"/>
    <cellStyle name="Normal 4 4 2 2 11" xfId="28508"/>
    <cellStyle name="Normal 4 4 2 2 2" xfId="28509"/>
    <cellStyle name="Normal 4 4 2 2 2 2" xfId="28510"/>
    <cellStyle name="Normal 4 4 2 2 3" xfId="28511"/>
    <cellStyle name="Normal 4 4 2 2 3 2" xfId="28512"/>
    <cellStyle name="Normal 4 4 2 2 4" xfId="28513"/>
    <cellStyle name="Normal 4 4 2 2 4 2" xfId="28514"/>
    <cellStyle name="Normal 4 4 2 2 5" xfId="28515"/>
    <cellStyle name="Normal 4 4 2 2 5 2" xfId="28516"/>
    <cellStyle name="Normal 4 4 2 2 6" xfId="28517"/>
    <cellStyle name="Normal 4 4 2 2 6 2" xfId="28518"/>
    <cellStyle name="Normal 4 4 2 2 7" xfId="28519"/>
    <cellStyle name="Normal 4 4 2 2 7 2" xfId="28520"/>
    <cellStyle name="Normal 4 4 2 2 8" xfId="28521"/>
    <cellStyle name="Normal 4 4 2 2 8 2" xfId="28522"/>
    <cellStyle name="Normal 4 4 2 2 9" xfId="28523"/>
    <cellStyle name="Normal 4 4 2 2 9 2" xfId="28524"/>
    <cellStyle name="Normal 4 4 2 3" xfId="28525"/>
    <cellStyle name="Normal 4 4 2 3 2" xfId="28526"/>
    <cellStyle name="Normal 4 4 2 4" xfId="28527"/>
    <cellStyle name="Normal 4 4 2 4 2" xfId="28528"/>
    <cellStyle name="Normal 4 4 2 5" xfId="28529"/>
    <cellStyle name="Normal 4 4 2 5 2" xfId="28530"/>
    <cellStyle name="Normal 4 4 2 6" xfId="28531"/>
    <cellStyle name="Normal 4 4 2 6 2" xfId="28532"/>
    <cellStyle name="Normal 4 4 2 7" xfId="28533"/>
    <cellStyle name="Normal 4 4 2 7 2" xfId="28534"/>
    <cellStyle name="Normal 4 4 2 8" xfId="28535"/>
    <cellStyle name="Normal 4 4 2 8 2" xfId="28536"/>
    <cellStyle name="Normal 4 4 2 9" xfId="28537"/>
    <cellStyle name="Normal 4 4 2 9 2" xfId="28538"/>
    <cellStyle name="Normal 4 4 3" xfId="28539"/>
    <cellStyle name="Normal 4 4 3 10" xfId="28540"/>
    <cellStyle name="Normal 4 4 3 10 2" xfId="28541"/>
    <cellStyle name="Normal 4 4 3 11" xfId="28542"/>
    <cellStyle name="Normal 4 4 3 2" xfId="28543"/>
    <cellStyle name="Normal 4 4 3 2 2" xfId="28544"/>
    <cellStyle name="Normal 4 4 3 3" xfId="28545"/>
    <cellStyle name="Normal 4 4 3 3 2" xfId="28546"/>
    <cellStyle name="Normal 4 4 3 4" xfId="28547"/>
    <cellStyle name="Normal 4 4 3 4 2" xfId="28548"/>
    <cellStyle name="Normal 4 4 3 5" xfId="28549"/>
    <cellStyle name="Normal 4 4 3 5 2" xfId="28550"/>
    <cellStyle name="Normal 4 4 3 6" xfId="28551"/>
    <cellStyle name="Normal 4 4 3 6 2" xfId="28552"/>
    <cellStyle name="Normal 4 4 3 7" xfId="28553"/>
    <cellStyle name="Normal 4 4 3 7 2" xfId="28554"/>
    <cellStyle name="Normal 4 4 3 8" xfId="28555"/>
    <cellStyle name="Normal 4 4 3 8 2" xfId="28556"/>
    <cellStyle name="Normal 4 4 3 9" xfId="28557"/>
    <cellStyle name="Normal 4 4 3 9 2" xfId="28558"/>
    <cellStyle name="Normal 4 4 4" xfId="28559"/>
    <cellStyle name="Normal 4 4 4 2" xfId="28560"/>
    <cellStyle name="Normal 4 4 5" xfId="28561"/>
    <cellStyle name="Normal 4 4 5 2" xfId="28562"/>
    <cellStyle name="Normal 4 4 6" xfId="28563"/>
    <cellStyle name="Normal 4 4 6 2" xfId="28564"/>
    <cellStyle name="Normal 4 4 7" xfId="28565"/>
    <cellStyle name="Normal 4 4 7 2" xfId="28566"/>
    <cellStyle name="Normal 4 4 8" xfId="28567"/>
    <cellStyle name="Normal 4 4 8 2" xfId="28568"/>
    <cellStyle name="Normal 4 4 9" xfId="28569"/>
    <cellStyle name="Normal 4 4 9 2" xfId="28570"/>
    <cellStyle name="Normal 4 5" xfId="28571"/>
    <cellStyle name="Normal 4 5 10" xfId="28572"/>
    <cellStyle name="Normal 4 5 10 2" xfId="28573"/>
    <cellStyle name="Normal 4 5 11" xfId="28574"/>
    <cellStyle name="Normal 4 5 11 2" xfId="28575"/>
    <cellStyle name="Normal 4 5 12" xfId="28576"/>
    <cellStyle name="Normal 4 5 12 2" xfId="28577"/>
    <cellStyle name="Normal 4 5 13" xfId="28578"/>
    <cellStyle name="Normal 4 5 2" xfId="28579"/>
    <cellStyle name="Normal 4 5 2 10" xfId="28580"/>
    <cellStyle name="Normal 4 5 2 10 2" xfId="28581"/>
    <cellStyle name="Normal 4 5 2 11" xfId="28582"/>
    <cellStyle name="Normal 4 5 2 11 2" xfId="28583"/>
    <cellStyle name="Normal 4 5 2 12" xfId="28584"/>
    <cellStyle name="Normal 4 5 2 2" xfId="28585"/>
    <cellStyle name="Normal 4 5 2 2 10" xfId="28586"/>
    <cellStyle name="Normal 4 5 2 2 10 2" xfId="28587"/>
    <cellStyle name="Normal 4 5 2 2 11" xfId="28588"/>
    <cellStyle name="Normal 4 5 2 2 2" xfId="28589"/>
    <cellStyle name="Normal 4 5 2 2 2 2" xfId="28590"/>
    <cellStyle name="Normal 4 5 2 2 3" xfId="28591"/>
    <cellStyle name="Normal 4 5 2 2 3 2" xfId="28592"/>
    <cellStyle name="Normal 4 5 2 2 4" xfId="28593"/>
    <cellStyle name="Normal 4 5 2 2 4 2" xfId="28594"/>
    <cellStyle name="Normal 4 5 2 2 5" xfId="28595"/>
    <cellStyle name="Normal 4 5 2 2 5 2" xfId="28596"/>
    <cellStyle name="Normal 4 5 2 2 6" xfId="28597"/>
    <cellStyle name="Normal 4 5 2 2 6 2" xfId="28598"/>
    <cellStyle name="Normal 4 5 2 2 7" xfId="28599"/>
    <cellStyle name="Normal 4 5 2 2 7 2" xfId="28600"/>
    <cellStyle name="Normal 4 5 2 2 8" xfId="28601"/>
    <cellStyle name="Normal 4 5 2 2 8 2" xfId="28602"/>
    <cellStyle name="Normal 4 5 2 2 9" xfId="28603"/>
    <cellStyle name="Normal 4 5 2 2 9 2" xfId="28604"/>
    <cellStyle name="Normal 4 5 2 3" xfId="28605"/>
    <cellStyle name="Normal 4 5 2 3 2" xfId="28606"/>
    <cellStyle name="Normal 4 5 2 4" xfId="28607"/>
    <cellStyle name="Normal 4 5 2 4 2" xfId="28608"/>
    <cellStyle name="Normal 4 5 2 5" xfId="28609"/>
    <cellStyle name="Normal 4 5 2 5 2" xfId="28610"/>
    <cellStyle name="Normal 4 5 2 6" xfId="28611"/>
    <cellStyle name="Normal 4 5 2 6 2" xfId="28612"/>
    <cellStyle name="Normal 4 5 2 7" xfId="28613"/>
    <cellStyle name="Normal 4 5 2 7 2" xfId="28614"/>
    <cellStyle name="Normal 4 5 2 8" xfId="28615"/>
    <cellStyle name="Normal 4 5 2 8 2" xfId="28616"/>
    <cellStyle name="Normal 4 5 2 9" xfId="28617"/>
    <cellStyle name="Normal 4 5 2 9 2" xfId="28618"/>
    <cellStyle name="Normal 4 5 3" xfId="28619"/>
    <cellStyle name="Normal 4 5 3 10" xfId="28620"/>
    <cellStyle name="Normal 4 5 3 10 2" xfId="28621"/>
    <cellStyle name="Normal 4 5 3 11" xfId="28622"/>
    <cellStyle name="Normal 4 5 3 2" xfId="28623"/>
    <cellStyle name="Normal 4 5 3 2 2" xfId="28624"/>
    <cellStyle name="Normal 4 5 3 3" xfId="28625"/>
    <cellStyle name="Normal 4 5 3 3 2" xfId="28626"/>
    <cellStyle name="Normal 4 5 3 4" xfId="28627"/>
    <cellStyle name="Normal 4 5 3 4 2" xfId="28628"/>
    <cellStyle name="Normal 4 5 3 5" xfId="28629"/>
    <cellStyle name="Normal 4 5 3 5 2" xfId="28630"/>
    <cellStyle name="Normal 4 5 3 6" xfId="28631"/>
    <cellStyle name="Normal 4 5 3 6 2" xfId="28632"/>
    <cellStyle name="Normal 4 5 3 7" xfId="28633"/>
    <cellStyle name="Normal 4 5 3 7 2" xfId="28634"/>
    <cellStyle name="Normal 4 5 3 8" xfId="28635"/>
    <cellStyle name="Normal 4 5 3 8 2" xfId="28636"/>
    <cellStyle name="Normal 4 5 3 9" xfId="28637"/>
    <cellStyle name="Normal 4 5 3 9 2" xfId="28638"/>
    <cellStyle name="Normal 4 5 4" xfId="28639"/>
    <cellStyle name="Normal 4 5 4 2" xfId="28640"/>
    <cellStyle name="Normal 4 5 5" xfId="28641"/>
    <cellStyle name="Normal 4 5 5 2" xfId="28642"/>
    <cellStyle name="Normal 4 5 6" xfId="28643"/>
    <cellStyle name="Normal 4 5 6 2" xfId="28644"/>
    <cellStyle name="Normal 4 5 7" xfId="28645"/>
    <cellStyle name="Normal 4 5 7 2" xfId="28646"/>
    <cellStyle name="Normal 4 5 8" xfId="28647"/>
    <cellStyle name="Normal 4 5 8 2" xfId="28648"/>
    <cellStyle name="Normal 4 5 9" xfId="28649"/>
    <cellStyle name="Normal 4 5 9 2" xfId="28650"/>
    <cellStyle name="Normal 4 6" xfId="28651"/>
    <cellStyle name="Normal 4 6 10" xfId="28652"/>
    <cellStyle name="Normal 4 6 10 2" xfId="28653"/>
    <cellStyle name="Normal 4 6 11" xfId="28654"/>
    <cellStyle name="Normal 4 6 11 2" xfId="28655"/>
    <cellStyle name="Normal 4 6 12" xfId="28656"/>
    <cellStyle name="Normal 4 6 12 2" xfId="28657"/>
    <cellStyle name="Normal 4 6 13" xfId="28658"/>
    <cellStyle name="Normal 4 6 2" xfId="28659"/>
    <cellStyle name="Normal 4 6 2 10" xfId="28660"/>
    <cellStyle name="Normal 4 6 2 10 2" xfId="28661"/>
    <cellStyle name="Normal 4 6 2 11" xfId="28662"/>
    <cellStyle name="Normal 4 6 2 11 2" xfId="28663"/>
    <cellStyle name="Normal 4 6 2 12" xfId="28664"/>
    <cellStyle name="Normal 4 6 2 2" xfId="28665"/>
    <cellStyle name="Normal 4 6 2 2 10" xfId="28666"/>
    <cellStyle name="Normal 4 6 2 2 10 2" xfId="28667"/>
    <cellStyle name="Normal 4 6 2 2 11" xfId="28668"/>
    <cellStyle name="Normal 4 6 2 2 2" xfId="28669"/>
    <cellStyle name="Normal 4 6 2 2 2 2" xfId="28670"/>
    <cellStyle name="Normal 4 6 2 2 3" xfId="28671"/>
    <cellStyle name="Normal 4 6 2 2 3 2" xfId="28672"/>
    <cellStyle name="Normal 4 6 2 2 4" xfId="28673"/>
    <cellStyle name="Normal 4 6 2 2 4 2" xfId="28674"/>
    <cellStyle name="Normal 4 6 2 2 5" xfId="28675"/>
    <cellStyle name="Normal 4 6 2 2 5 2" xfId="28676"/>
    <cellStyle name="Normal 4 6 2 2 6" xfId="28677"/>
    <cellStyle name="Normal 4 6 2 2 6 2" xfId="28678"/>
    <cellStyle name="Normal 4 6 2 2 7" xfId="28679"/>
    <cellStyle name="Normal 4 6 2 2 7 2" xfId="28680"/>
    <cellStyle name="Normal 4 6 2 2 8" xfId="28681"/>
    <cellStyle name="Normal 4 6 2 2 8 2" xfId="28682"/>
    <cellStyle name="Normal 4 6 2 2 9" xfId="28683"/>
    <cellStyle name="Normal 4 6 2 2 9 2" xfId="28684"/>
    <cellStyle name="Normal 4 6 2 3" xfId="28685"/>
    <cellStyle name="Normal 4 6 2 3 2" xfId="28686"/>
    <cellStyle name="Normal 4 6 2 4" xfId="28687"/>
    <cellStyle name="Normal 4 6 2 4 2" xfId="28688"/>
    <cellStyle name="Normal 4 6 2 5" xfId="28689"/>
    <cellStyle name="Normal 4 6 2 5 2" xfId="28690"/>
    <cellStyle name="Normal 4 6 2 6" xfId="28691"/>
    <cellStyle name="Normal 4 6 2 6 2" xfId="28692"/>
    <cellStyle name="Normal 4 6 2 7" xfId="28693"/>
    <cellStyle name="Normal 4 6 2 7 2" xfId="28694"/>
    <cellStyle name="Normal 4 6 2 8" xfId="28695"/>
    <cellStyle name="Normal 4 6 2 8 2" xfId="28696"/>
    <cellStyle name="Normal 4 6 2 9" xfId="28697"/>
    <cellStyle name="Normal 4 6 2 9 2" xfId="28698"/>
    <cellStyle name="Normal 4 6 3" xfId="28699"/>
    <cellStyle name="Normal 4 6 3 10" xfId="28700"/>
    <cellStyle name="Normal 4 6 3 10 2" xfId="28701"/>
    <cellStyle name="Normal 4 6 3 11" xfId="28702"/>
    <cellStyle name="Normal 4 6 3 2" xfId="28703"/>
    <cellStyle name="Normal 4 6 3 2 2" xfId="28704"/>
    <cellStyle name="Normal 4 6 3 3" xfId="28705"/>
    <cellStyle name="Normal 4 6 3 3 2" xfId="28706"/>
    <cellStyle name="Normal 4 6 3 4" xfId="28707"/>
    <cellStyle name="Normal 4 6 3 4 2" xfId="28708"/>
    <cellStyle name="Normal 4 6 3 5" xfId="28709"/>
    <cellStyle name="Normal 4 6 3 5 2" xfId="28710"/>
    <cellStyle name="Normal 4 6 3 6" xfId="28711"/>
    <cellStyle name="Normal 4 6 3 6 2" xfId="28712"/>
    <cellStyle name="Normal 4 6 3 7" xfId="28713"/>
    <cellStyle name="Normal 4 6 3 7 2" xfId="28714"/>
    <cellStyle name="Normal 4 6 3 8" xfId="28715"/>
    <cellStyle name="Normal 4 6 3 8 2" xfId="28716"/>
    <cellStyle name="Normal 4 6 3 9" xfId="28717"/>
    <cellStyle name="Normal 4 6 3 9 2" xfId="28718"/>
    <cellStyle name="Normal 4 6 4" xfId="28719"/>
    <cellStyle name="Normal 4 6 4 2" xfId="28720"/>
    <cellStyle name="Normal 4 6 5" xfId="28721"/>
    <cellStyle name="Normal 4 6 5 2" xfId="28722"/>
    <cellStyle name="Normal 4 6 6" xfId="28723"/>
    <cellStyle name="Normal 4 6 6 2" xfId="28724"/>
    <cellStyle name="Normal 4 6 7" xfId="28725"/>
    <cellStyle name="Normal 4 6 7 2" xfId="28726"/>
    <cellStyle name="Normal 4 6 8" xfId="28727"/>
    <cellStyle name="Normal 4 6 8 2" xfId="28728"/>
    <cellStyle name="Normal 4 6 9" xfId="28729"/>
    <cellStyle name="Normal 4 6 9 2" xfId="28730"/>
    <cellStyle name="Normal 4 7" xfId="28731"/>
    <cellStyle name="Normal 4 7 10" xfId="28732"/>
    <cellStyle name="Normal 4 7 10 2" xfId="28733"/>
    <cellStyle name="Normal 4 7 11" xfId="28734"/>
    <cellStyle name="Normal 4 7 11 2" xfId="28735"/>
    <cellStyle name="Normal 4 7 12" xfId="28736"/>
    <cellStyle name="Normal 4 7 2" xfId="28737"/>
    <cellStyle name="Normal 4 7 2 10" xfId="28738"/>
    <cellStyle name="Normal 4 7 2 10 2" xfId="28739"/>
    <cellStyle name="Normal 4 7 2 11" xfId="28740"/>
    <cellStyle name="Normal 4 7 2 2" xfId="28741"/>
    <cellStyle name="Normal 4 7 2 2 2" xfId="28742"/>
    <cellStyle name="Normal 4 7 2 3" xfId="28743"/>
    <cellStyle name="Normal 4 7 2 3 2" xfId="28744"/>
    <cellStyle name="Normal 4 7 2 4" xfId="28745"/>
    <cellStyle name="Normal 4 7 2 4 2" xfId="28746"/>
    <cellStyle name="Normal 4 7 2 5" xfId="28747"/>
    <cellStyle name="Normal 4 7 2 5 2" xfId="28748"/>
    <cellStyle name="Normal 4 7 2 6" xfId="28749"/>
    <cellStyle name="Normal 4 7 2 6 2" xfId="28750"/>
    <cellStyle name="Normal 4 7 2 7" xfId="28751"/>
    <cellStyle name="Normal 4 7 2 7 2" xfId="28752"/>
    <cellStyle name="Normal 4 7 2 8" xfId="28753"/>
    <cellStyle name="Normal 4 7 2 8 2" xfId="28754"/>
    <cellStyle name="Normal 4 7 2 9" xfId="28755"/>
    <cellStyle name="Normal 4 7 2 9 2" xfId="28756"/>
    <cellStyle name="Normal 4 7 3" xfId="28757"/>
    <cellStyle name="Normal 4 7 3 2" xfId="28758"/>
    <cellStyle name="Normal 4 7 4" xfId="28759"/>
    <cellStyle name="Normal 4 7 4 2" xfId="28760"/>
    <cellStyle name="Normal 4 7 5" xfId="28761"/>
    <cellStyle name="Normal 4 7 5 2" xfId="28762"/>
    <cellStyle name="Normal 4 7 6" xfId="28763"/>
    <cellStyle name="Normal 4 7 6 2" xfId="28764"/>
    <cellStyle name="Normal 4 7 7" xfId="28765"/>
    <cellStyle name="Normal 4 7 7 2" xfId="28766"/>
    <cellStyle name="Normal 4 7 8" xfId="28767"/>
    <cellStyle name="Normal 4 7 8 2" xfId="28768"/>
    <cellStyle name="Normal 4 7 9" xfId="28769"/>
    <cellStyle name="Normal 4 7 9 2" xfId="28770"/>
    <cellStyle name="Normal 4 8" xfId="28771"/>
    <cellStyle name="Normal 4 8 10" xfId="28772"/>
    <cellStyle name="Normal 4 8 10 2" xfId="28773"/>
    <cellStyle name="Normal 4 8 11" xfId="28774"/>
    <cellStyle name="Normal 4 8 2" xfId="28775"/>
    <cellStyle name="Normal 4 8 2 2" xfId="28776"/>
    <cellStyle name="Normal 4 8 3" xfId="28777"/>
    <cellStyle name="Normal 4 8 3 2" xfId="28778"/>
    <cellStyle name="Normal 4 8 4" xfId="28779"/>
    <cellStyle name="Normal 4 8 4 2" xfId="28780"/>
    <cellStyle name="Normal 4 8 5" xfId="28781"/>
    <cellStyle name="Normal 4 8 5 2" xfId="28782"/>
    <cellStyle name="Normal 4 8 6" xfId="28783"/>
    <cellStyle name="Normal 4 8 6 2" xfId="28784"/>
    <cellStyle name="Normal 4 8 7" xfId="28785"/>
    <cellStyle name="Normal 4 8 7 2" xfId="28786"/>
    <cellStyle name="Normal 4 8 8" xfId="28787"/>
    <cellStyle name="Normal 4 8 8 2" xfId="28788"/>
    <cellStyle name="Normal 4 8 9" xfId="28789"/>
    <cellStyle name="Normal 4 8 9 2" xfId="28790"/>
    <cellStyle name="Normal 4 9" xfId="28791"/>
    <cellStyle name="Normal 4 9 2" xfId="28792"/>
    <cellStyle name="Normal 40" xfId="28793"/>
    <cellStyle name="Normal 40 10" xfId="28794"/>
    <cellStyle name="Normal 40 10 2" xfId="28795"/>
    <cellStyle name="Normal 40 11" xfId="28796"/>
    <cellStyle name="Normal 40 2" xfId="28797"/>
    <cellStyle name="Normal 40 2 2" xfId="28798"/>
    <cellStyle name="Normal 40 3" xfId="28799"/>
    <cellStyle name="Normal 40 3 2" xfId="28800"/>
    <cellStyle name="Normal 40 4" xfId="28801"/>
    <cellStyle name="Normal 40 4 2" xfId="28802"/>
    <cellStyle name="Normal 40 5" xfId="28803"/>
    <cellStyle name="Normal 40 5 2" xfId="28804"/>
    <cellStyle name="Normal 40 6" xfId="28805"/>
    <cellStyle name="Normal 40 6 2" xfId="28806"/>
    <cellStyle name="Normal 40 7" xfId="28807"/>
    <cellStyle name="Normal 40 7 2" xfId="28808"/>
    <cellStyle name="Normal 40 8" xfId="28809"/>
    <cellStyle name="Normal 40 8 2" xfId="28810"/>
    <cellStyle name="Normal 40 9" xfId="28811"/>
    <cellStyle name="Normal 40 9 2" xfId="28812"/>
    <cellStyle name="Normal 41" xfId="28813"/>
    <cellStyle name="Normal 41 2" xfId="28814"/>
    <cellStyle name="Normal 42" xfId="28815"/>
    <cellStyle name="Normal 42 2" xfId="28816"/>
    <cellStyle name="Normal 43" xfId="28817"/>
    <cellStyle name="Normal 43 2" xfId="28818"/>
    <cellStyle name="Normal 44" xfId="28819"/>
    <cellStyle name="Normal 44 2" xfId="28820"/>
    <cellStyle name="Normal 45" xfId="28821"/>
    <cellStyle name="Normal 45 2" xfId="28822"/>
    <cellStyle name="Normal 46" xfId="28823"/>
    <cellStyle name="Normal 46 2" xfId="28824"/>
    <cellStyle name="Normal 47" xfId="28825"/>
    <cellStyle name="Normal 47 2" xfId="28826"/>
    <cellStyle name="Normal 48" xfId="28827"/>
    <cellStyle name="Normal 48 2" xfId="28828"/>
    <cellStyle name="Normal 49" xfId="28829"/>
    <cellStyle name="Normal 49 2" xfId="28830"/>
    <cellStyle name="Normal 5" xfId="28831"/>
    <cellStyle name="Normal 5 10" xfId="28832"/>
    <cellStyle name="Normal 5 10 10" xfId="28833"/>
    <cellStyle name="Normal 5 10 10 2" xfId="28834"/>
    <cellStyle name="Normal 5 10 11" xfId="28835"/>
    <cellStyle name="Normal 5 10 2" xfId="28836"/>
    <cellStyle name="Normal 5 10 2 2" xfId="28837"/>
    <cellStyle name="Normal 5 10 3" xfId="28838"/>
    <cellStyle name="Normal 5 10 3 2" xfId="28839"/>
    <cellStyle name="Normal 5 10 4" xfId="28840"/>
    <cellStyle name="Normal 5 10 4 2" xfId="28841"/>
    <cellStyle name="Normal 5 10 5" xfId="28842"/>
    <cellStyle name="Normal 5 10 5 2" xfId="28843"/>
    <cellStyle name="Normal 5 10 6" xfId="28844"/>
    <cellStyle name="Normal 5 10 6 2" xfId="28845"/>
    <cellStyle name="Normal 5 10 7" xfId="28846"/>
    <cellStyle name="Normal 5 10 7 2" xfId="28847"/>
    <cellStyle name="Normal 5 10 8" xfId="28848"/>
    <cellStyle name="Normal 5 10 8 2" xfId="28849"/>
    <cellStyle name="Normal 5 10 9" xfId="28850"/>
    <cellStyle name="Normal 5 10 9 2" xfId="28851"/>
    <cellStyle name="Normal 5 11" xfId="28852"/>
    <cellStyle name="Normal 5 11 2" xfId="28853"/>
    <cellStyle name="Normal 5 12" xfId="28854"/>
    <cellStyle name="Normal 5 12 2" xfId="28855"/>
    <cellStyle name="Normal 5 13" xfId="28856"/>
    <cellStyle name="Normal 5 13 2" xfId="28857"/>
    <cellStyle name="Normal 5 14" xfId="28858"/>
    <cellStyle name="Normal 5 14 2" xfId="28859"/>
    <cellStyle name="Normal 5 15" xfId="28860"/>
    <cellStyle name="Normal 5 15 2" xfId="28861"/>
    <cellStyle name="Normal 5 16" xfId="28862"/>
    <cellStyle name="Normal 5 16 2" xfId="28863"/>
    <cellStyle name="Normal 5 17" xfId="28864"/>
    <cellStyle name="Normal 5 17 2" xfId="28865"/>
    <cellStyle name="Normal 5 18" xfId="28866"/>
    <cellStyle name="Normal 5 18 2" xfId="28867"/>
    <cellStyle name="Normal 5 19" xfId="28868"/>
    <cellStyle name="Normal 5 19 2" xfId="28869"/>
    <cellStyle name="Normal 5 2" xfId="28870"/>
    <cellStyle name="Normal 5 2 10" xfId="28871"/>
    <cellStyle name="Normal 5 2 10 2" xfId="28872"/>
    <cellStyle name="Normal 5 2 11" xfId="28873"/>
    <cellStyle name="Normal 5 2 11 2" xfId="28874"/>
    <cellStyle name="Normal 5 2 12" xfId="28875"/>
    <cellStyle name="Normal 5 2 12 2" xfId="28876"/>
    <cellStyle name="Normal 5 2 13" xfId="28877"/>
    <cellStyle name="Normal 5 2 13 2" xfId="28878"/>
    <cellStyle name="Normal 5 2 14" xfId="28879"/>
    <cellStyle name="Normal 5 2 14 2" xfId="28880"/>
    <cellStyle name="Normal 5 2 15" xfId="28881"/>
    <cellStyle name="Normal 5 2 15 2" xfId="28882"/>
    <cellStyle name="Normal 5 2 16" xfId="28883"/>
    <cellStyle name="Normal 5 2 16 2" xfId="28884"/>
    <cellStyle name="Normal 5 2 17" xfId="28885"/>
    <cellStyle name="Normal 5 2 17 2" xfId="28886"/>
    <cellStyle name="Normal 5 2 18" xfId="28887"/>
    <cellStyle name="Normal 5 2 19" xfId="28888"/>
    <cellStyle name="Normal 5 2 2" xfId="28889"/>
    <cellStyle name="Normal 5 2 2 10" xfId="28890"/>
    <cellStyle name="Normal 5 2 2 10 2" xfId="28891"/>
    <cellStyle name="Normal 5 2 2 11" xfId="28892"/>
    <cellStyle name="Normal 5 2 2 11 2" xfId="28893"/>
    <cellStyle name="Normal 5 2 2 12" xfId="28894"/>
    <cellStyle name="Normal 5 2 2 12 2" xfId="28895"/>
    <cellStyle name="Normal 5 2 2 13" xfId="28896"/>
    <cellStyle name="Normal 5 2 2 14" xfId="28897"/>
    <cellStyle name="Normal 5 2 2 2" xfId="28898"/>
    <cellStyle name="Normal 5 2 2 2 10" xfId="28899"/>
    <cellStyle name="Normal 5 2 2 2 10 2" xfId="28900"/>
    <cellStyle name="Normal 5 2 2 2 11" xfId="28901"/>
    <cellStyle name="Normal 5 2 2 2 11 2" xfId="28902"/>
    <cellStyle name="Normal 5 2 2 2 12" xfId="28903"/>
    <cellStyle name="Normal 5 2 2 2 2" xfId="28904"/>
    <cellStyle name="Normal 5 2 2 2 2 10" xfId="28905"/>
    <cellStyle name="Normal 5 2 2 2 2 10 2" xfId="28906"/>
    <cellStyle name="Normal 5 2 2 2 2 11" xfId="28907"/>
    <cellStyle name="Normal 5 2 2 2 2 2" xfId="28908"/>
    <cellStyle name="Normal 5 2 2 2 2 2 2" xfId="28909"/>
    <cellStyle name="Normal 5 2 2 2 2 3" xfId="28910"/>
    <cellStyle name="Normal 5 2 2 2 2 3 2" xfId="28911"/>
    <cellStyle name="Normal 5 2 2 2 2 4" xfId="28912"/>
    <cellStyle name="Normal 5 2 2 2 2 4 2" xfId="28913"/>
    <cellStyle name="Normal 5 2 2 2 2 5" xfId="28914"/>
    <cellStyle name="Normal 5 2 2 2 2 5 2" xfId="28915"/>
    <cellStyle name="Normal 5 2 2 2 2 6" xfId="28916"/>
    <cellStyle name="Normal 5 2 2 2 2 6 2" xfId="28917"/>
    <cellStyle name="Normal 5 2 2 2 2 7" xfId="28918"/>
    <cellStyle name="Normal 5 2 2 2 2 7 2" xfId="28919"/>
    <cellStyle name="Normal 5 2 2 2 2 8" xfId="28920"/>
    <cellStyle name="Normal 5 2 2 2 2 8 2" xfId="28921"/>
    <cellStyle name="Normal 5 2 2 2 2 9" xfId="28922"/>
    <cellStyle name="Normal 5 2 2 2 2 9 2" xfId="28923"/>
    <cellStyle name="Normal 5 2 2 2 3" xfId="28924"/>
    <cellStyle name="Normal 5 2 2 2 3 2" xfId="28925"/>
    <cellStyle name="Normal 5 2 2 2 4" xfId="28926"/>
    <cellStyle name="Normal 5 2 2 2 4 2" xfId="28927"/>
    <cellStyle name="Normal 5 2 2 2 5" xfId="28928"/>
    <cellStyle name="Normal 5 2 2 2 5 2" xfId="28929"/>
    <cellStyle name="Normal 5 2 2 2 6" xfId="28930"/>
    <cellStyle name="Normal 5 2 2 2 6 2" xfId="28931"/>
    <cellStyle name="Normal 5 2 2 2 7" xfId="28932"/>
    <cellStyle name="Normal 5 2 2 2 7 2" xfId="28933"/>
    <cellStyle name="Normal 5 2 2 2 8" xfId="28934"/>
    <cellStyle name="Normal 5 2 2 2 8 2" xfId="28935"/>
    <cellStyle name="Normal 5 2 2 2 9" xfId="28936"/>
    <cellStyle name="Normal 5 2 2 2 9 2" xfId="28937"/>
    <cellStyle name="Normal 5 2 2 3" xfId="28938"/>
    <cellStyle name="Normal 5 2 2 3 10" xfId="28939"/>
    <cellStyle name="Normal 5 2 2 3 10 2" xfId="28940"/>
    <cellStyle name="Normal 5 2 2 3 11" xfId="28941"/>
    <cellStyle name="Normal 5 2 2 3 2" xfId="28942"/>
    <cellStyle name="Normal 5 2 2 3 2 2" xfId="28943"/>
    <cellStyle name="Normal 5 2 2 3 3" xfId="28944"/>
    <cellStyle name="Normal 5 2 2 3 3 2" xfId="28945"/>
    <cellStyle name="Normal 5 2 2 3 4" xfId="28946"/>
    <cellStyle name="Normal 5 2 2 3 4 2" xfId="28947"/>
    <cellStyle name="Normal 5 2 2 3 5" xfId="28948"/>
    <cellStyle name="Normal 5 2 2 3 5 2" xfId="28949"/>
    <cellStyle name="Normal 5 2 2 3 6" xfId="28950"/>
    <cellStyle name="Normal 5 2 2 3 6 2" xfId="28951"/>
    <cellStyle name="Normal 5 2 2 3 7" xfId="28952"/>
    <cellStyle name="Normal 5 2 2 3 7 2" xfId="28953"/>
    <cellStyle name="Normal 5 2 2 3 8" xfId="28954"/>
    <cellStyle name="Normal 5 2 2 3 8 2" xfId="28955"/>
    <cellStyle name="Normal 5 2 2 3 9" xfId="28956"/>
    <cellStyle name="Normal 5 2 2 3 9 2" xfId="28957"/>
    <cellStyle name="Normal 5 2 2 4" xfId="28958"/>
    <cellStyle name="Normal 5 2 2 4 2" xfId="28959"/>
    <cellStyle name="Normal 5 2 2 5" xfId="28960"/>
    <cellStyle name="Normal 5 2 2 5 2" xfId="28961"/>
    <cellStyle name="Normal 5 2 2 6" xfId="28962"/>
    <cellStyle name="Normal 5 2 2 6 2" xfId="28963"/>
    <cellStyle name="Normal 5 2 2 7" xfId="28964"/>
    <cellStyle name="Normal 5 2 2 7 2" xfId="28965"/>
    <cellStyle name="Normal 5 2 2 8" xfId="28966"/>
    <cellStyle name="Normal 5 2 2 8 2" xfId="28967"/>
    <cellStyle name="Normal 5 2 2 9" xfId="28968"/>
    <cellStyle name="Normal 5 2 2 9 2" xfId="28969"/>
    <cellStyle name="Normal 5 2 20" xfId="28970"/>
    <cellStyle name="Normal 5 2 21" xfId="28971"/>
    <cellStyle name="Normal 5 2 3" xfId="28972"/>
    <cellStyle name="Normal 5 2 3 10" xfId="28973"/>
    <cellStyle name="Normal 5 2 3 10 2" xfId="28974"/>
    <cellStyle name="Normal 5 2 3 11" xfId="28975"/>
    <cellStyle name="Normal 5 2 3 11 2" xfId="28976"/>
    <cellStyle name="Normal 5 2 3 12" xfId="28977"/>
    <cellStyle name="Normal 5 2 3 12 2" xfId="28978"/>
    <cellStyle name="Normal 5 2 3 13" xfId="28979"/>
    <cellStyle name="Normal 5 2 3 2" xfId="28980"/>
    <cellStyle name="Normal 5 2 3 2 10" xfId="28981"/>
    <cellStyle name="Normal 5 2 3 2 10 2" xfId="28982"/>
    <cellStyle name="Normal 5 2 3 2 11" xfId="28983"/>
    <cellStyle name="Normal 5 2 3 2 11 2" xfId="28984"/>
    <cellStyle name="Normal 5 2 3 2 12" xfId="28985"/>
    <cellStyle name="Normal 5 2 3 2 2" xfId="28986"/>
    <cellStyle name="Normal 5 2 3 2 2 10" xfId="28987"/>
    <cellStyle name="Normal 5 2 3 2 2 10 2" xfId="28988"/>
    <cellStyle name="Normal 5 2 3 2 2 11" xfId="28989"/>
    <cellStyle name="Normal 5 2 3 2 2 2" xfId="28990"/>
    <cellStyle name="Normal 5 2 3 2 2 2 2" xfId="28991"/>
    <cellStyle name="Normal 5 2 3 2 2 3" xfId="28992"/>
    <cellStyle name="Normal 5 2 3 2 2 3 2" xfId="28993"/>
    <cellStyle name="Normal 5 2 3 2 2 4" xfId="28994"/>
    <cellStyle name="Normal 5 2 3 2 2 4 2" xfId="28995"/>
    <cellStyle name="Normal 5 2 3 2 2 5" xfId="28996"/>
    <cellStyle name="Normal 5 2 3 2 2 5 2" xfId="28997"/>
    <cellStyle name="Normal 5 2 3 2 2 6" xfId="28998"/>
    <cellStyle name="Normal 5 2 3 2 2 6 2" xfId="28999"/>
    <cellStyle name="Normal 5 2 3 2 2 7" xfId="29000"/>
    <cellStyle name="Normal 5 2 3 2 2 7 2" xfId="29001"/>
    <cellStyle name="Normal 5 2 3 2 2 8" xfId="29002"/>
    <cellStyle name="Normal 5 2 3 2 2 8 2" xfId="29003"/>
    <cellStyle name="Normal 5 2 3 2 2 9" xfId="29004"/>
    <cellStyle name="Normal 5 2 3 2 2 9 2" xfId="29005"/>
    <cellStyle name="Normal 5 2 3 2 3" xfId="29006"/>
    <cellStyle name="Normal 5 2 3 2 3 2" xfId="29007"/>
    <cellStyle name="Normal 5 2 3 2 4" xfId="29008"/>
    <cellStyle name="Normal 5 2 3 2 4 2" xfId="29009"/>
    <cellStyle name="Normal 5 2 3 2 5" xfId="29010"/>
    <cellStyle name="Normal 5 2 3 2 5 2" xfId="29011"/>
    <cellStyle name="Normal 5 2 3 2 6" xfId="29012"/>
    <cellStyle name="Normal 5 2 3 2 6 2" xfId="29013"/>
    <cellStyle name="Normal 5 2 3 2 7" xfId="29014"/>
    <cellStyle name="Normal 5 2 3 2 7 2" xfId="29015"/>
    <cellStyle name="Normal 5 2 3 2 8" xfId="29016"/>
    <cellStyle name="Normal 5 2 3 2 8 2" xfId="29017"/>
    <cellStyle name="Normal 5 2 3 2 9" xfId="29018"/>
    <cellStyle name="Normal 5 2 3 2 9 2" xfId="29019"/>
    <cellStyle name="Normal 5 2 3 3" xfId="29020"/>
    <cellStyle name="Normal 5 2 3 3 10" xfId="29021"/>
    <cellStyle name="Normal 5 2 3 3 10 2" xfId="29022"/>
    <cellStyle name="Normal 5 2 3 3 11" xfId="29023"/>
    <cellStyle name="Normal 5 2 3 3 2" xfId="29024"/>
    <cellStyle name="Normal 5 2 3 3 2 2" xfId="29025"/>
    <cellStyle name="Normal 5 2 3 3 3" xfId="29026"/>
    <cellStyle name="Normal 5 2 3 3 3 2" xfId="29027"/>
    <cellStyle name="Normal 5 2 3 3 4" xfId="29028"/>
    <cellStyle name="Normal 5 2 3 3 4 2" xfId="29029"/>
    <cellStyle name="Normal 5 2 3 3 5" xfId="29030"/>
    <cellStyle name="Normal 5 2 3 3 5 2" xfId="29031"/>
    <cellStyle name="Normal 5 2 3 3 6" xfId="29032"/>
    <cellStyle name="Normal 5 2 3 3 6 2" xfId="29033"/>
    <cellStyle name="Normal 5 2 3 3 7" xfId="29034"/>
    <cellStyle name="Normal 5 2 3 3 7 2" xfId="29035"/>
    <cellStyle name="Normal 5 2 3 3 8" xfId="29036"/>
    <cellStyle name="Normal 5 2 3 3 8 2" xfId="29037"/>
    <cellStyle name="Normal 5 2 3 3 9" xfId="29038"/>
    <cellStyle name="Normal 5 2 3 3 9 2" xfId="29039"/>
    <cellStyle name="Normal 5 2 3 4" xfId="29040"/>
    <cellStyle name="Normal 5 2 3 4 2" xfId="29041"/>
    <cellStyle name="Normal 5 2 3 5" xfId="29042"/>
    <cellStyle name="Normal 5 2 3 5 2" xfId="29043"/>
    <cellStyle name="Normal 5 2 3 6" xfId="29044"/>
    <cellStyle name="Normal 5 2 3 6 2" xfId="29045"/>
    <cellStyle name="Normal 5 2 3 7" xfId="29046"/>
    <cellStyle name="Normal 5 2 3 7 2" xfId="29047"/>
    <cellStyle name="Normal 5 2 3 8" xfId="29048"/>
    <cellStyle name="Normal 5 2 3 8 2" xfId="29049"/>
    <cellStyle name="Normal 5 2 3 9" xfId="29050"/>
    <cellStyle name="Normal 5 2 3 9 2" xfId="29051"/>
    <cellStyle name="Normal 5 2 4" xfId="29052"/>
    <cellStyle name="Normal 5 2 4 10" xfId="29053"/>
    <cellStyle name="Normal 5 2 4 10 2" xfId="29054"/>
    <cellStyle name="Normal 5 2 4 11" xfId="29055"/>
    <cellStyle name="Normal 5 2 4 11 2" xfId="29056"/>
    <cellStyle name="Normal 5 2 4 12" xfId="29057"/>
    <cellStyle name="Normal 5 2 4 12 2" xfId="29058"/>
    <cellStyle name="Normal 5 2 4 13" xfId="29059"/>
    <cellStyle name="Normal 5 2 4 2" xfId="29060"/>
    <cellStyle name="Normal 5 2 4 2 10" xfId="29061"/>
    <cellStyle name="Normal 5 2 4 2 10 2" xfId="29062"/>
    <cellStyle name="Normal 5 2 4 2 11" xfId="29063"/>
    <cellStyle name="Normal 5 2 4 2 11 2" xfId="29064"/>
    <cellStyle name="Normal 5 2 4 2 12" xfId="29065"/>
    <cellStyle name="Normal 5 2 4 2 2" xfId="29066"/>
    <cellStyle name="Normal 5 2 4 2 2 10" xfId="29067"/>
    <cellStyle name="Normal 5 2 4 2 2 10 2" xfId="29068"/>
    <cellStyle name="Normal 5 2 4 2 2 11" xfId="29069"/>
    <cellStyle name="Normal 5 2 4 2 2 2" xfId="29070"/>
    <cellStyle name="Normal 5 2 4 2 2 2 2" xfId="29071"/>
    <cellStyle name="Normal 5 2 4 2 2 3" xfId="29072"/>
    <cellStyle name="Normal 5 2 4 2 2 3 2" xfId="29073"/>
    <cellStyle name="Normal 5 2 4 2 2 4" xfId="29074"/>
    <cellStyle name="Normal 5 2 4 2 2 4 2" xfId="29075"/>
    <cellStyle name="Normal 5 2 4 2 2 5" xfId="29076"/>
    <cellStyle name="Normal 5 2 4 2 2 5 2" xfId="29077"/>
    <cellStyle name="Normal 5 2 4 2 2 6" xfId="29078"/>
    <cellStyle name="Normal 5 2 4 2 2 6 2" xfId="29079"/>
    <cellStyle name="Normal 5 2 4 2 2 7" xfId="29080"/>
    <cellStyle name="Normal 5 2 4 2 2 7 2" xfId="29081"/>
    <cellStyle name="Normal 5 2 4 2 2 8" xfId="29082"/>
    <cellStyle name="Normal 5 2 4 2 2 8 2" xfId="29083"/>
    <cellStyle name="Normal 5 2 4 2 2 9" xfId="29084"/>
    <cellStyle name="Normal 5 2 4 2 2 9 2" xfId="29085"/>
    <cellStyle name="Normal 5 2 4 2 3" xfId="29086"/>
    <cellStyle name="Normal 5 2 4 2 3 2" xfId="29087"/>
    <cellStyle name="Normal 5 2 4 2 4" xfId="29088"/>
    <cellStyle name="Normal 5 2 4 2 4 2" xfId="29089"/>
    <cellStyle name="Normal 5 2 4 2 5" xfId="29090"/>
    <cellStyle name="Normal 5 2 4 2 5 2" xfId="29091"/>
    <cellStyle name="Normal 5 2 4 2 6" xfId="29092"/>
    <cellStyle name="Normal 5 2 4 2 6 2" xfId="29093"/>
    <cellStyle name="Normal 5 2 4 2 7" xfId="29094"/>
    <cellStyle name="Normal 5 2 4 2 7 2" xfId="29095"/>
    <cellStyle name="Normal 5 2 4 2 8" xfId="29096"/>
    <cellStyle name="Normal 5 2 4 2 8 2" xfId="29097"/>
    <cellStyle name="Normal 5 2 4 2 9" xfId="29098"/>
    <cellStyle name="Normal 5 2 4 2 9 2" xfId="29099"/>
    <cellStyle name="Normal 5 2 4 3" xfId="29100"/>
    <cellStyle name="Normal 5 2 4 3 10" xfId="29101"/>
    <cellStyle name="Normal 5 2 4 3 10 2" xfId="29102"/>
    <cellStyle name="Normal 5 2 4 3 11" xfId="29103"/>
    <cellStyle name="Normal 5 2 4 3 2" xfId="29104"/>
    <cellStyle name="Normal 5 2 4 3 2 2" xfId="29105"/>
    <cellStyle name="Normal 5 2 4 3 3" xfId="29106"/>
    <cellStyle name="Normal 5 2 4 3 3 2" xfId="29107"/>
    <cellStyle name="Normal 5 2 4 3 4" xfId="29108"/>
    <cellStyle name="Normal 5 2 4 3 4 2" xfId="29109"/>
    <cellStyle name="Normal 5 2 4 3 5" xfId="29110"/>
    <cellStyle name="Normal 5 2 4 3 5 2" xfId="29111"/>
    <cellStyle name="Normal 5 2 4 3 6" xfId="29112"/>
    <cellStyle name="Normal 5 2 4 3 6 2" xfId="29113"/>
    <cellStyle name="Normal 5 2 4 3 7" xfId="29114"/>
    <cellStyle name="Normal 5 2 4 3 7 2" xfId="29115"/>
    <cellStyle name="Normal 5 2 4 3 8" xfId="29116"/>
    <cellStyle name="Normal 5 2 4 3 8 2" xfId="29117"/>
    <cellStyle name="Normal 5 2 4 3 9" xfId="29118"/>
    <cellStyle name="Normal 5 2 4 3 9 2" xfId="29119"/>
    <cellStyle name="Normal 5 2 4 4" xfId="29120"/>
    <cellStyle name="Normal 5 2 4 4 2" xfId="29121"/>
    <cellStyle name="Normal 5 2 4 5" xfId="29122"/>
    <cellStyle name="Normal 5 2 4 5 2" xfId="29123"/>
    <cellStyle name="Normal 5 2 4 6" xfId="29124"/>
    <cellStyle name="Normal 5 2 4 6 2" xfId="29125"/>
    <cellStyle name="Normal 5 2 4 7" xfId="29126"/>
    <cellStyle name="Normal 5 2 4 7 2" xfId="29127"/>
    <cellStyle name="Normal 5 2 4 8" xfId="29128"/>
    <cellStyle name="Normal 5 2 4 8 2" xfId="29129"/>
    <cellStyle name="Normal 5 2 4 9" xfId="29130"/>
    <cellStyle name="Normal 5 2 4 9 2" xfId="29131"/>
    <cellStyle name="Normal 5 2 5" xfId="29132"/>
    <cellStyle name="Normal 5 2 6" xfId="29133"/>
    <cellStyle name="Normal 5 2 6 10" xfId="29134"/>
    <cellStyle name="Normal 5 2 6 10 2" xfId="29135"/>
    <cellStyle name="Normal 5 2 6 11" xfId="29136"/>
    <cellStyle name="Normal 5 2 6 11 2" xfId="29137"/>
    <cellStyle name="Normal 5 2 6 12" xfId="29138"/>
    <cellStyle name="Normal 5 2 6 12 2" xfId="29139"/>
    <cellStyle name="Normal 5 2 6 13" xfId="29140"/>
    <cellStyle name="Normal 5 2 6 2" xfId="29141"/>
    <cellStyle name="Normal 5 2 6 2 10" xfId="29142"/>
    <cellStyle name="Normal 5 2 6 2 10 2" xfId="29143"/>
    <cellStyle name="Normal 5 2 6 2 11" xfId="29144"/>
    <cellStyle name="Normal 5 2 6 2 11 2" xfId="29145"/>
    <cellStyle name="Normal 5 2 6 2 12" xfId="29146"/>
    <cellStyle name="Normal 5 2 6 2 2" xfId="29147"/>
    <cellStyle name="Normal 5 2 6 2 2 10" xfId="29148"/>
    <cellStyle name="Normal 5 2 6 2 2 10 2" xfId="29149"/>
    <cellStyle name="Normal 5 2 6 2 2 11" xfId="29150"/>
    <cellStyle name="Normal 5 2 6 2 2 2" xfId="29151"/>
    <cellStyle name="Normal 5 2 6 2 2 2 2" xfId="29152"/>
    <cellStyle name="Normal 5 2 6 2 2 3" xfId="29153"/>
    <cellStyle name="Normal 5 2 6 2 2 3 2" xfId="29154"/>
    <cellStyle name="Normal 5 2 6 2 2 4" xfId="29155"/>
    <cellStyle name="Normal 5 2 6 2 2 4 2" xfId="29156"/>
    <cellStyle name="Normal 5 2 6 2 2 5" xfId="29157"/>
    <cellStyle name="Normal 5 2 6 2 2 5 2" xfId="29158"/>
    <cellStyle name="Normal 5 2 6 2 2 6" xfId="29159"/>
    <cellStyle name="Normal 5 2 6 2 2 6 2" xfId="29160"/>
    <cellStyle name="Normal 5 2 6 2 2 7" xfId="29161"/>
    <cellStyle name="Normal 5 2 6 2 2 7 2" xfId="29162"/>
    <cellStyle name="Normal 5 2 6 2 2 8" xfId="29163"/>
    <cellStyle name="Normal 5 2 6 2 2 8 2" xfId="29164"/>
    <cellStyle name="Normal 5 2 6 2 2 9" xfId="29165"/>
    <cellStyle name="Normal 5 2 6 2 2 9 2" xfId="29166"/>
    <cellStyle name="Normal 5 2 6 2 3" xfId="29167"/>
    <cellStyle name="Normal 5 2 6 2 3 2" xfId="29168"/>
    <cellStyle name="Normal 5 2 6 2 4" xfId="29169"/>
    <cellStyle name="Normal 5 2 6 2 4 2" xfId="29170"/>
    <cellStyle name="Normal 5 2 6 2 5" xfId="29171"/>
    <cellStyle name="Normal 5 2 6 2 5 2" xfId="29172"/>
    <cellStyle name="Normal 5 2 6 2 6" xfId="29173"/>
    <cellStyle name="Normal 5 2 6 2 6 2" xfId="29174"/>
    <cellStyle name="Normal 5 2 6 2 7" xfId="29175"/>
    <cellStyle name="Normal 5 2 6 2 7 2" xfId="29176"/>
    <cellStyle name="Normal 5 2 6 2 8" xfId="29177"/>
    <cellStyle name="Normal 5 2 6 2 8 2" xfId="29178"/>
    <cellStyle name="Normal 5 2 6 2 9" xfId="29179"/>
    <cellStyle name="Normal 5 2 6 2 9 2" xfId="29180"/>
    <cellStyle name="Normal 5 2 6 3" xfId="29181"/>
    <cellStyle name="Normal 5 2 6 3 10" xfId="29182"/>
    <cellStyle name="Normal 5 2 6 3 10 2" xfId="29183"/>
    <cellStyle name="Normal 5 2 6 3 11" xfId="29184"/>
    <cellStyle name="Normal 5 2 6 3 2" xfId="29185"/>
    <cellStyle name="Normal 5 2 6 3 2 2" xfId="29186"/>
    <cellStyle name="Normal 5 2 6 3 3" xfId="29187"/>
    <cellStyle name="Normal 5 2 6 3 3 2" xfId="29188"/>
    <cellStyle name="Normal 5 2 6 3 4" xfId="29189"/>
    <cellStyle name="Normal 5 2 6 3 4 2" xfId="29190"/>
    <cellStyle name="Normal 5 2 6 3 5" xfId="29191"/>
    <cellStyle name="Normal 5 2 6 3 5 2" xfId="29192"/>
    <cellStyle name="Normal 5 2 6 3 6" xfId="29193"/>
    <cellStyle name="Normal 5 2 6 3 6 2" xfId="29194"/>
    <cellStyle name="Normal 5 2 6 3 7" xfId="29195"/>
    <cellStyle name="Normal 5 2 6 3 7 2" xfId="29196"/>
    <cellStyle name="Normal 5 2 6 3 8" xfId="29197"/>
    <cellStyle name="Normal 5 2 6 3 8 2" xfId="29198"/>
    <cellStyle name="Normal 5 2 6 3 9" xfId="29199"/>
    <cellStyle name="Normal 5 2 6 3 9 2" xfId="29200"/>
    <cellStyle name="Normal 5 2 6 4" xfId="29201"/>
    <cellStyle name="Normal 5 2 6 4 2" xfId="29202"/>
    <cellStyle name="Normal 5 2 6 5" xfId="29203"/>
    <cellStyle name="Normal 5 2 6 5 2" xfId="29204"/>
    <cellStyle name="Normal 5 2 6 6" xfId="29205"/>
    <cellStyle name="Normal 5 2 6 6 2" xfId="29206"/>
    <cellStyle name="Normal 5 2 6 7" xfId="29207"/>
    <cellStyle name="Normal 5 2 6 7 2" xfId="29208"/>
    <cellStyle name="Normal 5 2 6 8" xfId="29209"/>
    <cellStyle name="Normal 5 2 6 8 2" xfId="29210"/>
    <cellStyle name="Normal 5 2 6 9" xfId="29211"/>
    <cellStyle name="Normal 5 2 6 9 2" xfId="29212"/>
    <cellStyle name="Normal 5 2 7" xfId="29213"/>
    <cellStyle name="Normal 5 2 7 10" xfId="29214"/>
    <cellStyle name="Normal 5 2 7 10 2" xfId="29215"/>
    <cellStyle name="Normal 5 2 7 11" xfId="29216"/>
    <cellStyle name="Normal 5 2 7 11 2" xfId="29217"/>
    <cellStyle name="Normal 5 2 7 12" xfId="29218"/>
    <cellStyle name="Normal 5 2 7 2" xfId="29219"/>
    <cellStyle name="Normal 5 2 7 2 10" xfId="29220"/>
    <cellStyle name="Normal 5 2 7 2 10 2" xfId="29221"/>
    <cellStyle name="Normal 5 2 7 2 11" xfId="29222"/>
    <cellStyle name="Normal 5 2 7 2 2" xfId="29223"/>
    <cellStyle name="Normal 5 2 7 2 2 2" xfId="29224"/>
    <cellStyle name="Normal 5 2 7 2 3" xfId="29225"/>
    <cellStyle name="Normal 5 2 7 2 3 2" xfId="29226"/>
    <cellStyle name="Normal 5 2 7 2 4" xfId="29227"/>
    <cellStyle name="Normal 5 2 7 2 4 2" xfId="29228"/>
    <cellStyle name="Normal 5 2 7 2 5" xfId="29229"/>
    <cellStyle name="Normal 5 2 7 2 5 2" xfId="29230"/>
    <cellStyle name="Normal 5 2 7 2 6" xfId="29231"/>
    <cellStyle name="Normal 5 2 7 2 6 2" xfId="29232"/>
    <cellStyle name="Normal 5 2 7 2 7" xfId="29233"/>
    <cellStyle name="Normal 5 2 7 2 7 2" xfId="29234"/>
    <cellStyle name="Normal 5 2 7 2 8" xfId="29235"/>
    <cellStyle name="Normal 5 2 7 2 8 2" xfId="29236"/>
    <cellStyle name="Normal 5 2 7 2 9" xfId="29237"/>
    <cellStyle name="Normal 5 2 7 2 9 2" xfId="29238"/>
    <cellStyle name="Normal 5 2 7 3" xfId="29239"/>
    <cellStyle name="Normal 5 2 7 3 2" xfId="29240"/>
    <cellStyle name="Normal 5 2 7 4" xfId="29241"/>
    <cellStyle name="Normal 5 2 7 4 2" xfId="29242"/>
    <cellStyle name="Normal 5 2 7 5" xfId="29243"/>
    <cellStyle name="Normal 5 2 7 5 2" xfId="29244"/>
    <cellStyle name="Normal 5 2 7 6" xfId="29245"/>
    <cellStyle name="Normal 5 2 7 6 2" xfId="29246"/>
    <cellStyle name="Normal 5 2 7 7" xfId="29247"/>
    <cellStyle name="Normal 5 2 7 7 2" xfId="29248"/>
    <cellStyle name="Normal 5 2 7 8" xfId="29249"/>
    <cellStyle name="Normal 5 2 7 8 2" xfId="29250"/>
    <cellStyle name="Normal 5 2 7 9" xfId="29251"/>
    <cellStyle name="Normal 5 2 7 9 2" xfId="29252"/>
    <cellStyle name="Normal 5 2 8" xfId="29253"/>
    <cellStyle name="Normal 5 2 8 10" xfId="29254"/>
    <cellStyle name="Normal 5 2 8 10 2" xfId="29255"/>
    <cellStyle name="Normal 5 2 8 11" xfId="29256"/>
    <cellStyle name="Normal 5 2 8 2" xfId="29257"/>
    <cellStyle name="Normal 5 2 8 2 2" xfId="29258"/>
    <cellStyle name="Normal 5 2 8 3" xfId="29259"/>
    <cellStyle name="Normal 5 2 8 3 2" xfId="29260"/>
    <cellStyle name="Normal 5 2 8 4" xfId="29261"/>
    <cellStyle name="Normal 5 2 8 4 2" xfId="29262"/>
    <cellStyle name="Normal 5 2 8 5" xfId="29263"/>
    <cellStyle name="Normal 5 2 8 5 2" xfId="29264"/>
    <cellStyle name="Normal 5 2 8 6" xfId="29265"/>
    <cellStyle name="Normal 5 2 8 6 2" xfId="29266"/>
    <cellStyle name="Normal 5 2 8 7" xfId="29267"/>
    <cellStyle name="Normal 5 2 8 7 2" xfId="29268"/>
    <cellStyle name="Normal 5 2 8 8" xfId="29269"/>
    <cellStyle name="Normal 5 2 8 8 2" xfId="29270"/>
    <cellStyle name="Normal 5 2 8 9" xfId="29271"/>
    <cellStyle name="Normal 5 2 8 9 2" xfId="29272"/>
    <cellStyle name="Normal 5 2 9" xfId="29273"/>
    <cellStyle name="Normal 5 2 9 2" xfId="29274"/>
    <cellStyle name="Normal 5 20" xfId="29275"/>
    <cellStyle name="Normal 5 20 2" xfId="29276"/>
    <cellStyle name="Normal 5 21" xfId="29277"/>
    <cellStyle name="Normal 5 22" xfId="29278"/>
    <cellStyle name="Normal 5 23" xfId="29279"/>
    <cellStyle name="Normal 5 24" xfId="29280"/>
    <cellStyle name="Normal 5 3" xfId="29281"/>
    <cellStyle name="Normal 5 3 10" xfId="29282"/>
    <cellStyle name="Normal 5 3 10 2" xfId="29283"/>
    <cellStyle name="Normal 5 3 11" xfId="29284"/>
    <cellStyle name="Normal 5 3 11 2" xfId="29285"/>
    <cellStyle name="Normal 5 3 12" xfId="29286"/>
    <cellStyle name="Normal 5 3 12 2" xfId="29287"/>
    <cellStyle name="Normal 5 3 13" xfId="29288"/>
    <cellStyle name="Normal 5 3 13 2" xfId="29289"/>
    <cellStyle name="Normal 5 3 14" xfId="29290"/>
    <cellStyle name="Normal 5 3 15" xfId="29291"/>
    <cellStyle name="Normal 5 3 2" xfId="29292"/>
    <cellStyle name="Normal 5 3 3" xfId="29293"/>
    <cellStyle name="Normal 5 3 3 10" xfId="29294"/>
    <cellStyle name="Normal 5 3 3 10 2" xfId="29295"/>
    <cellStyle name="Normal 5 3 3 11" xfId="29296"/>
    <cellStyle name="Normal 5 3 3 11 2" xfId="29297"/>
    <cellStyle name="Normal 5 3 3 12" xfId="29298"/>
    <cellStyle name="Normal 5 3 3 2" xfId="29299"/>
    <cellStyle name="Normal 5 3 3 2 10" xfId="29300"/>
    <cellStyle name="Normal 5 3 3 2 10 2" xfId="29301"/>
    <cellStyle name="Normal 5 3 3 2 11" xfId="29302"/>
    <cellStyle name="Normal 5 3 3 2 2" xfId="29303"/>
    <cellStyle name="Normal 5 3 3 2 2 2" xfId="29304"/>
    <cellStyle name="Normal 5 3 3 2 3" xfId="29305"/>
    <cellStyle name="Normal 5 3 3 2 3 2" xfId="29306"/>
    <cellStyle name="Normal 5 3 3 2 4" xfId="29307"/>
    <cellStyle name="Normal 5 3 3 2 4 2" xfId="29308"/>
    <cellStyle name="Normal 5 3 3 2 5" xfId="29309"/>
    <cellStyle name="Normal 5 3 3 2 5 2" xfId="29310"/>
    <cellStyle name="Normal 5 3 3 2 6" xfId="29311"/>
    <cellStyle name="Normal 5 3 3 2 6 2" xfId="29312"/>
    <cellStyle name="Normal 5 3 3 2 7" xfId="29313"/>
    <cellStyle name="Normal 5 3 3 2 7 2" xfId="29314"/>
    <cellStyle name="Normal 5 3 3 2 8" xfId="29315"/>
    <cellStyle name="Normal 5 3 3 2 8 2" xfId="29316"/>
    <cellStyle name="Normal 5 3 3 2 9" xfId="29317"/>
    <cellStyle name="Normal 5 3 3 2 9 2" xfId="29318"/>
    <cellStyle name="Normal 5 3 3 3" xfId="29319"/>
    <cellStyle name="Normal 5 3 3 3 2" xfId="29320"/>
    <cellStyle name="Normal 5 3 3 4" xfId="29321"/>
    <cellStyle name="Normal 5 3 3 4 2" xfId="29322"/>
    <cellStyle name="Normal 5 3 3 5" xfId="29323"/>
    <cellStyle name="Normal 5 3 3 5 2" xfId="29324"/>
    <cellStyle name="Normal 5 3 3 6" xfId="29325"/>
    <cellStyle name="Normal 5 3 3 6 2" xfId="29326"/>
    <cellStyle name="Normal 5 3 3 7" xfId="29327"/>
    <cellStyle name="Normal 5 3 3 7 2" xfId="29328"/>
    <cellStyle name="Normal 5 3 3 8" xfId="29329"/>
    <cellStyle name="Normal 5 3 3 8 2" xfId="29330"/>
    <cellStyle name="Normal 5 3 3 9" xfId="29331"/>
    <cellStyle name="Normal 5 3 3 9 2" xfId="29332"/>
    <cellStyle name="Normal 5 3 4" xfId="29333"/>
    <cellStyle name="Normal 5 3 4 10" xfId="29334"/>
    <cellStyle name="Normal 5 3 4 10 2" xfId="29335"/>
    <cellStyle name="Normal 5 3 4 11" xfId="29336"/>
    <cellStyle name="Normal 5 3 4 2" xfId="29337"/>
    <cellStyle name="Normal 5 3 4 2 2" xfId="29338"/>
    <cellStyle name="Normal 5 3 4 3" xfId="29339"/>
    <cellStyle name="Normal 5 3 4 3 2" xfId="29340"/>
    <cellStyle name="Normal 5 3 4 4" xfId="29341"/>
    <cellStyle name="Normal 5 3 4 4 2" xfId="29342"/>
    <cellStyle name="Normal 5 3 4 5" xfId="29343"/>
    <cellStyle name="Normal 5 3 4 5 2" xfId="29344"/>
    <cellStyle name="Normal 5 3 4 6" xfId="29345"/>
    <cellStyle name="Normal 5 3 4 6 2" xfId="29346"/>
    <cellStyle name="Normal 5 3 4 7" xfId="29347"/>
    <cellStyle name="Normal 5 3 4 7 2" xfId="29348"/>
    <cellStyle name="Normal 5 3 4 8" xfId="29349"/>
    <cellStyle name="Normal 5 3 4 8 2" xfId="29350"/>
    <cellStyle name="Normal 5 3 4 9" xfId="29351"/>
    <cellStyle name="Normal 5 3 4 9 2" xfId="29352"/>
    <cellStyle name="Normal 5 3 5" xfId="29353"/>
    <cellStyle name="Normal 5 3 5 2" xfId="29354"/>
    <cellStyle name="Normal 5 3 6" xfId="29355"/>
    <cellStyle name="Normal 5 3 6 2" xfId="29356"/>
    <cellStyle name="Normal 5 3 7" xfId="29357"/>
    <cellStyle name="Normal 5 3 7 2" xfId="29358"/>
    <cellStyle name="Normal 5 3 8" xfId="29359"/>
    <cellStyle name="Normal 5 3 8 2" xfId="29360"/>
    <cellStyle name="Normal 5 3 9" xfId="29361"/>
    <cellStyle name="Normal 5 3 9 2" xfId="29362"/>
    <cellStyle name="Normal 5 4" xfId="29363"/>
    <cellStyle name="Normal 5 4 10" xfId="29364"/>
    <cellStyle name="Normal 5 4 10 2" xfId="29365"/>
    <cellStyle name="Normal 5 4 11" xfId="29366"/>
    <cellStyle name="Normal 5 4 11 2" xfId="29367"/>
    <cellStyle name="Normal 5 4 12" xfId="29368"/>
    <cellStyle name="Normal 5 4 12 2" xfId="29369"/>
    <cellStyle name="Normal 5 4 13" xfId="29370"/>
    <cellStyle name="Normal 5 4 13 2" xfId="29371"/>
    <cellStyle name="Normal 5 4 14" xfId="29372"/>
    <cellStyle name="Normal 5 4 15" xfId="29373"/>
    <cellStyle name="Normal 5 4 2" xfId="29374"/>
    <cellStyle name="Normal 5 4 3" xfId="29375"/>
    <cellStyle name="Normal 5 4 3 10" xfId="29376"/>
    <cellStyle name="Normal 5 4 3 10 2" xfId="29377"/>
    <cellStyle name="Normal 5 4 3 11" xfId="29378"/>
    <cellStyle name="Normal 5 4 3 11 2" xfId="29379"/>
    <cellStyle name="Normal 5 4 3 12" xfId="29380"/>
    <cellStyle name="Normal 5 4 3 2" xfId="29381"/>
    <cellStyle name="Normal 5 4 3 2 10" xfId="29382"/>
    <cellStyle name="Normal 5 4 3 2 10 2" xfId="29383"/>
    <cellStyle name="Normal 5 4 3 2 11" xfId="29384"/>
    <cellStyle name="Normal 5 4 3 2 2" xfId="29385"/>
    <cellStyle name="Normal 5 4 3 2 2 2" xfId="29386"/>
    <cellStyle name="Normal 5 4 3 2 3" xfId="29387"/>
    <cellStyle name="Normal 5 4 3 2 3 2" xfId="29388"/>
    <cellStyle name="Normal 5 4 3 2 4" xfId="29389"/>
    <cellStyle name="Normal 5 4 3 2 4 2" xfId="29390"/>
    <cellStyle name="Normal 5 4 3 2 5" xfId="29391"/>
    <cellStyle name="Normal 5 4 3 2 5 2" xfId="29392"/>
    <cellStyle name="Normal 5 4 3 2 6" xfId="29393"/>
    <cellStyle name="Normal 5 4 3 2 6 2" xfId="29394"/>
    <cellStyle name="Normal 5 4 3 2 7" xfId="29395"/>
    <cellStyle name="Normal 5 4 3 2 7 2" xfId="29396"/>
    <cellStyle name="Normal 5 4 3 2 8" xfId="29397"/>
    <cellStyle name="Normal 5 4 3 2 8 2" xfId="29398"/>
    <cellStyle name="Normal 5 4 3 2 9" xfId="29399"/>
    <cellStyle name="Normal 5 4 3 2 9 2" xfId="29400"/>
    <cellStyle name="Normal 5 4 3 3" xfId="29401"/>
    <cellStyle name="Normal 5 4 3 3 2" xfId="29402"/>
    <cellStyle name="Normal 5 4 3 4" xfId="29403"/>
    <cellStyle name="Normal 5 4 3 4 2" xfId="29404"/>
    <cellStyle name="Normal 5 4 3 5" xfId="29405"/>
    <cellStyle name="Normal 5 4 3 5 2" xfId="29406"/>
    <cellStyle name="Normal 5 4 3 6" xfId="29407"/>
    <cellStyle name="Normal 5 4 3 6 2" xfId="29408"/>
    <cellStyle name="Normal 5 4 3 7" xfId="29409"/>
    <cellStyle name="Normal 5 4 3 7 2" xfId="29410"/>
    <cellStyle name="Normal 5 4 3 8" xfId="29411"/>
    <cellStyle name="Normal 5 4 3 8 2" xfId="29412"/>
    <cellStyle name="Normal 5 4 3 9" xfId="29413"/>
    <cellStyle name="Normal 5 4 3 9 2" xfId="29414"/>
    <cellStyle name="Normal 5 4 4" xfId="29415"/>
    <cellStyle name="Normal 5 4 4 10" xfId="29416"/>
    <cellStyle name="Normal 5 4 4 10 2" xfId="29417"/>
    <cellStyle name="Normal 5 4 4 11" xfId="29418"/>
    <cellStyle name="Normal 5 4 4 2" xfId="29419"/>
    <cellStyle name="Normal 5 4 4 2 2" xfId="29420"/>
    <cellStyle name="Normal 5 4 4 3" xfId="29421"/>
    <cellStyle name="Normal 5 4 4 3 2" xfId="29422"/>
    <cellStyle name="Normal 5 4 4 4" xfId="29423"/>
    <cellStyle name="Normal 5 4 4 4 2" xfId="29424"/>
    <cellStyle name="Normal 5 4 4 5" xfId="29425"/>
    <cellStyle name="Normal 5 4 4 5 2" xfId="29426"/>
    <cellStyle name="Normal 5 4 4 6" xfId="29427"/>
    <cellStyle name="Normal 5 4 4 6 2" xfId="29428"/>
    <cellStyle name="Normal 5 4 4 7" xfId="29429"/>
    <cellStyle name="Normal 5 4 4 7 2" xfId="29430"/>
    <cellStyle name="Normal 5 4 4 8" xfId="29431"/>
    <cellStyle name="Normal 5 4 4 8 2" xfId="29432"/>
    <cellStyle name="Normal 5 4 4 9" xfId="29433"/>
    <cellStyle name="Normal 5 4 4 9 2" xfId="29434"/>
    <cellStyle name="Normal 5 4 5" xfId="29435"/>
    <cellStyle name="Normal 5 4 5 2" xfId="29436"/>
    <cellStyle name="Normal 5 4 6" xfId="29437"/>
    <cellStyle name="Normal 5 4 6 2" xfId="29438"/>
    <cellStyle name="Normal 5 4 7" xfId="29439"/>
    <cellStyle name="Normal 5 4 7 2" xfId="29440"/>
    <cellStyle name="Normal 5 4 8" xfId="29441"/>
    <cellStyle name="Normal 5 4 8 2" xfId="29442"/>
    <cellStyle name="Normal 5 4 9" xfId="29443"/>
    <cellStyle name="Normal 5 4 9 2" xfId="29444"/>
    <cellStyle name="Normal 5 5" xfId="29445"/>
    <cellStyle name="Normal 5 5 10" xfId="29446"/>
    <cellStyle name="Normal 5 5 10 2" xfId="29447"/>
    <cellStyle name="Normal 5 5 11" xfId="29448"/>
    <cellStyle name="Normal 5 5 11 2" xfId="29449"/>
    <cellStyle name="Normal 5 5 12" xfId="29450"/>
    <cellStyle name="Normal 5 5 12 2" xfId="29451"/>
    <cellStyle name="Normal 5 5 13" xfId="29452"/>
    <cellStyle name="Normal 5 5 13 2" xfId="29453"/>
    <cellStyle name="Normal 5 5 14" xfId="29454"/>
    <cellStyle name="Normal 5 5 15" xfId="29455"/>
    <cellStyle name="Normal 5 5 2" xfId="29456"/>
    <cellStyle name="Normal 5 5 3" xfId="29457"/>
    <cellStyle name="Normal 5 5 3 10" xfId="29458"/>
    <cellStyle name="Normal 5 5 3 10 2" xfId="29459"/>
    <cellStyle name="Normal 5 5 3 11" xfId="29460"/>
    <cellStyle name="Normal 5 5 3 11 2" xfId="29461"/>
    <cellStyle name="Normal 5 5 3 12" xfId="29462"/>
    <cellStyle name="Normal 5 5 3 2" xfId="29463"/>
    <cellStyle name="Normal 5 5 3 2 10" xfId="29464"/>
    <cellStyle name="Normal 5 5 3 2 10 2" xfId="29465"/>
    <cellStyle name="Normal 5 5 3 2 11" xfId="29466"/>
    <cellStyle name="Normal 5 5 3 2 2" xfId="29467"/>
    <cellStyle name="Normal 5 5 3 2 2 2" xfId="29468"/>
    <cellStyle name="Normal 5 5 3 2 3" xfId="29469"/>
    <cellStyle name="Normal 5 5 3 2 3 2" xfId="29470"/>
    <cellStyle name="Normal 5 5 3 2 4" xfId="29471"/>
    <cellStyle name="Normal 5 5 3 2 4 2" xfId="29472"/>
    <cellStyle name="Normal 5 5 3 2 5" xfId="29473"/>
    <cellStyle name="Normal 5 5 3 2 5 2" xfId="29474"/>
    <cellStyle name="Normal 5 5 3 2 6" xfId="29475"/>
    <cellStyle name="Normal 5 5 3 2 6 2" xfId="29476"/>
    <cellStyle name="Normal 5 5 3 2 7" xfId="29477"/>
    <cellStyle name="Normal 5 5 3 2 7 2" xfId="29478"/>
    <cellStyle name="Normal 5 5 3 2 8" xfId="29479"/>
    <cellStyle name="Normal 5 5 3 2 8 2" xfId="29480"/>
    <cellStyle name="Normal 5 5 3 2 9" xfId="29481"/>
    <cellStyle name="Normal 5 5 3 2 9 2" xfId="29482"/>
    <cellStyle name="Normal 5 5 3 3" xfId="29483"/>
    <cellStyle name="Normal 5 5 3 3 2" xfId="29484"/>
    <cellStyle name="Normal 5 5 3 4" xfId="29485"/>
    <cellStyle name="Normal 5 5 3 4 2" xfId="29486"/>
    <cellStyle name="Normal 5 5 3 5" xfId="29487"/>
    <cellStyle name="Normal 5 5 3 5 2" xfId="29488"/>
    <cellStyle name="Normal 5 5 3 6" xfId="29489"/>
    <cellStyle name="Normal 5 5 3 6 2" xfId="29490"/>
    <cellStyle name="Normal 5 5 3 7" xfId="29491"/>
    <cellStyle name="Normal 5 5 3 7 2" xfId="29492"/>
    <cellStyle name="Normal 5 5 3 8" xfId="29493"/>
    <cellStyle name="Normal 5 5 3 8 2" xfId="29494"/>
    <cellStyle name="Normal 5 5 3 9" xfId="29495"/>
    <cellStyle name="Normal 5 5 3 9 2" xfId="29496"/>
    <cellStyle name="Normal 5 5 4" xfId="29497"/>
    <cellStyle name="Normal 5 5 4 10" xfId="29498"/>
    <cellStyle name="Normal 5 5 4 10 2" xfId="29499"/>
    <cellStyle name="Normal 5 5 4 11" xfId="29500"/>
    <cellStyle name="Normal 5 5 4 2" xfId="29501"/>
    <cellStyle name="Normal 5 5 4 2 2" xfId="29502"/>
    <cellStyle name="Normal 5 5 4 3" xfId="29503"/>
    <cellStyle name="Normal 5 5 4 3 2" xfId="29504"/>
    <cellStyle name="Normal 5 5 4 4" xfId="29505"/>
    <cellStyle name="Normal 5 5 4 4 2" xfId="29506"/>
    <cellStyle name="Normal 5 5 4 5" xfId="29507"/>
    <cellStyle name="Normal 5 5 4 5 2" xfId="29508"/>
    <cellStyle name="Normal 5 5 4 6" xfId="29509"/>
    <cellStyle name="Normal 5 5 4 6 2" xfId="29510"/>
    <cellStyle name="Normal 5 5 4 7" xfId="29511"/>
    <cellStyle name="Normal 5 5 4 7 2" xfId="29512"/>
    <cellStyle name="Normal 5 5 4 8" xfId="29513"/>
    <cellStyle name="Normal 5 5 4 8 2" xfId="29514"/>
    <cellStyle name="Normal 5 5 4 9" xfId="29515"/>
    <cellStyle name="Normal 5 5 4 9 2" xfId="29516"/>
    <cellStyle name="Normal 5 5 5" xfId="29517"/>
    <cellStyle name="Normal 5 5 5 2" xfId="29518"/>
    <cellStyle name="Normal 5 5 6" xfId="29519"/>
    <cellStyle name="Normal 5 5 6 2" xfId="29520"/>
    <cellStyle name="Normal 5 5 7" xfId="29521"/>
    <cellStyle name="Normal 5 5 7 2" xfId="29522"/>
    <cellStyle name="Normal 5 5 8" xfId="29523"/>
    <cellStyle name="Normal 5 5 8 2" xfId="29524"/>
    <cellStyle name="Normal 5 5 9" xfId="29525"/>
    <cellStyle name="Normal 5 5 9 2" xfId="29526"/>
    <cellStyle name="Normal 5 6" xfId="29527"/>
    <cellStyle name="Normal 5 6 2" xfId="29528"/>
    <cellStyle name="Normal 5 7" xfId="29529"/>
    <cellStyle name="Normal 5 8" xfId="29530"/>
    <cellStyle name="Normal 5 8 10" xfId="29531"/>
    <cellStyle name="Normal 5 8 10 2" xfId="29532"/>
    <cellStyle name="Normal 5 8 11" xfId="29533"/>
    <cellStyle name="Normal 5 8 11 2" xfId="29534"/>
    <cellStyle name="Normal 5 8 12" xfId="29535"/>
    <cellStyle name="Normal 5 8 12 2" xfId="29536"/>
    <cellStyle name="Normal 5 8 13" xfId="29537"/>
    <cellStyle name="Normal 5 8 2" xfId="29538"/>
    <cellStyle name="Normal 5 8 2 10" xfId="29539"/>
    <cellStyle name="Normal 5 8 2 10 2" xfId="29540"/>
    <cellStyle name="Normal 5 8 2 11" xfId="29541"/>
    <cellStyle name="Normal 5 8 2 11 2" xfId="29542"/>
    <cellStyle name="Normal 5 8 2 12" xfId="29543"/>
    <cellStyle name="Normal 5 8 2 2" xfId="29544"/>
    <cellStyle name="Normal 5 8 2 2 10" xfId="29545"/>
    <cellStyle name="Normal 5 8 2 2 10 2" xfId="29546"/>
    <cellStyle name="Normal 5 8 2 2 11" xfId="29547"/>
    <cellStyle name="Normal 5 8 2 2 2" xfId="29548"/>
    <cellStyle name="Normal 5 8 2 2 2 2" xfId="29549"/>
    <cellStyle name="Normal 5 8 2 2 3" xfId="29550"/>
    <cellStyle name="Normal 5 8 2 2 3 2" xfId="29551"/>
    <cellStyle name="Normal 5 8 2 2 4" xfId="29552"/>
    <cellStyle name="Normal 5 8 2 2 4 2" xfId="29553"/>
    <cellStyle name="Normal 5 8 2 2 5" xfId="29554"/>
    <cellStyle name="Normal 5 8 2 2 5 2" xfId="29555"/>
    <cellStyle name="Normal 5 8 2 2 6" xfId="29556"/>
    <cellStyle name="Normal 5 8 2 2 6 2" xfId="29557"/>
    <cellStyle name="Normal 5 8 2 2 7" xfId="29558"/>
    <cellStyle name="Normal 5 8 2 2 7 2" xfId="29559"/>
    <cellStyle name="Normal 5 8 2 2 8" xfId="29560"/>
    <cellStyle name="Normal 5 8 2 2 8 2" xfId="29561"/>
    <cellStyle name="Normal 5 8 2 2 9" xfId="29562"/>
    <cellStyle name="Normal 5 8 2 2 9 2" xfId="29563"/>
    <cellStyle name="Normal 5 8 2 3" xfId="29564"/>
    <cellStyle name="Normal 5 8 2 3 2" xfId="29565"/>
    <cellStyle name="Normal 5 8 2 4" xfId="29566"/>
    <cellStyle name="Normal 5 8 2 4 2" xfId="29567"/>
    <cellStyle name="Normal 5 8 2 5" xfId="29568"/>
    <cellStyle name="Normal 5 8 2 5 2" xfId="29569"/>
    <cellStyle name="Normal 5 8 2 6" xfId="29570"/>
    <cellStyle name="Normal 5 8 2 6 2" xfId="29571"/>
    <cellStyle name="Normal 5 8 2 7" xfId="29572"/>
    <cellStyle name="Normal 5 8 2 7 2" xfId="29573"/>
    <cellStyle name="Normal 5 8 2 8" xfId="29574"/>
    <cellStyle name="Normal 5 8 2 8 2" xfId="29575"/>
    <cellStyle name="Normal 5 8 2 9" xfId="29576"/>
    <cellStyle name="Normal 5 8 2 9 2" xfId="29577"/>
    <cellStyle name="Normal 5 8 3" xfId="29578"/>
    <cellStyle name="Normal 5 8 3 10" xfId="29579"/>
    <cellStyle name="Normal 5 8 3 10 2" xfId="29580"/>
    <cellStyle name="Normal 5 8 3 11" xfId="29581"/>
    <cellStyle name="Normal 5 8 3 2" xfId="29582"/>
    <cellStyle name="Normal 5 8 3 2 2" xfId="29583"/>
    <cellStyle name="Normal 5 8 3 3" xfId="29584"/>
    <cellStyle name="Normal 5 8 3 3 2" xfId="29585"/>
    <cellStyle name="Normal 5 8 3 4" xfId="29586"/>
    <cellStyle name="Normal 5 8 3 4 2" xfId="29587"/>
    <cellStyle name="Normal 5 8 3 5" xfId="29588"/>
    <cellStyle name="Normal 5 8 3 5 2" xfId="29589"/>
    <cellStyle name="Normal 5 8 3 6" xfId="29590"/>
    <cellStyle name="Normal 5 8 3 6 2" xfId="29591"/>
    <cellStyle name="Normal 5 8 3 7" xfId="29592"/>
    <cellStyle name="Normal 5 8 3 7 2" xfId="29593"/>
    <cellStyle name="Normal 5 8 3 8" xfId="29594"/>
    <cellStyle name="Normal 5 8 3 8 2" xfId="29595"/>
    <cellStyle name="Normal 5 8 3 9" xfId="29596"/>
    <cellStyle name="Normal 5 8 3 9 2" xfId="29597"/>
    <cellStyle name="Normal 5 8 4" xfId="29598"/>
    <cellStyle name="Normal 5 8 4 2" xfId="29599"/>
    <cellStyle name="Normal 5 8 5" xfId="29600"/>
    <cellStyle name="Normal 5 8 5 2" xfId="29601"/>
    <cellStyle name="Normal 5 8 6" xfId="29602"/>
    <cellStyle name="Normal 5 8 6 2" xfId="29603"/>
    <cellStyle name="Normal 5 8 7" xfId="29604"/>
    <cellStyle name="Normal 5 8 7 2" xfId="29605"/>
    <cellStyle name="Normal 5 8 8" xfId="29606"/>
    <cellStyle name="Normal 5 8 8 2" xfId="29607"/>
    <cellStyle name="Normal 5 8 9" xfId="29608"/>
    <cellStyle name="Normal 5 8 9 2" xfId="29609"/>
    <cellStyle name="Normal 5 9" xfId="29610"/>
    <cellStyle name="Normal 5 9 10" xfId="29611"/>
    <cellStyle name="Normal 5 9 10 2" xfId="29612"/>
    <cellStyle name="Normal 5 9 11" xfId="29613"/>
    <cellStyle name="Normal 5 9 11 2" xfId="29614"/>
    <cellStyle name="Normal 5 9 12" xfId="29615"/>
    <cellStyle name="Normal 5 9 2" xfId="29616"/>
    <cellStyle name="Normal 5 9 2 10" xfId="29617"/>
    <cellStyle name="Normal 5 9 2 10 2" xfId="29618"/>
    <cellStyle name="Normal 5 9 2 11" xfId="29619"/>
    <cellStyle name="Normal 5 9 2 2" xfId="29620"/>
    <cellStyle name="Normal 5 9 2 2 2" xfId="29621"/>
    <cellStyle name="Normal 5 9 2 3" xfId="29622"/>
    <cellStyle name="Normal 5 9 2 3 2" xfId="29623"/>
    <cellStyle name="Normal 5 9 2 4" xfId="29624"/>
    <cellStyle name="Normal 5 9 2 4 2" xfId="29625"/>
    <cellStyle name="Normal 5 9 2 5" xfId="29626"/>
    <cellStyle name="Normal 5 9 2 5 2" xfId="29627"/>
    <cellStyle name="Normal 5 9 2 6" xfId="29628"/>
    <cellStyle name="Normal 5 9 2 6 2" xfId="29629"/>
    <cellStyle name="Normal 5 9 2 7" xfId="29630"/>
    <cellStyle name="Normal 5 9 2 7 2" xfId="29631"/>
    <cellStyle name="Normal 5 9 2 8" xfId="29632"/>
    <cellStyle name="Normal 5 9 2 8 2" xfId="29633"/>
    <cellStyle name="Normal 5 9 2 9" xfId="29634"/>
    <cellStyle name="Normal 5 9 2 9 2" xfId="29635"/>
    <cellStyle name="Normal 5 9 3" xfId="29636"/>
    <cellStyle name="Normal 5 9 3 2" xfId="29637"/>
    <cellStyle name="Normal 5 9 4" xfId="29638"/>
    <cellStyle name="Normal 5 9 4 2" xfId="29639"/>
    <cellStyle name="Normal 5 9 5" xfId="29640"/>
    <cellStyle name="Normal 5 9 5 2" xfId="29641"/>
    <cellStyle name="Normal 5 9 6" xfId="29642"/>
    <cellStyle name="Normal 5 9 6 2" xfId="29643"/>
    <cellStyle name="Normal 5 9 7" xfId="29644"/>
    <cellStyle name="Normal 5 9 7 2" xfId="29645"/>
    <cellStyle name="Normal 5 9 8" xfId="29646"/>
    <cellStyle name="Normal 5 9 8 2" xfId="29647"/>
    <cellStyle name="Normal 5 9 9" xfId="29648"/>
    <cellStyle name="Normal 5 9 9 2" xfId="29649"/>
    <cellStyle name="Normal 50" xfId="29650"/>
    <cellStyle name="Normal 51" xfId="29651"/>
    <cellStyle name="Normal 52" xfId="29652"/>
    <cellStyle name="Normal 53" xfId="29653"/>
    <cellStyle name="Normal 54" xfId="29654"/>
    <cellStyle name="Normal 55" xfId="29655"/>
    <cellStyle name="Normal 56" xfId="29656"/>
    <cellStyle name="Normal 57" xfId="29657"/>
    <cellStyle name="Normal 6" xfId="29658"/>
    <cellStyle name="Normal 6 10" xfId="29659"/>
    <cellStyle name="Normal 6 10 10" xfId="29660"/>
    <cellStyle name="Normal 6 10 10 2" xfId="29661"/>
    <cellStyle name="Normal 6 10 11" xfId="29662"/>
    <cellStyle name="Normal 6 10 2" xfId="29663"/>
    <cellStyle name="Normal 6 10 2 2" xfId="29664"/>
    <cellStyle name="Normal 6 10 3" xfId="29665"/>
    <cellStyle name="Normal 6 10 3 2" xfId="29666"/>
    <cellStyle name="Normal 6 10 4" xfId="29667"/>
    <cellStyle name="Normal 6 10 4 2" xfId="29668"/>
    <cellStyle name="Normal 6 10 5" xfId="29669"/>
    <cellStyle name="Normal 6 10 5 2" xfId="29670"/>
    <cellStyle name="Normal 6 10 6" xfId="29671"/>
    <cellStyle name="Normal 6 10 6 2" xfId="29672"/>
    <cellStyle name="Normal 6 10 7" xfId="29673"/>
    <cellStyle name="Normal 6 10 7 2" xfId="29674"/>
    <cellStyle name="Normal 6 10 8" xfId="29675"/>
    <cellStyle name="Normal 6 10 8 2" xfId="29676"/>
    <cellStyle name="Normal 6 10 9" xfId="29677"/>
    <cellStyle name="Normal 6 10 9 2" xfId="29678"/>
    <cellStyle name="Normal 6 11" xfId="29679"/>
    <cellStyle name="Normal 6 11 2" xfId="29680"/>
    <cellStyle name="Normal 6 12" xfId="29681"/>
    <cellStyle name="Normal 6 12 2" xfId="29682"/>
    <cellStyle name="Normal 6 13" xfId="29683"/>
    <cellStyle name="Normal 6 13 2" xfId="29684"/>
    <cellStyle name="Normal 6 14" xfId="29685"/>
    <cellStyle name="Normal 6 14 2" xfId="29686"/>
    <cellStyle name="Normal 6 15" xfId="29687"/>
    <cellStyle name="Normal 6 15 2" xfId="29688"/>
    <cellStyle name="Normal 6 16" xfId="29689"/>
    <cellStyle name="Normal 6 16 2" xfId="29690"/>
    <cellStyle name="Normal 6 17" xfId="29691"/>
    <cellStyle name="Normal 6 17 2" xfId="29692"/>
    <cellStyle name="Normal 6 18" xfId="29693"/>
    <cellStyle name="Normal 6 18 2" xfId="29694"/>
    <cellStyle name="Normal 6 19" xfId="29695"/>
    <cellStyle name="Normal 6 19 2" xfId="29696"/>
    <cellStyle name="Normal 6 2" xfId="29697"/>
    <cellStyle name="Normal 6 2 10" xfId="29698"/>
    <cellStyle name="Normal 6 2 10 2" xfId="29699"/>
    <cellStyle name="Normal 6 2 11" xfId="29700"/>
    <cellStyle name="Normal 6 2 11 2" xfId="29701"/>
    <cellStyle name="Normal 6 2 12" xfId="29702"/>
    <cellStyle name="Normal 6 2 12 2" xfId="29703"/>
    <cellStyle name="Normal 6 2 13" xfId="29704"/>
    <cellStyle name="Normal 6 2 13 2" xfId="29705"/>
    <cellStyle name="Normal 6 2 14" xfId="29706"/>
    <cellStyle name="Normal 6 2 14 2" xfId="29707"/>
    <cellStyle name="Normal 6 2 15" xfId="29708"/>
    <cellStyle name="Normal 6 2 15 2" xfId="29709"/>
    <cellStyle name="Normal 6 2 16" xfId="29710"/>
    <cellStyle name="Normal 6 2 16 2" xfId="29711"/>
    <cellStyle name="Normal 6 2 17" xfId="29712"/>
    <cellStyle name="Normal 6 2 17 2" xfId="29713"/>
    <cellStyle name="Normal 6 2 18" xfId="29714"/>
    <cellStyle name="Normal 6 2 19" xfId="29715"/>
    <cellStyle name="Normal 6 2 2" xfId="29716"/>
    <cellStyle name="Normal 6 2 2 10" xfId="29717"/>
    <cellStyle name="Normal 6 2 2 10 2" xfId="29718"/>
    <cellStyle name="Normal 6 2 2 11" xfId="29719"/>
    <cellStyle name="Normal 6 2 2 11 2" xfId="29720"/>
    <cellStyle name="Normal 6 2 2 12" xfId="29721"/>
    <cellStyle name="Normal 6 2 2 12 2" xfId="29722"/>
    <cellStyle name="Normal 6 2 2 13" xfId="29723"/>
    <cellStyle name="Normal 6 2 2 14" xfId="29724"/>
    <cellStyle name="Normal 6 2 2 2" xfId="29725"/>
    <cellStyle name="Normal 6 2 2 2 10" xfId="29726"/>
    <cellStyle name="Normal 6 2 2 2 10 2" xfId="29727"/>
    <cellStyle name="Normal 6 2 2 2 11" xfId="29728"/>
    <cellStyle name="Normal 6 2 2 2 11 2" xfId="29729"/>
    <cellStyle name="Normal 6 2 2 2 12" xfId="29730"/>
    <cellStyle name="Normal 6 2 2 2 2" xfId="29731"/>
    <cellStyle name="Normal 6 2 2 2 2 10" xfId="29732"/>
    <cellStyle name="Normal 6 2 2 2 2 10 2" xfId="29733"/>
    <cellStyle name="Normal 6 2 2 2 2 11" xfId="29734"/>
    <cellStyle name="Normal 6 2 2 2 2 2" xfId="29735"/>
    <cellStyle name="Normal 6 2 2 2 2 2 2" xfId="29736"/>
    <cellStyle name="Normal 6 2 2 2 2 3" xfId="29737"/>
    <cellStyle name="Normal 6 2 2 2 2 3 2" xfId="29738"/>
    <cellStyle name="Normal 6 2 2 2 2 4" xfId="29739"/>
    <cellStyle name="Normal 6 2 2 2 2 4 2" xfId="29740"/>
    <cellStyle name="Normal 6 2 2 2 2 5" xfId="29741"/>
    <cellStyle name="Normal 6 2 2 2 2 5 2" xfId="29742"/>
    <cellStyle name="Normal 6 2 2 2 2 6" xfId="29743"/>
    <cellStyle name="Normal 6 2 2 2 2 6 2" xfId="29744"/>
    <cellStyle name="Normal 6 2 2 2 2 7" xfId="29745"/>
    <cellStyle name="Normal 6 2 2 2 2 7 2" xfId="29746"/>
    <cellStyle name="Normal 6 2 2 2 2 8" xfId="29747"/>
    <cellStyle name="Normal 6 2 2 2 2 8 2" xfId="29748"/>
    <cellStyle name="Normal 6 2 2 2 2 9" xfId="29749"/>
    <cellStyle name="Normal 6 2 2 2 2 9 2" xfId="29750"/>
    <cellStyle name="Normal 6 2 2 2 3" xfId="29751"/>
    <cellStyle name="Normal 6 2 2 2 3 2" xfId="29752"/>
    <cellStyle name="Normal 6 2 2 2 4" xfId="29753"/>
    <cellStyle name="Normal 6 2 2 2 4 2" xfId="29754"/>
    <cellStyle name="Normal 6 2 2 2 5" xfId="29755"/>
    <cellStyle name="Normal 6 2 2 2 5 2" xfId="29756"/>
    <cellStyle name="Normal 6 2 2 2 6" xfId="29757"/>
    <cellStyle name="Normal 6 2 2 2 6 2" xfId="29758"/>
    <cellStyle name="Normal 6 2 2 2 7" xfId="29759"/>
    <cellStyle name="Normal 6 2 2 2 7 2" xfId="29760"/>
    <cellStyle name="Normal 6 2 2 2 8" xfId="29761"/>
    <cellStyle name="Normal 6 2 2 2 8 2" xfId="29762"/>
    <cellStyle name="Normal 6 2 2 2 9" xfId="29763"/>
    <cellStyle name="Normal 6 2 2 2 9 2" xfId="29764"/>
    <cellStyle name="Normal 6 2 2 3" xfId="29765"/>
    <cellStyle name="Normal 6 2 2 3 10" xfId="29766"/>
    <cellStyle name="Normal 6 2 2 3 10 2" xfId="29767"/>
    <cellStyle name="Normal 6 2 2 3 11" xfId="29768"/>
    <cellStyle name="Normal 6 2 2 3 2" xfId="29769"/>
    <cellStyle name="Normal 6 2 2 3 2 2" xfId="29770"/>
    <cellStyle name="Normal 6 2 2 3 3" xfId="29771"/>
    <cellStyle name="Normal 6 2 2 3 3 2" xfId="29772"/>
    <cellStyle name="Normal 6 2 2 3 4" xfId="29773"/>
    <cellStyle name="Normal 6 2 2 3 4 2" xfId="29774"/>
    <cellStyle name="Normal 6 2 2 3 5" xfId="29775"/>
    <cellStyle name="Normal 6 2 2 3 5 2" xfId="29776"/>
    <cellStyle name="Normal 6 2 2 3 6" xfId="29777"/>
    <cellStyle name="Normal 6 2 2 3 6 2" xfId="29778"/>
    <cellStyle name="Normal 6 2 2 3 7" xfId="29779"/>
    <cellStyle name="Normal 6 2 2 3 7 2" xfId="29780"/>
    <cellStyle name="Normal 6 2 2 3 8" xfId="29781"/>
    <cellStyle name="Normal 6 2 2 3 8 2" xfId="29782"/>
    <cellStyle name="Normal 6 2 2 3 9" xfId="29783"/>
    <cellStyle name="Normal 6 2 2 3 9 2" xfId="29784"/>
    <cellStyle name="Normal 6 2 2 4" xfId="29785"/>
    <cellStyle name="Normal 6 2 2 4 2" xfId="29786"/>
    <cellStyle name="Normal 6 2 2 5" xfId="29787"/>
    <cellStyle name="Normal 6 2 2 5 2" xfId="29788"/>
    <cellStyle name="Normal 6 2 2 6" xfId="29789"/>
    <cellStyle name="Normal 6 2 2 6 2" xfId="29790"/>
    <cellStyle name="Normal 6 2 2 7" xfId="29791"/>
    <cellStyle name="Normal 6 2 2 7 2" xfId="29792"/>
    <cellStyle name="Normal 6 2 2 8" xfId="29793"/>
    <cellStyle name="Normal 6 2 2 8 2" xfId="29794"/>
    <cellStyle name="Normal 6 2 2 9" xfId="29795"/>
    <cellStyle name="Normal 6 2 2 9 2" xfId="29796"/>
    <cellStyle name="Normal 6 2 20" xfId="29797"/>
    <cellStyle name="Normal 6 2 21" xfId="29798"/>
    <cellStyle name="Normal 6 2 3" xfId="29799"/>
    <cellStyle name="Normal 6 2 3 10" xfId="29800"/>
    <cellStyle name="Normal 6 2 3 10 2" xfId="29801"/>
    <cellStyle name="Normal 6 2 3 11" xfId="29802"/>
    <cellStyle name="Normal 6 2 3 11 2" xfId="29803"/>
    <cellStyle name="Normal 6 2 3 12" xfId="29804"/>
    <cellStyle name="Normal 6 2 3 12 2" xfId="29805"/>
    <cellStyle name="Normal 6 2 3 13" xfId="29806"/>
    <cellStyle name="Normal 6 2 3 2" xfId="29807"/>
    <cellStyle name="Normal 6 2 3 2 10" xfId="29808"/>
    <cellStyle name="Normal 6 2 3 2 10 2" xfId="29809"/>
    <cellStyle name="Normal 6 2 3 2 11" xfId="29810"/>
    <cellStyle name="Normal 6 2 3 2 11 2" xfId="29811"/>
    <cellStyle name="Normal 6 2 3 2 12" xfId="29812"/>
    <cellStyle name="Normal 6 2 3 2 2" xfId="29813"/>
    <cellStyle name="Normal 6 2 3 2 2 10" xfId="29814"/>
    <cellStyle name="Normal 6 2 3 2 2 10 2" xfId="29815"/>
    <cellStyle name="Normal 6 2 3 2 2 11" xfId="29816"/>
    <cellStyle name="Normal 6 2 3 2 2 2" xfId="29817"/>
    <cellStyle name="Normal 6 2 3 2 2 2 2" xfId="29818"/>
    <cellStyle name="Normal 6 2 3 2 2 3" xfId="29819"/>
    <cellStyle name="Normal 6 2 3 2 2 3 2" xfId="29820"/>
    <cellStyle name="Normal 6 2 3 2 2 4" xfId="29821"/>
    <cellStyle name="Normal 6 2 3 2 2 4 2" xfId="29822"/>
    <cellStyle name="Normal 6 2 3 2 2 5" xfId="29823"/>
    <cellStyle name="Normal 6 2 3 2 2 5 2" xfId="29824"/>
    <cellStyle name="Normal 6 2 3 2 2 6" xfId="29825"/>
    <cellStyle name="Normal 6 2 3 2 2 6 2" xfId="29826"/>
    <cellStyle name="Normal 6 2 3 2 2 7" xfId="29827"/>
    <cellStyle name="Normal 6 2 3 2 2 7 2" xfId="29828"/>
    <cellStyle name="Normal 6 2 3 2 2 8" xfId="29829"/>
    <cellStyle name="Normal 6 2 3 2 2 8 2" xfId="29830"/>
    <cellStyle name="Normal 6 2 3 2 2 9" xfId="29831"/>
    <cellStyle name="Normal 6 2 3 2 2 9 2" xfId="29832"/>
    <cellStyle name="Normal 6 2 3 2 3" xfId="29833"/>
    <cellStyle name="Normal 6 2 3 2 3 2" xfId="29834"/>
    <cellStyle name="Normal 6 2 3 2 4" xfId="29835"/>
    <cellStyle name="Normal 6 2 3 2 4 2" xfId="29836"/>
    <cellStyle name="Normal 6 2 3 2 5" xfId="29837"/>
    <cellStyle name="Normal 6 2 3 2 5 2" xfId="29838"/>
    <cellStyle name="Normal 6 2 3 2 6" xfId="29839"/>
    <cellStyle name="Normal 6 2 3 2 6 2" xfId="29840"/>
    <cellStyle name="Normal 6 2 3 2 7" xfId="29841"/>
    <cellStyle name="Normal 6 2 3 2 7 2" xfId="29842"/>
    <cellStyle name="Normal 6 2 3 2 8" xfId="29843"/>
    <cellStyle name="Normal 6 2 3 2 8 2" xfId="29844"/>
    <cellStyle name="Normal 6 2 3 2 9" xfId="29845"/>
    <cellStyle name="Normal 6 2 3 2 9 2" xfId="29846"/>
    <cellStyle name="Normal 6 2 3 3" xfId="29847"/>
    <cellStyle name="Normal 6 2 3 3 10" xfId="29848"/>
    <cellStyle name="Normal 6 2 3 3 10 2" xfId="29849"/>
    <cellStyle name="Normal 6 2 3 3 11" xfId="29850"/>
    <cellStyle name="Normal 6 2 3 3 2" xfId="29851"/>
    <cellStyle name="Normal 6 2 3 3 2 2" xfId="29852"/>
    <cellStyle name="Normal 6 2 3 3 3" xfId="29853"/>
    <cellStyle name="Normal 6 2 3 3 3 2" xfId="29854"/>
    <cellStyle name="Normal 6 2 3 3 4" xfId="29855"/>
    <cellStyle name="Normal 6 2 3 3 4 2" xfId="29856"/>
    <cellStyle name="Normal 6 2 3 3 5" xfId="29857"/>
    <cellStyle name="Normal 6 2 3 3 5 2" xfId="29858"/>
    <cellStyle name="Normal 6 2 3 3 6" xfId="29859"/>
    <cellStyle name="Normal 6 2 3 3 6 2" xfId="29860"/>
    <cellStyle name="Normal 6 2 3 3 7" xfId="29861"/>
    <cellStyle name="Normal 6 2 3 3 7 2" xfId="29862"/>
    <cellStyle name="Normal 6 2 3 3 8" xfId="29863"/>
    <cellStyle name="Normal 6 2 3 3 8 2" xfId="29864"/>
    <cellStyle name="Normal 6 2 3 3 9" xfId="29865"/>
    <cellStyle name="Normal 6 2 3 3 9 2" xfId="29866"/>
    <cellStyle name="Normal 6 2 3 4" xfId="29867"/>
    <cellStyle name="Normal 6 2 3 4 2" xfId="29868"/>
    <cellStyle name="Normal 6 2 3 5" xfId="29869"/>
    <cellStyle name="Normal 6 2 3 5 2" xfId="29870"/>
    <cellStyle name="Normal 6 2 3 6" xfId="29871"/>
    <cellStyle name="Normal 6 2 3 6 2" xfId="29872"/>
    <cellStyle name="Normal 6 2 3 7" xfId="29873"/>
    <cellStyle name="Normal 6 2 3 7 2" xfId="29874"/>
    <cellStyle name="Normal 6 2 3 8" xfId="29875"/>
    <cellStyle name="Normal 6 2 3 8 2" xfId="29876"/>
    <cellStyle name="Normal 6 2 3 9" xfId="29877"/>
    <cellStyle name="Normal 6 2 3 9 2" xfId="29878"/>
    <cellStyle name="Normal 6 2 4" xfId="29879"/>
    <cellStyle name="Normal 6 2 4 10" xfId="29880"/>
    <cellStyle name="Normal 6 2 4 10 2" xfId="29881"/>
    <cellStyle name="Normal 6 2 4 11" xfId="29882"/>
    <cellStyle name="Normal 6 2 4 11 2" xfId="29883"/>
    <cellStyle name="Normal 6 2 4 12" xfId="29884"/>
    <cellStyle name="Normal 6 2 4 12 2" xfId="29885"/>
    <cellStyle name="Normal 6 2 4 13" xfId="29886"/>
    <cellStyle name="Normal 6 2 4 2" xfId="29887"/>
    <cellStyle name="Normal 6 2 4 2 10" xfId="29888"/>
    <cellStyle name="Normal 6 2 4 2 10 2" xfId="29889"/>
    <cellStyle name="Normal 6 2 4 2 11" xfId="29890"/>
    <cellStyle name="Normal 6 2 4 2 11 2" xfId="29891"/>
    <cellStyle name="Normal 6 2 4 2 12" xfId="29892"/>
    <cellStyle name="Normal 6 2 4 2 2" xfId="29893"/>
    <cellStyle name="Normal 6 2 4 2 2 10" xfId="29894"/>
    <cellStyle name="Normal 6 2 4 2 2 10 2" xfId="29895"/>
    <cellStyle name="Normal 6 2 4 2 2 11" xfId="29896"/>
    <cellStyle name="Normal 6 2 4 2 2 2" xfId="29897"/>
    <cellStyle name="Normal 6 2 4 2 2 2 2" xfId="29898"/>
    <cellStyle name="Normal 6 2 4 2 2 3" xfId="29899"/>
    <cellStyle name="Normal 6 2 4 2 2 3 2" xfId="29900"/>
    <cellStyle name="Normal 6 2 4 2 2 4" xfId="29901"/>
    <cellStyle name="Normal 6 2 4 2 2 4 2" xfId="29902"/>
    <cellStyle name="Normal 6 2 4 2 2 5" xfId="29903"/>
    <cellStyle name="Normal 6 2 4 2 2 5 2" xfId="29904"/>
    <cellStyle name="Normal 6 2 4 2 2 6" xfId="29905"/>
    <cellStyle name="Normal 6 2 4 2 2 6 2" xfId="29906"/>
    <cellStyle name="Normal 6 2 4 2 2 7" xfId="29907"/>
    <cellStyle name="Normal 6 2 4 2 2 7 2" xfId="29908"/>
    <cellStyle name="Normal 6 2 4 2 2 8" xfId="29909"/>
    <cellStyle name="Normal 6 2 4 2 2 8 2" xfId="29910"/>
    <cellStyle name="Normal 6 2 4 2 2 9" xfId="29911"/>
    <cellStyle name="Normal 6 2 4 2 2 9 2" xfId="29912"/>
    <cellStyle name="Normal 6 2 4 2 3" xfId="29913"/>
    <cellStyle name="Normal 6 2 4 2 3 2" xfId="29914"/>
    <cellStyle name="Normal 6 2 4 2 4" xfId="29915"/>
    <cellStyle name="Normal 6 2 4 2 4 2" xfId="29916"/>
    <cellStyle name="Normal 6 2 4 2 5" xfId="29917"/>
    <cellStyle name="Normal 6 2 4 2 5 2" xfId="29918"/>
    <cellStyle name="Normal 6 2 4 2 6" xfId="29919"/>
    <cellStyle name="Normal 6 2 4 2 6 2" xfId="29920"/>
    <cellStyle name="Normal 6 2 4 2 7" xfId="29921"/>
    <cellStyle name="Normal 6 2 4 2 7 2" xfId="29922"/>
    <cellStyle name="Normal 6 2 4 2 8" xfId="29923"/>
    <cellStyle name="Normal 6 2 4 2 8 2" xfId="29924"/>
    <cellStyle name="Normal 6 2 4 2 9" xfId="29925"/>
    <cellStyle name="Normal 6 2 4 2 9 2" xfId="29926"/>
    <cellStyle name="Normal 6 2 4 3" xfId="29927"/>
    <cellStyle name="Normal 6 2 4 3 10" xfId="29928"/>
    <cellStyle name="Normal 6 2 4 3 10 2" xfId="29929"/>
    <cellStyle name="Normal 6 2 4 3 11" xfId="29930"/>
    <cellStyle name="Normal 6 2 4 3 2" xfId="29931"/>
    <cellStyle name="Normal 6 2 4 3 2 2" xfId="29932"/>
    <cellStyle name="Normal 6 2 4 3 3" xfId="29933"/>
    <cellStyle name="Normal 6 2 4 3 3 2" xfId="29934"/>
    <cellStyle name="Normal 6 2 4 3 4" xfId="29935"/>
    <cellStyle name="Normal 6 2 4 3 4 2" xfId="29936"/>
    <cellStyle name="Normal 6 2 4 3 5" xfId="29937"/>
    <cellStyle name="Normal 6 2 4 3 5 2" xfId="29938"/>
    <cellStyle name="Normal 6 2 4 3 6" xfId="29939"/>
    <cellStyle name="Normal 6 2 4 3 6 2" xfId="29940"/>
    <cellStyle name="Normal 6 2 4 3 7" xfId="29941"/>
    <cellStyle name="Normal 6 2 4 3 7 2" xfId="29942"/>
    <cellStyle name="Normal 6 2 4 3 8" xfId="29943"/>
    <cellStyle name="Normal 6 2 4 3 8 2" xfId="29944"/>
    <cellStyle name="Normal 6 2 4 3 9" xfId="29945"/>
    <cellStyle name="Normal 6 2 4 3 9 2" xfId="29946"/>
    <cellStyle name="Normal 6 2 4 4" xfId="29947"/>
    <cellStyle name="Normal 6 2 4 4 2" xfId="29948"/>
    <cellStyle name="Normal 6 2 4 5" xfId="29949"/>
    <cellStyle name="Normal 6 2 4 5 2" xfId="29950"/>
    <cellStyle name="Normal 6 2 4 6" xfId="29951"/>
    <cellStyle name="Normal 6 2 4 6 2" xfId="29952"/>
    <cellStyle name="Normal 6 2 4 7" xfId="29953"/>
    <cellStyle name="Normal 6 2 4 7 2" xfId="29954"/>
    <cellStyle name="Normal 6 2 4 8" xfId="29955"/>
    <cellStyle name="Normal 6 2 4 8 2" xfId="29956"/>
    <cellStyle name="Normal 6 2 4 9" xfId="29957"/>
    <cellStyle name="Normal 6 2 4 9 2" xfId="29958"/>
    <cellStyle name="Normal 6 2 5" xfId="29959"/>
    <cellStyle name="Normal 6 2 6" xfId="29960"/>
    <cellStyle name="Normal 6 2 6 10" xfId="29961"/>
    <cellStyle name="Normal 6 2 6 10 2" xfId="29962"/>
    <cellStyle name="Normal 6 2 6 11" xfId="29963"/>
    <cellStyle name="Normal 6 2 6 11 2" xfId="29964"/>
    <cellStyle name="Normal 6 2 6 12" xfId="29965"/>
    <cellStyle name="Normal 6 2 6 12 2" xfId="29966"/>
    <cellStyle name="Normal 6 2 6 13" xfId="29967"/>
    <cellStyle name="Normal 6 2 6 2" xfId="29968"/>
    <cellStyle name="Normal 6 2 6 2 10" xfId="29969"/>
    <cellStyle name="Normal 6 2 6 2 10 2" xfId="29970"/>
    <cellStyle name="Normal 6 2 6 2 11" xfId="29971"/>
    <cellStyle name="Normal 6 2 6 2 11 2" xfId="29972"/>
    <cellStyle name="Normal 6 2 6 2 12" xfId="29973"/>
    <cellStyle name="Normal 6 2 6 2 2" xfId="29974"/>
    <cellStyle name="Normal 6 2 6 2 2 10" xfId="29975"/>
    <cellStyle name="Normal 6 2 6 2 2 10 2" xfId="29976"/>
    <cellStyle name="Normal 6 2 6 2 2 11" xfId="29977"/>
    <cellStyle name="Normal 6 2 6 2 2 2" xfId="29978"/>
    <cellStyle name="Normal 6 2 6 2 2 2 2" xfId="29979"/>
    <cellStyle name="Normal 6 2 6 2 2 3" xfId="29980"/>
    <cellStyle name="Normal 6 2 6 2 2 3 2" xfId="29981"/>
    <cellStyle name="Normal 6 2 6 2 2 4" xfId="29982"/>
    <cellStyle name="Normal 6 2 6 2 2 4 2" xfId="29983"/>
    <cellStyle name="Normal 6 2 6 2 2 5" xfId="29984"/>
    <cellStyle name="Normal 6 2 6 2 2 5 2" xfId="29985"/>
    <cellStyle name="Normal 6 2 6 2 2 6" xfId="29986"/>
    <cellStyle name="Normal 6 2 6 2 2 6 2" xfId="29987"/>
    <cellStyle name="Normal 6 2 6 2 2 7" xfId="29988"/>
    <cellStyle name="Normal 6 2 6 2 2 7 2" xfId="29989"/>
    <cellStyle name="Normal 6 2 6 2 2 8" xfId="29990"/>
    <cellStyle name="Normal 6 2 6 2 2 8 2" xfId="29991"/>
    <cellStyle name="Normal 6 2 6 2 2 9" xfId="29992"/>
    <cellStyle name="Normal 6 2 6 2 2 9 2" xfId="29993"/>
    <cellStyle name="Normal 6 2 6 2 3" xfId="29994"/>
    <cellStyle name="Normal 6 2 6 2 3 2" xfId="29995"/>
    <cellStyle name="Normal 6 2 6 2 4" xfId="29996"/>
    <cellStyle name="Normal 6 2 6 2 4 2" xfId="29997"/>
    <cellStyle name="Normal 6 2 6 2 5" xfId="29998"/>
    <cellStyle name="Normal 6 2 6 2 5 2" xfId="29999"/>
    <cellStyle name="Normal 6 2 6 2 6" xfId="30000"/>
    <cellStyle name="Normal 6 2 6 2 6 2" xfId="30001"/>
    <cellStyle name="Normal 6 2 6 2 7" xfId="30002"/>
    <cellStyle name="Normal 6 2 6 2 7 2" xfId="30003"/>
    <cellStyle name="Normal 6 2 6 2 8" xfId="30004"/>
    <cellStyle name="Normal 6 2 6 2 8 2" xfId="30005"/>
    <cellStyle name="Normal 6 2 6 2 9" xfId="30006"/>
    <cellStyle name="Normal 6 2 6 2 9 2" xfId="30007"/>
    <cellStyle name="Normal 6 2 6 3" xfId="30008"/>
    <cellStyle name="Normal 6 2 6 3 10" xfId="30009"/>
    <cellStyle name="Normal 6 2 6 3 10 2" xfId="30010"/>
    <cellStyle name="Normal 6 2 6 3 11" xfId="30011"/>
    <cellStyle name="Normal 6 2 6 3 2" xfId="30012"/>
    <cellStyle name="Normal 6 2 6 3 2 2" xfId="30013"/>
    <cellStyle name="Normal 6 2 6 3 3" xfId="30014"/>
    <cellStyle name="Normal 6 2 6 3 3 2" xfId="30015"/>
    <cellStyle name="Normal 6 2 6 3 4" xfId="30016"/>
    <cellStyle name="Normal 6 2 6 3 4 2" xfId="30017"/>
    <cellStyle name="Normal 6 2 6 3 5" xfId="30018"/>
    <cellStyle name="Normal 6 2 6 3 5 2" xfId="30019"/>
    <cellStyle name="Normal 6 2 6 3 6" xfId="30020"/>
    <cellStyle name="Normal 6 2 6 3 6 2" xfId="30021"/>
    <cellStyle name="Normal 6 2 6 3 7" xfId="30022"/>
    <cellStyle name="Normal 6 2 6 3 7 2" xfId="30023"/>
    <cellStyle name="Normal 6 2 6 3 8" xfId="30024"/>
    <cellStyle name="Normal 6 2 6 3 8 2" xfId="30025"/>
    <cellStyle name="Normal 6 2 6 3 9" xfId="30026"/>
    <cellStyle name="Normal 6 2 6 3 9 2" xfId="30027"/>
    <cellStyle name="Normal 6 2 6 4" xfId="30028"/>
    <cellStyle name="Normal 6 2 6 4 2" xfId="30029"/>
    <cellStyle name="Normal 6 2 6 5" xfId="30030"/>
    <cellStyle name="Normal 6 2 6 5 2" xfId="30031"/>
    <cellStyle name="Normal 6 2 6 6" xfId="30032"/>
    <cellStyle name="Normal 6 2 6 6 2" xfId="30033"/>
    <cellStyle name="Normal 6 2 6 7" xfId="30034"/>
    <cellStyle name="Normal 6 2 6 7 2" xfId="30035"/>
    <cellStyle name="Normal 6 2 6 8" xfId="30036"/>
    <cellStyle name="Normal 6 2 6 8 2" xfId="30037"/>
    <cellStyle name="Normal 6 2 6 9" xfId="30038"/>
    <cellStyle name="Normal 6 2 6 9 2" xfId="30039"/>
    <cellStyle name="Normal 6 2 7" xfId="30040"/>
    <cellStyle name="Normal 6 2 7 10" xfId="30041"/>
    <cellStyle name="Normal 6 2 7 10 2" xfId="30042"/>
    <cellStyle name="Normal 6 2 7 11" xfId="30043"/>
    <cellStyle name="Normal 6 2 7 11 2" xfId="30044"/>
    <cellStyle name="Normal 6 2 7 12" xfId="30045"/>
    <cellStyle name="Normal 6 2 7 2" xfId="30046"/>
    <cellStyle name="Normal 6 2 7 2 10" xfId="30047"/>
    <cellStyle name="Normal 6 2 7 2 10 2" xfId="30048"/>
    <cellStyle name="Normal 6 2 7 2 11" xfId="30049"/>
    <cellStyle name="Normal 6 2 7 2 2" xfId="30050"/>
    <cellStyle name="Normal 6 2 7 2 2 2" xfId="30051"/>
    <cellStyle name="Normal 6 2 7 2 3" xfId="30052"/>
    <cellStyle name="Normal 6 2 7 2 3 2" xfId="30053"/>
    <cellStyle name="Normal 6 2 7 2 4" xfId="30054"/>
    <cellStyle name="Normal 6 2 7 2 4 2" xfId="30055"/>
    <cellStyle name="Normal 6 2 7 2 5" xfId="30056"/>
    <cellStyle name="Normal 6 2 7 2 5 2" xfId="30057"/>
    <cellStyle name="Normal 6 2 7 2 6" xfId="30058"/>
    <cellStyle name="Normal 6 2 7 2 6 2" xfId="30059"/>
    <cellStyle name="Normal 6 2 7 2 7" xfId="30060"/>
    <cellStyle name="Normal 6 2 7 2 7 2" xfId="30061"/>
    <cellStyle name="Normal 6 2 7 2 8" xfId="30062"/>
    <cellStyle name="Normal 6 2 7 2 8 2" xfId="30063"/>
    <cellStyle name="Normal 6 2 7 2 9" xfId="30064"/>
    <cellStyle name="Normal 6 2 7 2 9 2" xfId="30065"/>
    <cellStyle name="Normal 6 2 7 3" xfId="30066"/>
    <cellStyle name="Normal 6 2 7 3 2" xfId="30067"/>
    <cellStyle name="Normal 6 2 7 4" xfId="30068"/>
    <cellStyle name="Normal 6 2 7 4 2" xfId="30069"/>
    <cellStyle name="Normal 6 2 7 5" xfId="30070"/>
    <cellStyle name="Normal 6 2 7 5 2" xfId="30071"/>
    <cellStyle name="Normal 6 2 7 6" xfId="30072"/>
    <cellStyle name="Normal 6 2 7 6 2" xfId="30073"/>
    <cellStyle name="Normal 6 2 7 7" xfId="30074"/>
    <cellStyle name="Normal 6 2 7 7 2" xfId="30075"/>
    <cellStyle name="Normal 6 2 7 8" xfId="30076"/>
    <cellStyle name="Normal 6 2 7 8 2" xfId="30077"/>
    <cellStyle name="Normal 6 2 7 9" xfId="30078"/>
    <cellStyle name="Normal 6 2 7 9 2" xfId="30079"/>
    <cellStyle name="Normal 6 2 8" xfId="30080"/>
    <cellStyle name="Normal 6 2 8 10" xfId="30081"/>
    <cellStyle name="Normal 6 2 8 10 2" xfId="30082"/>
    <cellStyle name="Normal 6 2 8 11" xfId="30083"/>
    <cellStyle name="Normal 6 2 8 2" xfId="30084"/>
    <cellStyle name="Normal 6 2 8 2 2" xfId="30085"/>
    <cellStyle name="Normal 6 2 8 3" xfId="30086"/>
    <cellStyle name="Normal 6 2 8 3 2" xfId="30087"/>
    <cellStyle name="Normal 6 2 8 4" xfId="30088"/>
    <cellStyle name="Normal 6 2 8 4 2" xfId="30089"/>
    <cellStyle name="Normal 6 2 8 5" xfId="30090"/>
    <cellStyle name="Normal 6 2 8 5 2" xfId="30091"/>
    <cellStyle name="Normal 6 2 8 6" xfId="30092"/>
    <cellStyle name="Normal 6 2 8 6 2" xfId="30093"/>
    <cellStyle name="Normal 6 2 8 7" xfId="30094"/>
    <cellStyle name="Normal 6 2 8 7 2" xfId="30095"/>
    <cellStyle name="Normal 6 2 8 8" xfId="30096"/>
    <cellStyle name="Normal 6 2 8 8 2" xfId="30097"/>
    <cellStyle name="Normal 6 2 8 9" xfId="30098"/>
    <cellStyle name="Normal 6 2 8 9 2" xfId="30099"/>
    <cellStyle name="Normal 6 2 9" xfId="30100"/>
    <cellStyle name="Normal 6 2 9 2" xfId="30101"/>
    <cellStyle name="Normal 6 20" xfId="30102"/>
    <cellStyle name="Normal 6 20 2" xfId="30103"/>
    <cellStyle name="Normal 6 21" xfId="30104"/>
    <cellStyle name="Normal 6 22" xfId="30105"/>
    <cellStyle name="Normal 6 23" xfId="30106"/>
    <cellStyle name="Normal 6 24" xfId="30107"/>
    <cellStyle name="Normal 6 3" xfId="30108"/>
    <cellStyle name="Normal 6 3 10" xfId="30109"/>
    <cellStyle name="Normal 6 3 10 2" xfId="30110"/>
    <cellStyle name="Normal 6 3 11" xfId="30111"/>
    <cellStyle name="Normal 6 3 11 2" xfId="30112"/>
    <cellStyle name="Normal 6 3 12" xfId="30113"/>
    <cellStyle name="Normal 6 3 12 2" xfId="30114"/>
    <cellStyle name="Normal 6 3 13" xfId="30115"/>
    <cellStyle name="Normal 6 3 13 2" xfId="30116"/>
    <cellStyle name="Normal 6 3 14" xfId="30117"/>
    <cellStyle name="Normal 6 3 15" xfId="30118"/>
    <cellStyle name="Normal 6 3 2" xfId="30119"/>
    <cellStyle name="Normal 6 3 3" xfId="30120"/>
    <cellStyle name="Normal 6 3 3 10" xfId="30121"/>
    <cellStyle name="Normal 6 3 3 10 2" xfId="30122"/>
    <cellStyle name="Normal 6 3 3 11" xfId="30123"/>
    <cellStyle name="Normal 6 3 3 11 2" xfId="30124"/>
    <cellStyle name="Normal 6 3 3 12" xfId="30125"/>
    <cellStyle name="Normal 6 3 3 2" xfId="30126"/>
    <cellStyle name="Normal 6 3 3 2 10" xfId="30127"/>
    <cellStyle name="Normal 6 3 3 2 10 2" xfId="30128"/>
    <cellStyle name="Normal 6 3 3 2 11" xfId="30129"/>
    <cellStyle name="Normal 6 3 3 2 2" xfId="30130"/>
    <cellStyle name="Normal 6 3 3 2 2 2" xfId="30131"/>
    <cellStyle name="Normal 6 3 3 2 3" xfId="30132"/>
    <cellStyle name="Normal 6 3 3 2 3 2" xfId="30133"/>
    <cellStyle name="Normal 6 3 3 2 4" xfId="30134"/>
    <cellStyle name="Normal 6 3 3 2 4 2" xfId="30135"/>
    <cellStyle name="Normal 6 3 3 2 5" xfId="30136"/>
    <cellStyle name="Normal 6 3 3 2 5 2" xfId="30137"/>
    <cellStyle name="Normal 6 3 3 2 6" xfId="30138"/>
    <cellStyle name="Normal 6 3 3 2 6 2" xfId="30139"/>
    <cellStyle name="Normal 6 3 3 2 7" xfId="30140"/>
    <cellStyle name="Normal 6 3 3 2 7 2" xfId="30141"/>
    <cellStyle name="Normal 6 3 3 2 8" xfId="30142"/>
    <cellStyle name="Normal 6 3 3 2 8 2" xfId="30143"/>
    <cellStyle name="Normal 6 3 3 2 9" xfId="30144"/>
    <cellStyle name="Normal 6 3 3 2 9 2" xfId="30145"/>
    <cellStyle name="Normal 6 3 3 3" xfId="30146"/>
    <cellStyle name="Normal 6 3 3 3 2" xfId="30147"/>
    <cellStyle name="Normal 6 3 3 4" xfId="30148"/>
    <cellStyle name="Normal 6 3 3 4 2" xfId="30149"/>
    <cellStyle name="Normal 6 3 3 5" xfId="30150"/>
    <cellStyle name="Normal 6 3 3 5 2" xfId="30151"/>
    <cellStyle name="Normal 6 3 3 6" xfId="30152"/>
    <cellStyle name="Normal 6 3 3 6 2" xfId="30153"/>
    <cellStyle name="Normal 6 3 3 7" xfId="30154"/>
    <cellStyle name="Normal 6 3 3 7 2" xfId="30155"/>
    <cellStyle name="Normal 6 3 3 8" xfId="30156"/>
    <cellStyle name="Normal 6 3 3 8 2" xfId="30157"/>
    <cellStyle name="Normal 6 3 3 9" xfId="30158"/>
    <cellStyle name="Normal 6 3 3 9 2" xfId="30159"/>
    <cellStyle name="Normal 6 3 4" xfId="30160"/>
    <cellStyle name="Normal 6 3 4 10" xfId="30161"/>
    <cellStyle name="Normal 6 3 4 10 2" xfId="30162"/>
    <cellStyle name="Normal 6 3 4 11" xfId="30163"/>
    <cellStyle name="Normal 6 3 4 2" xfId="30164"/>
    <cellStyle name="Normal 6 3 4 2 2" xfId="30165"/>
    <cellStyle name="Normal 6 3 4 3" xfId="30166"/>
    <cellStyle name="Normal 6 3 4 3 2" xfId="30167"/>
    <cellStyle name="Normal 6 3 4 4" xfId="30168"/>
    <cellStyle name="Normal 6 3 4 4 2" xfId="30169"/>
    <cellStyle name="Normal 6 3 4 5" xfId="30170"/>
    <cellStyle name="Normal 6 3 4 5 2" xfId="30171"/>
    <cellStyle name="Normal 6 3 4 6" xfId="30172"/>
    <cellStyle name="Normal 6 3 4 6 2" xfId="30173"/>
    <cellStyle name="Normal 6 3 4 7" xfId="30174"/>
    <cellStyle name="Normal 6 3 4 7 2" xfId="30175"/>
    <cellStyle name="Normal 6 3 4 8" xfId="30176"/>
    <cellStyle name="Normal 6 3 4 8 2" xfId="30177"/>
    <cellStyle name="Normal 6 3 4 9" xfId="30178"/>
    <cellStyle name="Normal 6 3 4 9 2" xfId="30179"/>
    <cellStyle name="Normal 6 3 5" xfId="30180"/>
    <cellStyle name="Normal 6 3 5 2" xfId="30181"/>
    <cellStyle name="Normal 6 3 6" xfId="30182"/>
    <cellStyle name="Normal 6 3 6 2" xfId="30183"/>
    <cellStyle name="Normal 6 3 7" xfId="30184"/>
    <cellStyle name="Normal 6 3 7 2" xfId="30185"/>
    <cellStyle name="Normal 6 3 8" xfId="30186"/>
    <cellStyle name="Normal 6 3 8 2" xfId="30187"/>
    <cellStyle name="Normal 6 3 9" xfId="30188"/>
    <cellStyle name="Normal 6 3 9 2" xfId="30189"/>
    <cellStyle name="Normal 6 4" xfId="30190"/>
    <cellStyle name="Normal 6 4 10" xfId="30191"/>
    <cellStyle name="Normal 6 4 10 2" xfId="30192"/>
    <cellStyle name="Normal 6 4 11" xfId="30193"/>
    <cellStyle name="Normal 6 4 11 2" xfId="30194"/>
    <cellStyle name="Normal 6 4 12" xfId="30195"/>
    <cellStyle name="Normal 6 4 12 2" xfId="30196"/>
    <cellStyle name="Normal 6 4 13" xfId="30197"/>
    <cellStyle name="Normal 6 4 13 2" xfId="30198"/>
    <cellStyle name="Normal 6 4 14" xfId="30199"/>
    <cellStyle name="Normal 6 4 15" xfId="30200"/>
    <cellStyle name="Normal 6 4 2" xfId="30201"/>
    <cellStyle name="Normal 6 4 3" xfId="30202"/>
    <cellStyle name="Normal 6 4 3 10" xfId="30203"/>
    <cellStyle name="Normal 6 4 3 10 2" xfId="30204"/>
    <cellStyle name="Normal 6 4 3 11" xfId="30205"/>
    <cellStyle name="Normal 6 4 3 11 2" xfId="30206"/>
    <cellStyle name="Normal 6 4 3 12" xfId="30207"/>
    <cellStyle name="Normal 6 4 3 2" xfId="30208"/>
    <cellStyle name="Normal 6 4 3 2 10" xfId="30209"/>
    <cellStyle name="Normal 6 4 3 2 10 2" xfId="30210"/>
    <cellStyle name="Normal 6 4 3 2 11" xfId="30211"/>
    <cellStyle name="Normal 6 4 3 2 2" xfId="30212"/>
    <cellStyle name="Normal 6 4 3 2 2 2" xfId="30213"/>
    <cellStyle name="Normal 6 4 3 2 3" xfId="30214"/>
    <cellStyle name="Normal 6 4 3 2 3 2" xfId="30215"/>
    <cellStyle name="Normal 6 4 3 2 4" xfId="30216"/>
    <cellStyle name="Normal 6 4 3 2 4 2" xfId="30217"/>
    <cellStyle name="Normal 6 4 3 2 5" xfId="30218"/>
    <cellStyle name="Normal 6 4 3 2 5 2" xfId="30219"/>
    <cellStyle name="Normal 6 4 3 2 6" xfId="30220"/>
    <cellStyle name="Normal 6 4 3 2 6 2" xfId="30221"/>
    <cellStyle name="Normal 6 4 3 2 7" xfId="30222"/>
    <cellStyle name="Normal 6 4 3 2 7 2" xfId="30223"/>
    <cellStyle name="Normal 6 4 3 2 8" xfId="30224"/>
    <cellStyle name="Normal 6 4 3 2 8 2" xfId="30225"/>
    <cellStyle name="Normal 6 4 3 2 9" xfId="30226"/>
    <cellStyle name="Normal 6 4 3 2 9 2" xfId="30227"/>
    <cellStyle name="Normal 6 4 3 3" xfId="30228"/>
    <cellStyle name="Normal 6 4 3 3 2" xfId="30229"/>
    <cellStyle name="Normal 6 4 3 4" xfId="30230"/>
    <cellStyle name="Normal 6 4 3 4 2" xfId="30231"/>
    <cellStyle name="Normal 6 4 3 5" xfId="30232"/>
    <cellStyle name="Normal 6 4 3 5 2" xfId="30233"/>
    <cellStyle name="Normal 6 4 3 6" xfId="30234"/>
    <cellStyle name="Normal 6 4 3 6 2" xfId="30235"/>
    <cellStyle name="Normal 6 4 3 7" xfId="30236"/>
    <cellStyle name="Normal 6 4 3 7 2" xfId="30237"/>
    <cellStyle name="Normal 6 4 3 8" xfId="30238"/>
    <cellStyle name="Normal 6 4 3 8 2" xfId="30239"/>
    <cellStyle name="Normal 6 4 3 9" xfId="30240"/>
    <cellStyle name="Normal 6 4 3 9 2" xfId="30241"/>
    <cellStyle name="Normal 6 4 4" xfId="30242"/>
    <cellStyle name="Normal 6 4 4 10" xfId="30243"/>
    <cellStyle name="Normal 6 4 4 10 2" xfId="30244"/>
    <cellStyle name="Normal 6 4 4 11" xfId="30245"/>
    <cellStyle name="Normal 6 4 4 2" xfId="30246"/>
    <cellStyle name="Normal 6 4 4 2 2" xfId="30247"/>
    <cellStyle name="Normal 6 4 4 3" xfId="30248"/>
    <cellStyle name="Normal 6 4 4 3 2" xfId="30249"/>
    <cellStyle name="Normal 6 4 4 4" xfId="30250"/>
    <cellStyle name="Normal 6 4 4 4 2" xfId="30251"/>
    <cellStyle name="Normal 6 4 4 5" xfId="30252"/>
    <cellStyle name="Normal 6 4 4 5 2" xfId="30253"/>
    <cellStyle name="Normal 6 4 4 6" xfId="30254"/>
    <cellStyle name="Normal 6 4 4 6 2" xfId="30255"/>
    <cellStyle name="Normal 6 4 4 7" xfId="30256"/>
    <cellStyle name="Normal 6 4 4 7 2" xfId="30257"/>
    <cellStyle name="Normal 6 4 4 8" xfId="30258"/>
    <cellStyle name="Normal 6 4 4 8 2" xfId="30259"/>
    <cellStyle name="Normal 6 4 4 9" xfId="30260"/>
    <cellStyle name="Normal 6 4 4 9 2" xfId="30261"/>
    <cellStyle name="Normal 6 4 5" xfId="30262"/>
    <cellStyle name="Normal 6 4 5 2" xfId="30263"/>
    <cellStyle name="Normal 6 4 6" xfId="30264"/>
    <cellStyle name="Normal 6 4 6 2" xfId="30265"/>
    <cellStyle name="Normal 6 4 7" xfId="30266"/>
    <cellStyle name="Normal 6 4 7 2" xfId="30267"/>
    <cellStyle name="Normal 6 4 8" xfId="30268"/>
    <cellStyle name="Normal 6 4 8 2" xfId="30269"/>
    <cellStyle name="Normal 6 4 9" xfId="30270"/>
    <cellStyle name="Normal 6 4 9 2" xfId="30271"/>
    <cellStyle name="Normal 6 5" xfId="30272"/>
    <cellStyle name="Normal 6 5 10" xfId="30273"/>
    <cellStyle name="Normal 6 5 10 2" xfId="30274"/>
    <cellStyle name="Normal 6 5 11" xfId="30275"/>
    <cellStyle name="Normal 6 5 11 2" xfId="30276"/>
    <cellStyle name="Normal 6 5 12" xfId="30277"/>
    <cellStyle name="Normal 6 5 12 2" xfId="30278"/>
    <cellStyle name="Normal 6 5 13" xfId="30279"/>
    <cellStyle name="Normal 6 5 13 2" xfId="30280"/>
    <cellStyle name="Normal 6 5 14" xfId="30281"/>
    <cellStyle name="Normal 6 5 15" xfId="30282"/>
    <cellStyle name="Normal 6 5 2" xfId="30283"/>
    <cellStyle name="Normal 6 5 3" xfId="30284"/>
    <cellStyle name="Normal 6 5 3 10" xfId="30285"/>
    <cellStyle name="Normal 6 5 3 10 2" xfId="30286"/>
    <cellStyle name="Normal 6 5 3 11" xfId="30287"/>
    <cellStyle name="Normal 6 5 3 11 2" xfId="30288"/>
    <cellStyle name="Normal 6 5 3 12" xfId="30289"/>
    <cellStyle name="Normal 6 5 3 2" xfId="30290"/>
    <cellStyle name="Normal 6 5 3 2 10" xfId="30291"/>
    <cellStyle name="Normal 6 5 3 2 10 2" xfId="30292"/>
    <cellStyle name="Normal 6 5 3 2 11" xfId="30293"/>
    <cellStyle name="Normal 6 5 3 2 2" xfId="30294"/>
    <cellStyle name="Normal 6 5 3 2 2 2" xfId="30295"/>
    <cellStyle name="Normal 6 5 3 2 3" xfId="30296"/>
    <cellStyle name="Normal 6 5 3 2 3 2" xfId="30297"/>
    <cellStyle name="Normal 6 5 3 2 4" xfId="30298"/>
    <cellStyle name="Normal 6 5 3 2 4 2" xfId="30299"/>
    <cellStyle name="Normal 6 5 3 2 5" xfId="30300"/>
    <cellStyle name="Normal 6 5 3 2 5 2" xfId="30301"/>
    <cellStyle name="Normal 6 5 3 2 6" xfId="30302"/>
    <cellStyle name="Normal 6 5 3 2 6 2" xfId="30303"/>
    <cellStyle name="Normal 6 5 3 2 7" xfId="30304"/>
    <cellStyle name="Normal 6 5 3 2 7 2" xfId="30305"/>
    <cellStyle name="Normal 6 5 3 2 8" xfId="30306"/>
    <cellStyle name="Normal 6 5 3 2 8 2" xfId="30307"/>
    <cellStyle name="Normal 6 5 3 2 9" xfId="30308"/>
    <cellStyle name="Normal 6 5 3 2 9 2" xfId="30309"/>
    <cellStyle name="Normal 6 5 3 3" xfId="30310"/>
    <cellStyle name="Normal 6 5 3 3 2" xfId="30311"/>
    <cellStyle name="Normal 6 5 3 4" xfId="30312"/>
    <cellStyle name="Normal 6 5 3 4 2" xfId="30313"/>
    <cellStyle name="Normal 6 5 3 5" xfId="30314"/>
    <cellStyle name="Normal 6 5 3 5 2" xfId="30315"/>
    <cellStyle name="Normal 6 5 3 6" xfId="30316"/>
    <cellStyle name="Normal 6 5 3 6 2" xfId="30317"/>
    <cellStyle name="Normal 6 5 3 7" xfId="30318"/>
    <cellStyle name="Normal 6 5 3 7 2" xfId="30319"/>
    <cellStyle name="Normal 6 5 3 8" xfId="30320"/>
    <cellStyle name="Normal 6 5 3 8 2" xfId="30321"/>
    <cellStyle name="Normal 6 5 3 9" xfId="30322"/>
    <cellStyle name="Normal 6 5 3 9 2" xfId="30323"/>
    <cellStyle name="Normal 6 5 4" xfId="30324"/>
    <cellStyle name="Normal 6 5 4 10" xfId="30325"/>
    <cellStyle name="Normal 6 5 4 10 2" xfId="30326"/>
    <cellStyle name="Normal 6 5 4 11" xfId="30327"/>
    <cellStyle name="Normal 6 5 4 2" xfId="30328"/>
    <cellStyle name="Normal 6 5 4 2 2" xfId="30329"/>
    <cellStyle name="Normal 6 5 4 3" xfId="30330"/>
    <cellStyle name="Normal 6 5 4 3 2" xfId="30331"/>
    <cellStyle name="Normal 6 5 4 4" xfId="30332"/>
    <cellStyle name="Normal 6 5 4 4 2" xfId="30333"/>
    <cellStyle name="Normal 6 5 4 5" xfId="30334"/>
    <cellStyle name="Normal 6 5 4 5 2" xfId="30335"/>
    <cellStyle name="Normal 6 5 4 6" xfId="30336"/>
    <cellStyle name="Normal 6 5 4 6 2" xfId="30337"/>
    <cellStyle name="Normal 6 5 4 7" xfId="30338"/>
    <cellStyle name="Normal 6 5 4 7 2" xfId="30339"/>
    <cellStyle name="Normal 6 5 4 8" xfId="30340"/>
    <cellStyle name="Normal 6 5 4 8 2" xfId="30341"/>
    <cellStyle name="Normal 6 5 4 9" xfId="30342"/>
    <cellStyle name="Normal 6 5 4 9 2" xfId="30343"/>
    <cellStyle name="Normal 6 5 5" xfId="30344"/>
    <cellStyle name="Normal 6 5 5 2" xfId="30345"/>
    <cellStyle name="Normal 6 5 6" xfId="30346"/>
    <cellStyle name="Normal 6 5 6 2" xfId="30347"/>
    <cellStyle name="Normal 6 5 7" xfId="30348"/>
    <cellStyle name="Normal 6 5 7 2" xfId="30349"/>
    <cellStyle name="Normal 6 5 8" xfId="30350"/>
    <cellStyle name="Normal 6 5 8 2" xfId="30351"/>
    <cellStyle name="Normal 6 5 9" xfId="30352"/>
    <cellStyle name="Normal 6 5 9 2" xfId="30353"/>
    <cellStyle name="Normal 6 6" xfId="30354"/>
    <cellStyle name="Normal 6 6 2" xfId="30355"/>
    <cellStyle name="Normal 6 7" xfId="30356"/>
    <cellStyle name="Normal 6 8" xfId="30357"/>
    <cellStyle name="Normal 6 8 10" xfId="30358"/>
    <cellStyle name="Normal 6 8 10 2" xfId="30359"/>
    <cellStyle name="Normal 6 8 11" xfId="30360"/>
    <cellStyle name="Normal 6 8 11 2" xfId="30361"/>
    <cellStyle name="Normal 6 8 12" xfId="30362"/>
    <cellStyle name="Normal 6 8 12 2" xfId="30363"/>
    <cellStyle name="Normal 6 8 13" xfId="30364"/>
    <cellStyle name="Normal 6 8 2" xfId="30365"/>
    <cellStyle name="Normal 6 8 2 10" xfId="30366"/>
    <cellStyle name="Normal 6 8 2 10 2" xfId="30367"/>
    <cellStyle name="Normal 6 8 2 11" xfId="30368"/>
    <cellStyle name="Normal 6 8 2 11 2" xfId="30369"/>
    <cellStyle name="Normal 6 8 2 12" xfId="30370"/>
    <cellStyle name="Normal 6 8 2 2" xfId="30371"/>
    <cellStyle name="Normal 6 8 2 2 10" xfId="30372"/>
    <cellStyle name="Normal 6 8 2 2 10 2" xfId="30373"/>
    <cellStyle name="Normal 6 8 2 2 11" xfId="30374"/>
    <cellStyle name="Normal 6 8 2 2 2" xfId="30375"/>
    <cellStyle name="Normal 6 8 2 2 2 2" xfId="30376"/>
    <cellStyle name="Normal 6 8 2 2 3" xfId="30377"/>
    <cellStyle name="Normal 6 8 2 2 3 2" xfId="30378"/>
    <cellStyle name="Normal 6 8 2 2 4" xfId="30379"/>
    <cellStyle name="Normal 6 8 2 2 4 2" xfId="30380"/>
    <cellStyle name="Normal 6 8 2 2 5" xfId="30381"/>
    <cellStyle name="Normal 6 8 2 2 5 2" xfId="30382"/>
    <cellStyle name="Normal 6 8 2 2 6" xfId="30383"/>
    <cellStyle name="Normal 6 8 2 2 6 2" xfId="30384"/>
    <cellStyle name="Normal 6 8 2 2 7" xfId="30385"/>
    <cellStyle name="Normal 6 8 2 2 7 2" xfId="30386"/>
    <cellStyle name="Normal 6 8 2 2 8" xfId="30387"/>
    <cellStyle name="Normal 6 8 2 2 8 2" xfId="30388"/>
    <cellStyle name="Normal 6 8 2 2 9" xfId="30389"/>
    <cellStyle name="Normal 6 8 2 2 9 2" xfId="30390"/>
    <cellStyle name="Normal 6 8 2 3" xfId="30391"/>
    <cellStyle name="Normal 6 8 2 3 2" xfId="30392"/>
    <cellStyle name="Normal 6 8 2 4" xfId="30393"/>
    <cellStyle name="Normal 6 8 2 4 2" xfId="30394"/>
    <cellStyle name="Normal 6 8 2 5" xfId="30395"/>
    <cellStyle name="Normal 6 8 2 5 2" xfId="30396"/>
    <cellStyle name="Normal 6 8 2 6" xfId="30397"/>
    <cellStyle name="Normal 6 8 2 6 2" xfId="30398"/>
    <cellStyle name="Normal 6 8 2 7" xfId="30399"/>
    <cellStyle name="Normal 6 8 2 7 2" xfId="30400"/>
    <cellStyle name="Normal 6 8 2 8" xfId="30401"/>
    <cellStyle name="Normal 6 8 2 8 2" xfId="30402"/>
    <cellStyle name="Normal 6 8 2 9" xfId="30403"/>
    <cellStyle name="Normal 6 8 2 9 2" xfId="30404"/>
    <cellStyle name="Normal 6 8 3" xfId="30405"/>
    <cellStyle name="Normal 6 8 3 10" xfId="30406"/>
    <cellStyle name="Normal 6 8 3 10 2" xfId="30407"/>
    <cellStyle name="Normal 6 8 3 11" xfId="30408"/>
    <cellStyle name="Normal 6 8 3 2" xfId="30409"/>
    <cellStyle name="Normal 6 8 3 2 2" xfId="30410"/>
    <cellStyle name="Normal 6 8 3 3" xfId="30411"/>
    <cellStyle name="Normal 6 8 3 3 2" xfId="30412"/>
    <cellStyle name="Normal 6 8 3 4" xfId="30413"/>
    <cellStyle name="Normal 6 8 3 4 2" xfId="30414"/>
    <cellStyle name="Normal 6 8 3 5" xfId="30415"/>
    <cellStyle name="Normal 6 8 3 5 2" xfId="30416"/>
    <cellStyle name="Normal 6 8 3 6" xfId="30417"/>
    <cellStyle name="Normal 6 8 3 6 2" xfId="30418"/>
    <cellStyle name="Normal 6 8 3 7" xfId="30419"/>
    <cellStyle name="Normal 6 8 3 7 2" xfId="30420"/>
    <cellStyle name="Normal 6 8 3 8" xfId="30421"/>
    <cellStyle name="Normal 6 8 3 8 2" xfId="30422"/>
    <cellStyle name="Normal 6 8 3 9" xfId="30423"/>
    <cellStyle name="Normal 6 8 3 9 2" xfId="30424"/>
    <cellStyle name="Normal 6 8 4" xfId="30425"/>
    <cellStyle name="Normal 6 8 4 2" xfId="30426"/>
    <cellStyle name="Normal 6 8 5" xfId="30427"/>
    <cellStyle name="Normal 6 8 5 2" xfId="30428"/>
    <cellStyle name="Normal 6 8 6" xfId="30429"/>
    <cellStyle name="Normal 6 8 6 2" xfId="30430"/>
    <cellStyle name="Normal 6 8 7" xfId="30431"/>
    <cellStyle name="Normal 6 8 7 2" xfId="30432"/>
    <cellStyle name="Normal 6 8 8" xfId="30433"/>
    <cellStyle name="Normal 6 8 8 2" xfId="30434"/>
    <cellStyle name="Normal 6 8 9" xfId="30435"/>
    <cellStyle name="Normal 6 8 9 2" xfId="30436"/>
    <cellStyle name="Normal 6 9" xfId="30437"/>
    <cellStyle name="Normal 6 9 10" xfId="30438"/>
    <cellStyle name="Normal 6 9 10 2" xfId="30439"/>
    <cellStyle name="Normal 6 9 11" xfId="30440"/>
    <cellStyle name="Normal 6 9 11 2" xfId="30441"/>
    <cellStyle name="Normal 6 9 12" xfId="30442"/>
    <cellStyle name="Normal 6 9 2" xfId="30443"/>
    <cellStyle name="Normal 6 9 2 10" xfId="30444"/>
    <cellStyle name="Normal 6 9 2 10 2" xfId="30445"/>
    <cellStyle name="Normal 6 9 2 11" xfId="30446"/>
    <cellStyle name="Normal 6 9 2 2" xfId="30447"/>
    <cellStyle name="Normal 6 9 2 2 2" xfId="30448"/>
    <cellStyle name="Normal 6 9 2 3" xfId="30449"/>
    <cellStyle name="Normal 6 9 2 3 2" xfId="30450"/>
    <cellStyle name="Normal 6 9 2 4" xfId="30451"/>
    <cellStyle name="Normal 6 9 2 4 2" xfId="30452"/>
    <cellStyle name="Normal 6 9 2 5" xfId="30453"/>
    <cellStyle name="Normal 6 9 2 5 2" xfId="30454"/>
    <cellStyle name="Normal 6 9 2 6" xfId="30455"/>
    <cellStyle name="Normal 6 9 2 6 2" xfId="30456"/>
    <cellStyle name="Normal 6 9 2 7" xfId="30457"/>
    <cellStyle name="Normal 6 9 2 7 2" xfId="30458"/>
    <cellStyle name="Normal 6 9 2 8" xfId="30459"/>
    <cellStyle name="Normal 6 9 2 8 2" xfId="30460"/>
    <cellStyle name="Normal 6 9 2 9" xfId="30461"/>
    <cellStyle name="Normal 6 9 2 9 2" xfId="30462"/>
    <cellStyle name="Normal 6 9 3" xfId="30463"/>
    <cellStyle name="Normal 6 9 3 2" xfId="30464"/>
    <cellStyle name="Normal 6 9 4" xfId="30465"/>
    <cellStyle name="Normal 6 9 4 2" xfId="30466"/>
    <cellStyle name="Normal 6 9 5" xfId="30467"/>
    <cellStyle name="Normal 6 9 5 2" xfId="30468"/>
    <cellStyle name="Normal 6 9 6" xfId="30469"/>
    <cellStyle name="Normal 6 9 6 2" xfId="30470"/>
    <cellStyle name="Normal 6 9 7" xfId="30471"/>
    <cellStyle name="Normal 6 9 7 2" xfId="30472"/>
    <cellStyle name="Normal 6 9 8" xfId="30473"/>
    <cellStyle name="Normal 6 9 8 2" xfId="30474"/>
    <cellStyle name="Normal 6 9 9" xfId="30475"/>
    <cellStyle name="Normal 6 9 9 2" xfId="30476"/>
    <cellStyle name="Normal 7" xfId="30477"/>
    <cellStyle name="Normal 7 10" xfId="30478"/>
    <cellStyle name="Normal 7 10 2" xfId="30479"/>
    <cellStyle name="Normal 7 11" xfId="30480"/>
    <cellStyle name="Normal 7 11 2" xfId="30481"/>
    <cellStyle name="Normal 7 12" xfId="30482"/>
    <cellStyle name="Normal 7 12 2" xfId="30483"/>
    <cellStyle name="Normal 7 13" xfId="30484"/>
    <cellStyle name="Normal 7 13 2" xfId="30485"/>
    <cellStyle name="Normal 7 14" xfId="30486"/>
    <cellStyle name="Normal 7 14 2" xfId="30487"/>
    <cellStyle name="Normal 7 15" xfId="30488"/>
    <cellStyle name="Normal 7 15 2" xfId="30489"/>
    <cellStyle name="Normal 7 16" xfId="30490"/>
    <cellStyle name="Normal 7 16 2" xfId="30491"/>
    <cellStyle name="Normal 7 17" xfId="30492"/>
    <cellStyle name="Normal 7 17 2" xfId="30493"/>
    <cellStyle name="Normal 7 18" xfId="30494"/>
    <cellStyle name="Normal 7 18 2" xfId="30495"/>
    <cellStyle name="Normal 7 19" xfId="30496"/>
    <cellStyle name="Normal 7 2" xfId="30497"/>
    <cellStyle name="Normal 7 2 10" xfId="30498"/>
    <cellStyle name="Normal 7 2 10 2" xfId="30499"/>
    <cellStyle name="Normal 7 2 11" xfId="30500"/>
    <cellStyle name="Normal 7 2 11 2" xfId="30501"/>
    <cellStyle name="Normal 7 2 12" xfId="30502"/>
    <cellStyle name="Normal 7 2 12 2" xfId="30503"/>
    <cellStyle name="Normal 7 2 13" xfId="30504"/>
    <cellStyle name="Normal 7 2 13 2" xfId="30505"/>
    <cellStyle name="Normal 7 2 14" xfId="30506"/>
    <cellStyle name="Normal 7 2 14 2" xfId="30507"/>
    <cellStyle name="Normal 7 2 15" xfId="30508"/>
    <cellStyle name="Normal 7 2 15 2" xfId="30509"/>
    <cellStyle name="Normal 7 2 16" xfId="30510"/>
    <cellStyle name="Normal 7 2 16 2" xfId="30511"/>
    <cellStyle name="Normal 7 2 17" xfId="30512"/>
    <cellStyle name="Normal 7 2 18" xfId="30513"/>
    <cellStyle name="Normal 7 2 19" xfId="30514"/>
    <cellStyle name="Normal 7 2 2" xfId="30515"/>
    <cellStyle name="Normal 7 2 2 10" xfId="30516"/>
    <cellStyle name="Normal 7 2 2 10 2" xfId="30517"/>
    <cellStyle name="Normal 7 2 2 11" xfId="30518"/>
    <cellStyle name="Normal 7 2 2 11 2" xfId="30519"/>
    <cellStyle name="Normal 7 2 2 12" xfId="30520"/>
    <cellStyle name="Normal 7 2 2 12 2" xfId="30521"/>
    <cellStyle name="Normal 7 2 2 13" xfId="30522"/>
    <cellStyle name="Normal 7 2 2 2" xfId="30523"/>
    <cellStyle name="Normal 7 2 2 2 10" xfId="30524"/>
    <cellStyle name="Normal 7 2 2 2 10 2" xfId="30525"/>
    <cellStyle name="Normal 7 2 2 2 11" xfId="30526"/>
    <cellStyle name="Normal 7 2 2 2 11 2" xfId="30527"/>
    <cellStyle name="Normal 7 2 2 2 12" xfId="30528"/>
    <cellStyle name="Normal 7 2 2 2 2" xfId="30529"/>
    <cellStyle name="Normal 7 2 2 2 2 10" xfId="30530"/>
    <cellStyle name="Normal 7 2 2 2 2 10 2" xfId="30531"/>
    <cellStyle name="Normal 7 2 2 2 2 11" xfId="30532"/>
    <cellStyle name="Normal 7 2 2 2 2 2" xfId="30533"/>
    <cellStyle name="Normal 7 2 2 2 2 2 2" xfId="30534"/>
    <cellStyle name="Normal 7 2 2 2 2 3" xfId="30535"/>
    <cellStyle name="Normal 7 2 2 2 2 3 2" xfId="30536"/>
    <cellStyle name="Normal 7 2 2 2 2 4" xfId="30537"/>
    <cellStyle name="Normal 7 2 2 2 2 4 2" xfId="30538"/>
    <cellStyle name="Normal 7 2 2 2 2 5" xfId="30539"/>
    <cellStyle name="Normal 7 2 2 2 2 5 2" xfId="30540"/>
    <cellStyle name="Normal 7 2 2 2 2 6" xfId="30541"/>
    <cellStyle name="Normal 7 2 2 2 2 6 2" xfId="30542"/>
    <cellStyle name="Normal 7 2 2 2 2 7" xfId="30543"/>
    <cellStyle name="Normal 7 2 2 2 2 7 2" xfId="30544"/>
    <cellStyle name="Normal 7 2 2 2 2 8" xfId="30545"/>
    <cellStyle name="Normal 7 2 2 2 2 8 2" xfId="30546"/>
    <cellStyle name="Normal 7 2 2 2 2 9" xfId="30547"/>
    <cellStyle name="Normal 7 2 2 2 2 9 2" xfId="30548"/>
    <cellStyle name="Normal 7 2 2 2 3" xfId="30549"/>
    <cellStyle name="Normal 7 2 2 2 3 2" xfId="30550"/>
    <cellStyle name="Normal 7 2 2 2 4" xfId="30551"/>
    <cellStyle name="Normal 7 2 2 2 4 2" xfId="30552"/>
    <cellStyle name="Normal 7 2 2 2 5" xfId="30553"/>
    <cellStyle name="Normal 7 2 2 2 5 2" xfId="30554"/>
    <cellStyle name="Normal 7 2 2 2 6" xfId="30555"/>
    <cellStyle name="Normal 7 2 2 2 6 2" xfId="30556"/>
    <cellStyle name="Normal 7 2 2 2 7" xfId="30557"/>
    <cellStyle name="Normal 7 2 2 2 7 2" xfId="30558"/>
    <cellStyle name="Normal 7 2 2 2 8" xfId="30559"/>
    <cellStyle name="Normal 7 2 2 2 8 2" xfId="30560"/>
    <cellStyle name="Normal 7 2 2 2 9" xfId="30561"/>
    <cellStyle name="Normal 7 2 2 2 9 2" xfId="30562"/>
    <cellStyle name="Normal 7 2 2 3" xfId="30563"/>
    <cellStyle name="Normal 7 2 2 3 10" xfId="30564"/>
    <cellStyle name="Normal 7 2 2 3 10 2" xfId="30565"/>
    <cellStyle name="Normal 7 2 2 3 11" xfId="30566"/>
    <cellStyle name="Normal 7 2 2 3 2" xfId="30567"/>
    <cellStyle name="Normal 7 2 2 3 2 2" xfId="30568"/>
    <cellStyle name="Normal 7 2 2 3 3" xfId="30569"/>
    <cellStyle name="Normal 7 2 2 3 3 2" xfId="30570"/>
    <cellStyle name="Normal 7 2 2 3 4" xfId="30571"/>
    <cellStyle name="Normal 7 2 2 3 4 2" xfId="30572"/>
    <cellStyle name="Normal 7 2 2 3 5" xfId="30573"/>
    <cellStyle name="Normal 7 2 2 3 5 2" xfId="30574"/>
    <cellStyle name="Normal 7 2 2 3 6" xfId="30575"/>
    <cellStyle name="Normal 7 2 2 3 6 2" xfId="30576"/>
    <cellStyle name="Normal 7 2 2 3 7" xfId="30577"/>
    <cellStyle name="Normal 7 2 2 3 7 2" xfId="30578"/>
    <cellStyle name="Normal 7 2 2 3 8" xfId="30579"/>
    <cellStyle name="Normal 7 2 2 3 8 2" xfId="30580"/>
    <cellStyle name="Normal 7 2 2 3 9" xfId="30581"/>
    <cellStyle name="Normal 7 2 2 3 9 2" xfId="30582"/>
    <cellStyle name="Normal 7 2 2 4" xfId="30583"/>
    <cellStyle name="Normal 7 2 2 4 2" xfId="30584"/>
    <cellStyle name="Normal 7 2 2 5" xfId="30585"/>
    <cellStyle name="Normal 7 2 2 5 2" xfId="30586"/>
    <cellStyle name="Normal 7 2 2 6" xfId="30587"/>
    <cellStyle name="Normal 7 2 2 6 2" xfId="30588"/>
    <cellStyle name="Normal 7 2 2 7" xfId="30589"/>
    <cellStyle name="Normal 7 2 2 7 2" xfId="30590"/>
    <cellStyle name="Normal 7 2 2 8" xfId="30591"/>
    <cellStyle name="Normal 7 2 2 8 2" xfId="30592"/>
    <cellStyle name="Normal 7 2 2 9" xfId="30593"/>
    <cellStyle name="Normal 7 2 2 9 2" xfId="30594"/>
    <cellStyle name="Normal 7 2 20" xfId="30595"/>
    <cellStyle name="Normal 7 2 3" xfId="30596"/>
    <cellStyle name="Normal 7 2 3 10" xfId="30597"/>
    <cellStyle name="Normal 7 2 3 10 2" xfId="30598"/>
    <cellStyle name="Normal 7 2 3 11" xfId="30599"/>
    <cellStyle name="Normal 7 2 3 11 2" xfId="30600"/>
    <cellStyle name="Normal 7 2 3 12" xfId="30601"/>
    <cellStyle name="Normal 7 2 3 12 2" xfId="30602"/>
    <cellStyle name="Normal 7 2 3 13" xfId="30603"/>
    <cellStyle name="Normal 7 2 3 2" xfId="30604"/>
    <cellStyle name="Normal 7 2 3 2 10" xfId="30605"/>
    <cellStyle name="Normal 7 2 3 2 10 2" xfId="30606"/>
    <cellStyle name="Normal 7 2 3 2 11" xfId="30607"/>
    <cellStyle name="Normal 7 2 3 2 11 2" xfId="30608"/>
    <cellStyle name="Normal 7 2 3 2 12" xfId="30609"/>
    <cellStyle name="Normal 7 2 3 2 2" xfId="30610"/>
    <cellStyle name="Normal 7 2 3 2 2 10" xfId="30611"/>
    <cellStyle name="Normal 7 2 3 2 2 10 2" xfId="30612"/>
    <cellStyle name="Normal 7 2 3 2 2 11" xfId="30613"/>
    <cellStyle name="Normal 7 2 3 2 2 2" xfId="30614"/>
    <cellStyle name="Normal 7 2 3 2 2 2 2" xfId="30615"/>
    <cellStyle name="Normal 7 2 3 2 2 3" xfId="30616"/>
    <cellStyle name="Normal 7 2 3 2 2 3 2" xfId="30617"/>
    <cellStyle name="Normal 7 2 3 2 2 4" xfId="30618"/>
    <cellStyle name="Normal 7 2 3 2 2 4 2" xfId="30619"/>
    <cellStyle name="Normal 7 2 3 2 2 5" xfId="30620"/>
    <cellStyle name="Normal 7 2 3 2 2 5 2" xfId="30621"/>
    <cellStyle name="Normal 7 2 3 2 2 6" xfId="30622"/>
    <cellStyle name="Normal 7 2 3 2 2 6 2" xfId="30623"/>
    <cellStyle name="Normal 7 2 3 2 2 7" xfId="30624"/>
    <cellStyle name="Normal 7 2 3 2 2 7 2" xfId="30625"/>
    <cellStyle name="Normal 7 2 3 2 2 8" xfId="30626"/>
    <cellStyle name="Normal 7 2 3 2 2 8 2" xfId="30627"/>
    <cellStyle name="Normal 7 2 3 2 2 9" xfId="30628"/>
    <cellStyle name="Normal 7 2 3 2 2 9 2" xfId="30629"/>
    <cellStyle name="Normal 7 2 3 2 3" xfId="30630"/>
    <cellStyle name="Normal 7 2 3 2 3 2" xfId="30631"/>
    <cellStyle name="Normal 7 2 3 2 4" xfId="30632"/>
    <cellStyle name="Normal 7 2 3 2 4 2" xfId="30633"/>
    <cellStyle name="Normal 7 2 3 2 5" xfId="30634"/>
    <cellStyle name="Normal 7 2 3 2 5 2" xfId="30635"/>
    <cellStyle name="Normal 7 2 3 2 6" xfId="30636"/>
    <cellStyle name="Normal 7 2 3 2 6 2" xfId="30637"/>
    <cellStyle name="Normal 7 2 3 2 7" xfId="30638"/>
    <cellStyle name="Normal 7 2 3 2 7 2" xfId="30639"/>
    <cellStyle name="Normal 7 2 3 2 8" xfId="30640"/>
    <cellStyle name="Normal 7 2 3 2 8 2" xfId="30641"/>
    <cellStyle name="Normal 7 2 3 2 9" xfId="30642"/>
    <cellStyle name="Normal 7 2 3 2 9 2" xfId="30643"/>
    <cellStyle name="Normal 7 2 3 3" xfId="30644"/>
    <cellStyle name="Normal 7 2 3 3 10" xfId="30645"/>
    <cellStyle name="Normal 7 2 3 3 10 2" xfId="30646"/>
    <cellStyle name="Normal 7 2 3 3 11" xfId="30647"/>
    <cellStyle name="Normal 7 2 3 3 2" xfId="30648"/>
    <cellStyle name="Normal 7 2 3 3 2 2" xfId="30649"/>
    <cellStyle name="Normal 7 2 3 3 3" xfId="30650"/>
    <cellStyle name="Normal 7 2 3 3 3 2" xfId="30651"/>
    <cellStyle name="Normal 7 2 3 3 4" xfId="30652"/>
    <cellStyle name="Normal 7 2 3 3 4 2" xfId="30653"/>
    <cellStyle name="Normal 7 2 3 3 5" xfId="30654"/>
    <cellStyle name="Normal 7 2 3 3 5 2" xfId="30655"/>
    <cellStyle name="Normal 7 2 3 3 6" xfId="30656"/>
    <cellStyle name="Normal 7 2 3 3 6 2" xfId="30657"/>
    <cellStyle name="Normal 7 2 3 3 7" xfId="30658"/>
    <cellStyle name="Normal 7 2 3 3 7 2" xfId="30659"/>
    <cellStyle name="Normal 7 2 3 3 8" xfId="30660"/>
    <cellStyle name="Normal 7 2 3 3 8 2" xfId="30661"/>
    <cellStyle name="Normal 7 2 3 3 9" xfId="30662"/>
    <cellStyle name="Normal 7 2 3 3 9 2" xfId="30663"/>
    <cellStyle name="Normal 7 2 3 4" xfId="30664"/>
    <cellStyle name="Normal 7 2 3 4 2" xfId="30665"/>
    <cellStyle name="Normal 7 2 3 5" xfId="30666"/>
    <cellStyle name="Normal 7 2 3 5 2" xfId="30667"/>
    <cellStyle name="Normal 7 2 3 6" xfId="30668"/>
    <cellStyle name="Normal 7 2 3 6 2" xfId="30669"/>
    <cellStyle name="Normal 7 2 3 7" xfId="30670"/>
    <cellStyle name="Normal 7 2 3 7 2" xfId="30671"/>
    <cellStyle name="Normal 7 2 3 8" xfId="30672"/>
    <cellStyle name="Normal 7 2 3 8 2" xfId="30673"/>
    <cellStyle name="Normal 7 2 3 9" xfId="30674"/>
    <cellStyle name="Normal 7 2 3 9 2" xfId="30675"/>
    <cellStyle name="Normal 7 2 4" xfId="30676"/>
    <cellStyle name="Normal 7 2 4 10" xfId="30677"/>
    <cellStyle name="Normal 7 2 4 10 2" xfId="30678"/>
    <cellStyle name="Normal 7 2 4 11" xfId="30679"/>
    <cellStyle name="Normal 7 2 4 11 2" xfId="30680"/>
    <cellStyle name="Normal 7 2 4 12" xfId="30681"/>
    <cellStyle name="Normal 7 2 4 12 2" xfId="30682"/>
    <cellStyle name="Normal 7 2 4 13" xfId="30683"/>
    <cellStyle name="Normal 7 2 4 2" xfId="30684"/>
    <cellStyle name="Normal 7 2 4 2 10" xfId="30685"/>
    <cellStyle name="Normal 7 2 4 2 10 2" xfId="30686"/>
    <cellStyle name="Normal 7 2 4 2 11" xfId="30687"/>
    <cellStyle name="Normal 7 2 4 2 11 2" xfId="30688"/>
    <cellStyle name="Normal 7 2 4 2 12" xfId="30689"/>
    <cellStyle name="Normal 7 2 4 2 2" xfId="30690"/>
    <cellStyle name="Normal 7 2 4 2 2 10" xfId="30691"/>
    <cellStyle name="Normal 7 2 4 2 2 10 2" xfId="30692"/>
    <cellStyle name="Normal 7 2 4 2 2 11" xfId="30693"/>
    <cellStyle name="Normal 7 2 4 2 2 2" xfId="30694"/>
    <cellStyle name="Normal 7 2 4 2 2 2 2" xfId="30695"/>
    <cellStyle name="Normal 7 2 4 2 2 3" xfId="30696"/>
    <cellStyle name="Normal 7 2 4 2 2 3 2" xfId="30697"/>
    <cellStyle name="Normal 7 2 4 2 2 4" xfId="30698"/>
    <cellStyle name="Normal 7 2 4 2 2 4 2" xfId="30699"/>
    <cellStyle name="Normal 7 2 4 2 2 5" xfId="30700"/>
    <cellStyle name="Normal 7 2 4 2 2 5 2" xfId="30701"/>
    <cellStyle name="Normal 7 2 4 2 2 6" xfId="30702"/>
    <cellStyle name="Normal 7 2 4 2 2 6 2" xfId="30703"/>
    <cellStyle name="Normal 7 2 4 2 2 7" xfId="30704"/>
    <cellStyle name="Normal 7 2 4 2 2 7 2" xfId="30705"/>
    <cellStyle name="Normal 7 2 4 2 2 8" xfId="30706"/>
    <cellStyle name="Normal 7 2 4 2 2 8 2" xfId="30707"/>
    <cellStyle name="Normal 7 2 4 2 2 9" xfId="30708"/>
    <cellStyle name="Normal 7 2 4 2 2 9 2" xfId="30709"/>
    <cellStyle name="Normal 7 2 4 2 3" xfId="30710"/>
    <cellStyle name="Normal 7 2 4 2 3 2" xfId="30711"/>
    <cellStyle name="Normal 7 2 4 2 4" xfId="30712"/>
    <cellStyle name="Normal 7 2 4 2 4 2" xfId="30713"/>
    <cellStyle name="Normal 7 2 4 2 5" xfId="30714"/>
    <cellStyle name="Normal 7 2 4 2 5 2" xfId="30715"/>
    <cellStyle name="Normal 7 2 4 2 6" xfId="30716"/>
    <cellStyle name="Normal 7 2 4 2 6 2" xfId="30717"/>
    <cellStyle name="Normal 7 2 4 2 7" xfId="30718"/>
    <cellStyle name="Normal 7 2 4 2 7 2" xfId="30719"/>
    <cellStyle name="Normal 7 2 4 2 8" xfId="30720"/>
    <cellStyle name="Normal 7 2 4 2 8 2" xfId="30721"/>
    <cellStyle name="Normal 7 2 4 2 9" xfId="30722"/>
    <cellStyle name="Normal 7 2 4 2 9 2" xfId="30723"/>
    <cellStyle name="Normal 7 2 4 3" xfId="30724"/>
    <cellStyle name="Normal 7 2 4 3 10" xfId="30725"/>
    <cellStyle name="Normal 7 2 4 3 10 2" xfId="30726"/>
    <cellStyle name="Normal 7 2 4 3 11" xfId="30727"/>
    <cellStyle name="Normal 7 2 4 3 2" xfId="30728"/>
    <cellStyle name="Normal 7 2 4 3 2 2" xfId="30729"/>
    <cellStyle name="Normal 7 2 4 3 3" xfId="30730"/>
    <cellStyle name="Normal 7 2 4 3 3 2" xfId="30731"/>
    <cellStyle name="Normal 7 2 4 3 4" xfId="30732"/>
    <cellStyle name="Normal 7 2 4 3 4 2" xfId="30733"/>
    <cellStyle name="Normal 7 2 4 3 5" xfId="30734"/>
    <cellStyle name="Normal 7 2 4 3 5 2" xfId="30735"/>
    <cellStyle name="Normal 7 2 4 3 6" xfId="30736"/>
    <cellStyle name="Normal 7 2 4 3 6 2" xfId="30737"/>
    <cellStyle name="Normal 7 2 4 3 7" xfId="30738"/>
    <cellStyle name="Normal 7 2 4 3 7 2" xfId="30739"/>
    <cellStyle name="Normal 7 2 4 3 8" xfId="30740"/>
    <cellStyle name="Normal 7 2 4 3 8 2" xfId="30741"/>
    <cellStyle name="Normal 7 2 4 3 9" xfId="30742"/>
    <cellStyle name="Normal 7 2 4 3 9 2" xfId="30743"/>
    <cellStyle name="Normal 7 2 4 4" xfId="30744"/>
    <cellStyle name="Normal 7 2 4 4 2" xfId="30745"/>
    <cellStyle name="Normal 7 2 4 5" xfId="30746"/>
    <cellStyle name="Normal 7 2 4 5 2" xfId="30747"/>
    <cellStyle name="Normal 7 2 4 6" xfId="30748"/>
    <cellStyle name="Normal 7 2 4 6 2" xfId="30749"/>
    <cellStyle name="Normal 7 2 4 7" xfId="30750"/>
    <cellStyle name="Normal 7 2 4 7 2" xfId="30751"/>
    <cellStyle name="Normal 7 2 4 8" xfId="30752"/>
    <cellStyle name="Normal 7 2 4 8 2" xfId="30753"/>
    <cellStyle name="Normal 7 2 4 9" xfId="30754"/>
    <cellStyle name="Normal 7 2 4 9 2" xfId="30755"/>
    <cellStyle name="Normal 7 2 5" xfId="30756"/>
    <cellStyle name="Normal 7 2 5 10" xfId="30757"/>
    <cellStyle name="Normal 7 2 5 10 2" xfId="30758"/>
    <cellStyle name="Normal 7 2 5 11" xfId="30759"/>
    <cellStyle name="Normal 7 2 5 11 2" xfId="30760"/>
    <cellStyle name="Normal 7 2 5 12" xfId="30761"/>
    <cellStyle name="Normal 7 2 5 12 2" xfId="30762"/>
    <cellStyle name="Normal 7 2 5 13" xfId="30763"/>
    <cellStyle name="Normal 7 2 5 2" xfId="30764"/>
    <cellStyle name="Normal 7 2 5 2 10" xfId="30765"/>
    <cellStyle name="Normal 7 2 5 2 10 2" xfId="30766"/>
    <cellStyle name="Normal 7 2 5 2 11" xfId="30767"/>
    <cellStyle name="Normal 7 2 5 2 11 2" xfId="30768"/>
    <cellStyle name="Normal 7 2 5 2 12" xfId="30769"/>
    <cellStyle name="Normal 7 2 5 2 2" xfId="30770"/>
    <cellStyle name="Normal 7 2 5 2 2 10" xfId="30771"/>
    <cellStyle name="Normal 7 2 5 2 2 10 2" xfId="30772"/>
    <cellStyle name="Normal 7 2 5 2 2 11" xfId="30773"/>
    <cellStyle name="Normal 7 2 5 2 2 2" xfId="30774"/>
    <cellStyle name="Normal 7 2 5 2 2 2 2" xfId="30775"/>
    <cellStyle name="Normal 7 2 5 2 2 3" xfId="30776"/>
    <cellStyle name="Normal 7 2 5 2 2 3 2" xfId="30777"/>
    <cellStyle name="Normal 7 2 5 2 2 4" xfId="30778"/>
    <cellStyle name="Normal 7 2 5 2 2 4 2" xfId="30779"/>
    <cellStyle name="Normal 7 2 5 2 2 5" xfId="30780"/>
    <cellStyle name="Normal 7 2 5 2 2 5 2" xfId="30781"/>
    <cellStyle name="Normal 7 2 5 2 2 6" xfId="30782"/>
    <cellStyle name="Normal 7 2 5 2 2 6 2" xfId="30783"/>
    <cellStyle name="Normal 7 2 5 2 2 7" xfId="30784"/>
    <cellStyle name="Normal 7 2 5 2 2 7 2" xfId="30785"/>
    <cellStyle name="Normal 7 2 5 2 2 8" xfId="30786"/>
    <cellStyle name="Normal 7 2 5 2 2 8 2" xfId="30787"/>
    <cellStyle name="Normal 7 2 5 2 2 9" xfId="30788"/>
    <cellStyle name="Normal 7 2 5 2 2 9 2" xfId="30789"/>
    <cellStyle name="Normal 7 2 5 2 3" xfId="30790"/>
    <cellStyle name="Normal 7 2 5 2 3 2" xfId="30791"/>
    <cellStyle name="Normal 7 2 5 2 4" xfId="30792"/>
    <cellStyle name="Normal 7 2 5 2 4 2" xfId="30793"/>
    <cellStyle name="Normal 7 2 5 2 5" xfId="30794"/>
    <cellStyle name="Normal 7 2 5 2 5 2" xfId="30795"/>
    <cellStyle name="Normal 7 2 5 2 6" xfId="30796"/>
    <cellStyle name="Normal 7 2 5 2 6 2" xfId="30797"/>
    <cellStyle name="Normal 7 2 5 2 7" xfId="30798"/>
    <cellStyle name="Normal 7 2 5 2 7 2" xfId="30799"/>
    <cellStyle name="Normal 7 2 5 2 8" xfId="30800"/>
    <cellStyle name="Normal 7 2 5 2 8 2" xfId="30801"/>
    <cellStyle name="Normal 7 2 5 2 9" xfId="30802"/>
    <cellStyle name="Normal 7 2 5 2 9 2" xfId="30803"/>
    <cellStyle name="Normal 7 2 5 3" xfId="30804"/>
    <cellStyle name="Normal 7 2 5 3 10" xfId="30805"/>
    <cellStyle name="Normal 7 2 5 3 10 2" xfId="30806"/>
    <cellStyle name="Normal 7 2 5 3 11" xfId="30807"/>
    <cellStyle name="Normal 7 2 5 3 2" xfId="30808"/>
    <cellStyle name="Normal 7 2 5 3 2 2" xfId="30809"/>
    <cellStyle name="Normal 7 2 5 3 3" xfId="30810"/>
    <cellStyle name="Normal 7 2 5 3 3 2" xfId="30811"/>
    <cellStyle name="Normal 7 2 5 3 4" xfId="30812"/>
    <cellStyle name="Normal 7 2 5 3 4 2" xfId="30813"/>
    <cellStyle name="Normal 7 2 5 3 5" xfId="30814"/>
    <cellStyle name="Normal 7 2 5 3 5 2" xfId="30815"/>
    <cellStyle name="Normal 7 2 5 3 6" xfId="30816"/>
    <cellStyle name="Normal 7 2 5 3 6 2" xfId="30817"/>
    <cellStyle name="Normal 7 2 5 3 7" xfId="30818"/>
    <cellStyle name="Normal 7 2 5 3 7 2" xfId="30819"/>
    <cellStyle name="Normal 7 2 5 3 8" xfId="30820"/>
    <cellStyle name="Normal 7 2 5 3 8 2" xfId="30821"/>
    <cellStyle name="Normal 7 2 5 3 9" xfId="30822"/>
    <cellStyle name="Normal 7 2 5 3 9 2" xfId="30823"/>
    <cellStyle name="Normal 7 2 5 4" xfId="30824"/>
    <cellStyle name="Normal 7 2 5 4 2" xfId="30825"/>
    <cellStyle name="Normal 7 2 5 5" xfId="30826"/>
    <cellStyle name="Normal 7 2 5 5 2" xfId="30827"/>
    <cellStyle name="Normal 7 2 5 6" xfId="30828"/>
    <cellStyle name="Normal 7 2 5 6 2" xfId="30829"/>
    <cellStyle name="Normal 7 2 5 7" xfId="30830"/>
    <cellStyle name="Normal 7 2 5 7 2" xfId="30831"/>
    <cellStyle name="Normal 7 2 5 8" xfId="30832"/>
    <cellStyle name="Normal 7 2 5 8 2" xfId="30833"/>
    <cellStyle name="Normal 7 2 5 9" xfId="30834"/>
    <cellStyle name="Normal 7 2 5 9 2" xfId="30835"/>
    <cellStyle name="Normal 7 2 6" xfId="30836"/>
    <cellStyle name="Normal 7 2 6 10" xfId="30837"/>
    <cellStyle name="Normal 7 2 6 10 2" xfId="30838"/>
    <cellStyle name="Normal 7 2 6 11" xfId="30839"/>
    <cellStyle name="Normal 7 2 6 11 2" xfId="30840"/>
    <cellStyle name="Normal 7 2 6 12" xfId="30841"/>
    <cellStyle name="Normal 7 2 6 2" xfId="30842"/>
    <cellStyle name="Normal 7 2 6 2 10" xfId="30843"/>
    <cellStyle name="Normal 7 2 6 2 10 2" xfId="30844"/>
    <cellStyle name="Normal 7 2 6 2 11" xfId="30845"/>
    <cellStyle name="Normal 7 2 6 2 2" xfId="30846"/>
    <cellStyle name="Normal 7 2 6 2 2 2" xfId="30847"/>
    <cellStyle name="Normal 7 2 6 2 3" xfId="30848"/>
    <cellStyle name="Normal 7 2 6 2 3 2" xfId="30849"/>
    <cellStyle name="Normal 7 2 6 2 4" xfId="30850"/>
    <cellStyle name="Normal 7 2 6 2 4 2" xfId="30851"/>
    <cellStyle name="Normal 7 2 6 2 5" xfId="30852"/>
    <cellStyle name="Normal 7 2 6 2 5 2" xfId="30853"/>
    <cellStyle name="Normal 7 2 6 2 6" xfId="30854"/>
    <cellStyle name="Normal 7 2 6 2 6 2" xfId="30855"/>
    <cellStyle name="Normal 7 2 6 2 7" xfId="30856"/>
    <cellStyle name="Normal 7 2 6 2 7 2" xfId="30857"/>
    <cellStyle name="Normal 7 2 6 2 8" xfId="30858"/>
    <cellStyle name="Normal 7 2 6 2 8 2" xfId="30859"/>
    <cellStyle name="Normal 7 2 6 2 9" xfId="30860"/>
    <cellStyle name="Normal 7 2 6 2 9 2" xfId="30861"/>
    <cellStyle name="Normal 7 2 6 3" xfId="30862"/>
    <cellStyle name="Normal 7 2 6 3 2" xfId="30863"/>
    <cellStyle name="Normal 7 2 6 4" xfId="30864"/>
    <cellStyle name="Normal 7 2 6 4 2" xfId="30865"/>
    <cellStyle name="Normal 7 2 6 5" xfId="30866"/>
    <cellStyle name="Normal 7 2 6 5 2" xfId="30867"/>
    <cellStyle name="Normal 7 2 6 6" xfId="30868"/>
    <cellStyle name="Normal 7 2 6 6 2" xfId="30869"/>
    <cellStyle name="Normal 7 2 6 7" xfId="30870"/>
    <cellStyle name="Normal 7 2 6 7 2" xfId="30871"/>
    <cellStyle name="Normal 7 2 6 8" xfId="30872"/>
    <cellStyle name="Normal 7 2 6 8 2" xfId="30873"/>
    <cellStyle name="Normal 7 2 6 9" xfId="30874"/>
    <cellStyle name="Normal 7 2 6 9 2" xfId="30875"/>
    <cellStyle name="Normal 7 2 7" xfId="30876"/>
    <cellStyle name="Normal 7 2 7 10" xfId="30877"/>
    <cellStyle name="Normal 7 2 7 10 2" xfId="30878"/>
    <cellStyle name="Normal 7 2 7 11" xfId="30879"/>
    <cellStyle name="Normal 7 2 7 2" xfId="30880"/>
    <cellStyle name="Normal 7 2 7 2 2" xfId="30881"/>
    <cellStyle name="Normal 7 2 7 3" xfId="30882"/>
    <cellStyle name="Normal 7 2 7 3 2" xfId="30883"/>
    <cellStyle name="Normal 7 2 7 4" xfId="30884"/>
    <cellStyle name="Normal 7 2 7 4 2" xfId="30885"/>
    <cellStyle name="Normal 7 2 7 5" xfId="30886"/>
    <cellStyle name="Normal 7 2 7 5 2" xfId="30887"/>
    <cellStyle name="Normal 7 2 7 6" xfId="30888"/>
    <cellStyle name="Normal 7 2 7 6 2" xfId="30889"/>
    <cellStyle name="Normal 7 2 7 7" xfId="30890"/>
    <cellStyle name="Normal 7 2 7 7 2" xfId="30891"/>
    <cellStyle name="Normal 7 2 7 8" xfId="30892"/>
    <cellStyle name="Normal 7 2 7 8 2" xfId="30893"/>
    <cellStyle name="Normal 7 2 7 9" xfId="30894"/>
    <cellStyle name="Normal 7 2 7 9 2" xfId="30895"/>
    <cellStyle name="Normal 7 2 8" xfId="30896"/>
    <cellStyle name="Normal 7 2 8 2" xfId="30897"/>
    <cellStyle name="Normal 7 2 9" xfId="30898"/>
    <cellStyle name="Normal 7 2 9 2" xfId="30899"/>
    <cellStyle name="Normal 7 20" xfId="30900"/>
    <cellStyle name="Normal 7 21" xfId="30901"/>
    <cellStyle name="Normal 7 22" xfId="30902"/>
    <cellStyle name="Normal 7 3" xfId="30903"/>
    <cellStyle name="Normal 7 3 10" xfId="30904"/>
    <cellStyle name="Normal 7 3 10 2" xfId="30905"/>
    <cellStyle name="Normal 7 3 11" xfId="30906"/>
    <cellStyle name="Normal 7 3 11 2" xfId="30907"/>
    <cellStyle name="Normal 7 3 12" xfId="30908"/>
    <cellStyle name="Normal 7 3 12 2" xfId="30909"/>
    <cellStyle name="Normal 7 3 13" xfId="30910"/>
    <cellStyle name="Normal 7 3 2" xfId="30911"/>
    <cellStyle name="Normal 7 3 2 10" xfId="30912"/>
    <cellStyle name="Normal 7 3 2 10 2" xfId="30913"/>
    <cellStyle name="Normal 7 3 2 11" xfId="30914"/>
    <cellStyle name="Normal 7 3 2 11 2" xfId="30915"/>
    <cellStyle name="Normal 7 3 2 12" xfId="30916"/>
    <cellStyle name="Normal 7 3 2 2" xfId="30917"/>
    <cellStyle name="Normal 7 3 2 2 10" xfId="30918"/>
    <cellStyle name="Normal 7 3 2 2 10 2" xfId="30919"/>
    <cellStyle name="Normal 7 3 2 2 11" xfId="30920"/>
    <cellStyle name="Normal 7 3 2 2 2" xfId="30921"/>
    <cellStyle name="Normal 7 3 2 2 2 2" xfId="30922"/>
    <cellStyle name="Normal 7 3 2 2 3" xfId="30923"/>
    <cellStyle name="Normal 7 3 2 2 3 2" xfId="30924"/>
    <cellStyle name="Normal 7 3 2 2 4" xfId="30925"/>
    <cellStyle name="Normal 7 3 2 2 4 2" xfId="30926"/>
    <cellStyle name="Normal 7 3 2 2 5" xfId="30927"/>
    <cellStyle name="Normal 7 3 2 2 5 2" xfId="30928"/>
    <cellStyle name="Normal 7 3 2 2 6" xfId="30929"/>
    <cellStyle name="Normal 7 3 2 2 6 2" xfId="30930"/>
    <cellStyle name="Normal 7 3 2 2 7" xfId="30931"/>
    <cellStyle name="Normal 7 3 2 2 7 2" xfId="30932"/>
    <cellStyle name="Normal 7 3 2 2 8" xfId="30933"/>
    <cellStyle name="Normal 7 3 2 2 8 2" xfId="30934"/>
    <cellStyle name="Normal 7 3 2 2 9" xfId="30935"/>
    <cellStyle name="Normal 7 3 2 2 9 2" xfId="30936"/>
    <cellStyle name="Normal 7 3 2 3" xfId="30937"/>
    <cellStyle name="Normal 7 3 2 3 2" xfId="30938"/>
    <cellStyle name="Normal 7 3 2 4" xfId="30939"/>
    <cellStyle name="Normal 7 3 2 4 2" xfId="30940"/>
    <cellStyle name="Normal 7 3 2 5" xfId="30941"/>
    <cellStyle name="Normal 7 3 2 5 2" xfId="30942"/>
    <cellStyle name="Normal 7 3 2 6" xfId="30943"/>
    <cellStyle name="Normal 7 3 2 6 2" xfId="30944"/>
    <cellStyle name="Normal 7 3 2 7" xfId="30945"/>
    <cellStyle name="Normal 7 3 2 7 2" xfId="30946"/>
    <cellStyle name="Normal 7 3 2 8" xfId="30947"/>
    <cellStyle name="Normal 7 3 2 8 2" xfId="30948"/>
    <cellStyle name="Normal 7 3 2 9" xfId="30949"/>
    <cellStyle name="Normal 7 3 2 9 2" xfId="30950"/>
    <cellStyle name="Normal 7 3 3" xfId="30951"/>
    <cellStyle name="Normal 7 3 3 10" xfId="30952"/>
    <cellStyle name="Normal 7 3 3 10 2" xfId="30953"/>
    <cellStyle name="Normal 7 3 3 11" xfId="30954"/>
    <cellStyle name="Normal 7 3 3 2" xfId="30955"/>
    <cellStyle name="Normal 7 3 3 2 2" xfId="30956"/>
    <cellStyle name="Normal 7 3 3 3" xfId="30957"/>
    <cellStyle name="Normal 7 3 3 3 2" xfId="30958"/>
    <cellStyle name="Normal 7 3 3 4" xfId="30959"/>
    <cellStyle name="Normal 7 3 3 4 2" xfId="30960"/>
    <cellStyle name="Normal 7 3 3 5" xfId="30961"/>
    <cellStyle name="Normal 7 3 3 5 2" xfId="30962"/>
    <cellStyle name="Normal 7 3 3 6" xfId="30963"/>
    <cellStyle name="Normal 7 3 3 6 2" xfId="30964"/>
    <cellStyle name="Normal 7 3 3 7" xfId="30965"/>
    <cellStyle name="Normal 7 3 3 7 2" xfId="30966"/>
    <cellStyle name="Normal 7 3 3 8" xfId="30967"/>
    <cellStyle name="Normal 7 3 3 8 2" xfId="30968"/>
    <cellStyle name="Normal 7 3 3 9" xfId="30969"/>
    <cellStyle name="Normal 7 3 3 9 2" xfId="30970"/>
    <cellStyle name="Normal 7 3 4" xfId="30971"/>
    <cellStyle name="Normal 7 3 4 2" xfId="30972"/>
    <cellStyle name="Normal 7 3 5" xfId="30973"/>
    <cellStyle name="Normal 7 3 5 2" xfId="30974"/>
    <cellStyle name="Normal 7 3 6" xfId="30975"/>
    <cellStyle name="Normal 7 3 6 2" xfId="30976"/>
    <cellStyle name="Normal 7 3 7" xfId="30977"/>
    <cellStyle name="Normal 7 3 7 2" xfId="30978"/>
    <cellStyle name="Normal 7 3 8" xfId="30979"/>
    <cellStyle name="Normal 7 3 8 2" xfId="30980"/>
    <cellStyle name="Normal 7 3 9" xfId="30981"/>
    <cellStyle name="Normal 7 3 9 2" xfId="30982"/>
    <cellStyle name="Normal 7 4" xfId="30983"/>
    <cellStyle name="Normal 7 4 10" xfId="30984"/>
    <cellStyle name="Normal 7 4 10 2" xfId="30985"/>
    <cellStyle name="Normal 7 4 11" xfId="30986"/>
    <cellStyle name="Normal 7 4 11 2" xfId="30987"/>
    <cellStyle name="Normal 7 4 12" xfId="30988"/>
    <cellStyle name="Normal 7 4 12 2" xfId="30989"/>
    <cellStyle name="Normal 7 4 13" xfId="30990"/>
    <cellStyle name="Normal 7 4 2" xfId="30991"/>
    <cellStyle name="Normal 7 4 2 10" xfId="30992"/>
    <cellStyle name="Normal 7 4 2 10 2" xfId="30993"/>
    <cellStyle name="Normal 7 4 2 11" xfId="30994"/>
    <cellStyle name="Normal 7 4 2 11 2" xfId="30995"/>
    <cellStyle name="Normal 7 4 2 12" xfId="30996"/>
    <cellStyle name="Normal 7 4 2 2" xfId="30997"/>
    <cellStyle name="Normal 7 4 2 2 10" xfId="30998"/>
    <cellStyle name="Normal 7 4 2 2 10 2" xfId="30999"/>
    <cellStyle name="Normal 7 4 2 2 11" xfId="31000"/>
    <cellStyle name="Normal 7 4 2 2 2" xfId="31001"/>
    <cellStyle name="Normal 7 4 2 2 2 2" xfId="31002"/>
    <cellStyle name="Normal 7 4 2 2 3" xfId="31003"/>
    <cellStyle name="Normal 7 4 2 2 3 2" xfId="31004"/>
    <cellStyle name="Normal 7 4 2 2 4" xfId="31005"/>
    <cellStyle name="Normal 7 4 2 2 4 2" xfId="31006"/>
    <cellStyle name="Normal 7 4 2 2 5" xfId="31007"/>
    <cellStyle name="Normal 7 4 2 2 5 2" xfId="31008"/>
    <cellStyle name="Normal 7 4 2 2 6" xfId="31009"/>
    <cellStyle name="Normal 7 4 2 2 6 2" xfId="31010"/>
    <cellStyle name="Normal 7 4 2 2 7" xfId="31011"/>
    <cellStyle name="Normal 7 4 2 2 7 2" xfId="31012"/>
    <cellStyle name="Normal 7 4 2 2 8" xfId="31013"/>
    <cellStyle name="Normal 7 4 2 2 8 2" xfId="31014"/>
    <cellStyle name="Normal 7 4 2 2 9" xfId="31015"/>
    <cellStyle name="Normal 7 4 2 2 9 2" xfId="31016"/>
    <cellStyle name="Normal 7 4 2 3" xfId="31017"/>
    <cellStyle name="Normal 7 4 2 3 2" xfId="31018"/>
    <cellStyle name="Normal 7 4 2 4" xfId="31019"/>
    <cellStyle name="Normal 7 4 2 4 2" xfId="31020"/>
    <cellStyle name="Normal 7 4 2 5" xfId="31021"/>
    <cellStyle name="Normal 7 4 2 5 2" xfId="31022"/>
    <cellStyle name="Normal 7 4 2 6" xfId="31023"/>
    <cellStyle name="Normal 7 4 2 6 2" xfId="31024"/>
    <cellStyle name="Normal 7 4 2 7" xfId="31025"/>
    <cellStyle name="Normal 7 4 2 7 2" xfId="31026"/>
    <cellStyle name="Normal 7 4 2 8" xfId="31027"/>
    <cellStyle name="Normal 7 4 2 8 2" xfId="31028"/>
    <cellStyle name="Normal 7 4 2 9" xfId="31029"/>
    <cellStyle name="Normal 7 4 2 9 2" xfId="31030"/>
    <cellStyle name="Normal 7 4 3" xfId="31031"/>
    <cellStyle name="Normal 7 4 3 10" xfId="31032"/>
    <cellStyle name="Normal 7 4 3 10 2" xfId="31033"/>
    <cellStyle name="Normal 7 4 3 11" xfId="31034"/>
    <cellStyle name="Normal 7 4 3 2" xfId="31035"/>
    <cellStyle name="Normal 7 4 3 2 2" xfId="31036"/>
    <cellStyle name="Normal 7 4 3 3" xfId="31037"/>
    <cellStyle name="Normal 7 4 3 3 2" xfId="31038"/>
    <cellStyle name="Normal 7 4 3 4" xfId="31039"/>
    <cellStyle name="Normal 7 4 3 4 2" xfId="31040"/>
    <cellStyle name="Normal 7 4 3 5" xfId="31041"/>
    <cellStyle name="Normal 7 4 3 5 2" xfId="31042"/>
    <cellStyle name="Normal 7 4 3 6" xfId="31043"/>
    <cellStyle name="Normal 7 4 3 6 2" xfId="31044"/>
    <cellStyle name="Normal 7 4 3 7" xfId="31045"/>
    <cellStyle name="Normal 7 4 3 7 2" xfId="31046"/>
    <cellStyle name="Normal 7 4 3 8" xfId="31047"/>
    <cellStyle name="Normal 7 4 3 8 2" xfId="31048"/>
    <cellStyle name="Normal 7 4 3 9" xfId="31049"/>
    <cellStyle name="Normal 7 4 3 9 2" xfId="31050"/>
    <cellStyle name="Normal 7 4 4" xfId="31051"/>
    <cellStyle name="Normal 7 4 4 2" xfId="31052"/>
    <cellStyle name="Normal 7 4 5" xfId="31053"/>
    <cellStyle name="Normal 7 4 5 2" xfId="31054"/>
    <cellStyle name="Normal 7 4 6" xfId="31055"/>
    <cellStyle name="Normal 7 4 6 2" xfId="31056"/>
    <cellStyle name="Normal 7 4 7" xfId="31057"/>
    <cellStyle name="Normal 7 4 7 2" xfId="31058"/>
    <cellStyle name="Normal 7 4 8" xfId="31059"/>
    <cellStyle name="Normal 7 4 8 2" xfId="31060"/>
    <cellStyle name="Normal 7 4 9" xfId="31061"/>
    <cellStyle name="Normal 7 4 9 2" xfId="31062"/>
    <cellStyle name="Normal 7 5" xfId="31063"/>
    <cellStyle name="Normal 7 5 10" xfId="31064"/>
    <cellStyle name="Normal 7 5 10 2" xfId="31065"/>
    <cellStyle name="Normal 7 5 11" xfId="31066"/>
    <cellStyle name="Normal 7 5 11 2" xfId="31067"/>
    <cellStyle name="Normal 7 5 12" xfId="31068"/>
    <cellStyle name="Normal 7 5 12 2" xfId="31069"/>
    <cellStyle name="Normal 7 5 13" xfId="31070"/>
    <cellStyle name="Normal 7 5 2" xfId="31071"/>
    <cellStyle name="Normal 7 5 2 10" xfId="31072"/>
    <cellStyle name="Normal 7 5 2 10 2" xfId="31073"/>
    <cellStyle name="Normal 7 5 2 11" xfId="31074"/>
    <cellStyle name="Normal 7 5 2 11 2" xfId="31075"/>
    <cellStyle name="Normal 7 5 2 12" xfId="31076"/>
    <cellStyle name="Normal 7 5 2 2" xfId="31077"/>
    <cellStyle name="Normal 7 5 2 2 10" xfId="31078"/>
    <cellStyle name="Normal 7 5 2 2 10 2" xfId="31079"/>
    <cellStyle name="Normal 7 5 2 2 11" xfId="31080"/>
    <cellStyle name="Normal 7 5 2 2 2" xfId="31081"/>
    <cellStyle name="Normal 7 5 2 2 2 2" xfId="31082"/>
    <cellStyle name="Normal 7 5 2 2 3" xfId="31083"/>
    <cellStyle name="Normal 7 5 2 2 3 2" xfId="31084"/>
    <cellStyle name="Normal 7 5 2 2 4" xfId="31085"/>
    <cellStyle name="Normal 7 5 2 2 4 2" xfId="31086"/>
    <cellStyle name="Normal 7 5 2 2 5" xfId="31087"/>
    <cellStyle name="Normal 7 5 2 2 5 2" xfId="31088"/>
    <cellStyle name="Normal 7 5 2 2 6" xfId="31089"/>
    <cellStyle name="Normal 7 5 2 2 6 2" xfId="31090"/>
    <cellStyle name="Normal 7 5 2 2 7" xfId="31091"/>
    <cellStyle name="Normal 7 5 2 2 7 2" xfId="31092"/>
    <cellStyle name="Normal 7 5 2 2 8" xfId="31093"/>
    <cellStyle name="Normal 7 5 2 2 8 2" xfId="31094"/>
    <cellStyle name="Normal 7 5 2 2 9" xfId="31095"/>
    <cellStyle name="Normal 7 5 2 2 9 2" xfId="31096"/>
    <cellStyle name="Normal 7 5 2 3" xfId="31097"/>
    <cellStyle name="Normal 7 5 2 3 2" xfId="31098"/>
    <cellStyle name="Normal 7 5 2 4" xfId="31099"/>
    <cellStyle name="Normal 7 5 2 4 2" xfId="31100"/>
    <cellStyle name="Normal 7 5 2 5" xfId="31101"/>
    <cellStyle name="Normal 7 5 2 5 2" xfId="31102"/>
    <cellStyle name="Normal 7 5 2 6" xfId="31103"/>
    <cellStyle name="Normal 7 5 2 6 2" xfId="31104"/>
    <cellStyle name="Normal 7 5 2 7" xfId="31105"/>
    <cellStyle name="Normal 7 5 2 7 2" xfId="31106"/>
    <cellStyle name="Normal 7 5 2 8" xfId="31107"/>
    <cellStyle name="Normal 7 5 2 8 2" xfId="31108"/>
    <cellStyle name="Normal 7 5 2 9" xfId="31109"/>
    <cellStyle name="Normal 7 5 2 9 2" xfId="31110"/>
    <cellStyle name="Normal 7 5 3" xfId="31111"/>
    <cellStyle name="Normal 7 5 3 10" xfId="31112"/>
    <cellStyle name="Normal 7 5 3 10 2" xfId="31113"/>
    <cellStyle name="Normal 7 5 3 11" xfId="31114"/>
    <cellStyle name="Normal 7 5 3 2" xfId="31115"/>
    <cellStyle name="Normal 7 5 3 2 2" xfId="31116"/>
    <cellStyle name="Normal 7 5 3 3" xfId="31117"/>
    <cellStyle name="Normal 7 5 3 3 2" xfId="31118"/>
    <cellStyle name="Normal 7 5 3 4" xfId="31119"/>
    <cellStyle name="Normal 7 5 3 4 2" xfId="31120"/>
    <cellStyle name="Normal 7 5 3 5" xfId="31121"/>
    <cellStyle name="Normal 7 5 3 5 2" xfId="31122"/>
    <cellStyle name="Normal 7 5 3 6" xfId="31123"/>
    <cellStyle name="Normal 7 5 3 6 2" xfId="31124"/>
    <cellStyle name="Normal 7 5 3 7" xfId="31125"/>
    <cellStyle name="Normal 7 5 3 7 2" xfId="31126"/>
    <cellStyle name="Normal 7 5 3 8" xfId="31127"/>
    <cellStyle name="Normal 7 5 3 8 2" xfId="31128"/>
    <cellStyle name="Normal 7 5 3 9" xfId="31129"/>
    <cellStyle name="Normal 7 5 3 9 2" xfId="31130"/>
    <cellStyle name="Normal 7 5 4" xfId="31131"/>
    <cellStyle name="Normal 7 5 4 2" xfId="31132"/>
    <cellStyle name="Normal 7 5 5" xfId="31133"/>
    <cellStyle name="Normal 7 5 5 2" xfId="31134"/>
    <cellStyle name="Normal 7 5 6" xfId="31135"/>
    <cellStyle name="Normal 7 5 6 2" xfId="31136"/>
    <cellStyle name="Normal 7 5 7" xfId="31137"/>
    <cellStyle name="Normal 7 5 7 2" xfId="31138"/>
    <cellStyle name="Normal 7 5 8" xfId="31139"/>
    <cellStyle name="Normal 7 5 8 2" xfId="31140"/>
    <cellStyle name="Normal 7 5 9" xfId="31141"/>
    <cellStyle name="Normal 7 5 9 2" xfId="31142"/>
    <cellStyle name="Normal 7 6" xfId="31143"/>
    <cellStyle name="Normal 7 6 10" xfId="31144"/>
    <cellStyle name="Normal 7 6 10 2" xfId="31145"/>
    <cellStyle name="Normal 7 6 11" xfId="31146"/>
    <cellStyle name="Normal 7 6 11 2" xfId="31147"/>
    <cellStyle name="Normal 7 6 12" xfId="31148"/>
    <cellStyle name="Normal 7 6 12 2" xfId="31149"/>
    <cellStyle name="Normal 7 6 13" xfId="31150"/>
    <cellStyle name="Normal 7 6 2" xfId="31151"/>
    <cellStyle name="Normal 7 6 2 10" xfId="31152"/>
    <cellStyle name="Normal 7 6 2 10 2" xfId="31153"/>
    <cellStyle name="Normal 7 6 2 11" xfId="31154"/>
    <cellStyle name="Normal 7 6 2 11 2" xfId="31155"/>
    <cellStyle name="Normal 7 6 2 12" xfId="31156"/>
    <cellStyle name="Normal 7 6 2 2" xfId="31157"/>
    <cellStyle name="Normal 7 6 2 2 10" xfId="31158"/>
    <cellStyle name="Normal 7 6 2 2 10 2" xfId="31159"/>
    <cellStyle name="Normal 7 6 2 2 11" xfId="31160"/>
    <cellStyle name="Normal 7 6 2 2 2" xfId="31161"/>
    <cellStyle name="Normal 7 6 2 2 2 2" xfId="31162"/>
    <cellStyle name="Normal 7 6 2 2 3" xfId="31163"/>
    <cellStyle name="Normal 7 6 2 2 3 2" xfId="31164"/>
    <cellStyle name="Normal 7 6 2 2 4" xfId="31165"/>
    <cellStyle name="Normal 7 6 2 2 4 2" xfId="31166"/>
    <cellStyle name="Normal 7 6 2 2 5" xfId="31167"/>
    <cellStyle name="Normal 7 6 2 2 5 2" xfId="31168"/>
    <cellStyle name="Normal 7 6 2 2 6" xfId="31169"/>
    <cellStyle name="Normal 7 6 2 2 6 2" xfId="31170"/>
    <cellStyle name="Normal 7 6 2 2 7" xfId="31171"/>
    <cellStyle name="Normal 7 6 2 2 7 2" xfId="31172"/>
    <cellStyle name="Normal 7 6 2 2 8" xfId="31173"/>
    <cellStyle name="Normal 7 6 2 2 8 2" xfId="31174"/>
    <cellStyle name="Normal 7 6 2 2 9" xfId="31175"/>
    <cellStyle name="Normal 7 6 2 2 9 2" xfId="31176"/>
    <cellStyle name="Normal 7 6 2 3" xfId="31177"/>
    <cellStyle name="Normal 7 6 2 3 2" xfId="31178"/>
    <cellStyle name="Normal 7 6 2 4" xfId="31179"/>
    <cellStyle name="Normal 7 6 2 4 2" xfId="31180"/>
    <cellStyle name="Normal 7 6 2 5" xfId="31181"/>
    <cellStyle name="Normal 7 6 2 5 2" xfId="31182"/>
    <cellStyle name="Normal 7 6 2 6" xfId="31183"/>
    <cellStyle name="Normal 7 6 2 6 2" xfId="31184"/>
    <cellStyle name="Normal 7 6 2 7" xfId="31185"/>
    <cellStyle name="Normal 7 6 2 7 2" xfId="31186"/>
    <cellStyle name="Normal 7 6 2 8" xfId="31187"/>
    <cellStyle name="Normal 7 6 2 8 2" xfId="31188"/>
    <cellStyle name="Normal 7 6 2 9" xfId="31189"/>
    <cellStyle name="Normal 7 6 2 9 2" xfId="31190"/>
    <cellStyle name="Normal 7 6 3" xfId="31191"/>
    <cellStyle name="Normal 7 6 3 10" xfId="31192"/>
    <cellStyle name="Normal 7 6 3 10 2" xfId="31193"/>
    <cellStyle name="Normal 7 6 3 11" xfId="31194"/>
    <cellStyle name="Normal 7 6 3 2" xfId="31195"/>
    <cellStyle name="Normal 7 6 3 2 2" xfId="31196"/>
    <cellStyle name="Normal 7 6 3 3" xfId="31197"/>
    <cellStyle name="Normal 7 6 3 3 2" xfId="31198"/>
    <cellStyle name="Normal 7 6 3 4" xfId="31199"/>
    <cellStyle name="Normal 7 6 3 4 2" xfId="31200"/>
    <cellStyle name="Normal 7 6 3 5" xfId="31201"/>
    <cellStyle name="Normal 7 6 3 5 2" xfId="31202"/>
    <cellStyle name="Normal 7 6 3 6" xfId="31203"/>
    <cellStyle name="Normal 7 6 3 6 2" xfId="31204"/>
    <cellStyle name="Normal 7 6 3 7" xfId="31205"/>
    <cellStyle name="Normal 7 6 3 7 2" xfId="31206"/>
    <cellStyle name="Normal 7 6 3 8" xfId="31207"/>
    <cellStyle name="Normal 7 6 3 8 2" xfId="31208"/>
    <cellStyle name="Normal 7 6 3 9" xfId="31209"/>
    <cellStyle name="Normal 7 6 3 9 2" xfId="31210"/>
    <cellStyle name="Normal 7 6 4" xfId="31211"/>
    <cellStyle name="Normal 7 6 4 2" xfId="31212"/>
    <cellStyle name="Normal 7 6 5" xfId="31213"/>
    <cellStyle name="Normal 7 6 5 2" xfId="31214"/>
    <cellStyle name="Normal 7 6 6" xfId="31215"/>
    <cellStyle name="Normal 7 6 6 2" xfId="31216"/>
    <cellStyle name="Normal 7 6 7" xfId="31217"/>
    <cellStyle name="Normal 7 6 7 2" xfId="31218"/>
    <cellStyle name="Normal 7 6 8" xfId="31219"/>
    <cellStyle name="Normal 7 6 8 2" xfId="31220"/>
    <cellStyle name="Normal 7 6 9" xfId="31221"/>
    <cellStyle name="Normal 7 6 9 2" xfId="31222"/>
    <cellStyle name="Normal 7 7" xfId="31223"/>
    <cellStyle name="Normal 7 7 10" xfId="31224"/>
    <cellStyle name="Normal 7 7 10 2" xfId="31225"/>
    <cellStyle name="Normal 7 7 11" xfId="31226"/>
    <cellStyle name="Normal 7 7 11 2" xfId="31227"/>
    <cellStyle name="Normal 7 7 12" xfId="31228"/>
    <cellStyle name="Normal 7 7 2" xfId="31229"/>
    <cellStyle name="Normal 7 7 2 10" xfId="31230"/>
    <cellStyle name="Normal 7 7 2 10 2" xfId="31231"/>
    <cellStyle name="Normal 7 7 2 11" xfId="31232"/>
    <cellStyle name="Normal 7 7 2 2" xfId="31233"/>
    <cellStyle name="Normal 7 7 2 2 2" xfId="31234"/>
    <cellStyle name="Normal 7 7 2 3" xfId="31235"/>
    <cellStyle name="Normal 7 7 2 3 2" xfId="31236"/>
    <cellStyle name="Normal 7 7 2 4" xfId="31237"/>
    <cellStyle name="Normal 7 7 2 4 2" xfId="31238"/>
    <cellStyle name="Normal 7 7 2 5" xfId="31239"/>
    <cellStyle name="Normal 7 7 2 5 2" xfId="31240"/>
    <cellStyle name="Normal 7 7 2 6" xfId="31241"/>
    <cellStyle name="Normal 7 7 2 6 2" xfId="31242"/>
    <cellStyle name="Normal 7 7 2 7" xfId="31243"/>
    <cellStyle name="Normal 7 7 2 7 2" xfId="31244"/>
    <cellStyle name="Normal 7 7 2 8" xfId="31245"/>
    <cellStyle name="Normal 7 7 2 8 2" xfId="31246"/>
    <cellStyle name="Normal 7 7 2 9" xfId="31247"/>
    <cellStyle name="Normal 7 7 2 9 2" xfId="31248"/>
    <cellStyle name="Normal 7 7 3" xfId="31249"/>
    <cellStyle name="Normal 7 7 3 2" xfId="31250"/>
    <cellStyle name="Normal 7 7 4" xfId="31251"/>
    <cellStyle name="Normal 7 7 4 2" xfId="31252"/>
    <cellStyle name="Normal 7 7 5" xfId="31253"/>
    <cellStyle name="Normal 7 7 5 2" xfId="31254"/>
    <cellStyle name="Normal 7 7 6" xfId="31255"/>
    <cellStyle name="Normal 7 7 6 2" xfId="31256"/>
    <cellStyle name="Normal 7 7 7" xfId="31257"/>
    <cellStyle name="Normal 7 7 7 2" xfId="31258"/>
    <cellStyle name="Normal 7 7 8" xfId="31259"/>
    <cellStyle name="Normal 7 7 8 2" xfId="31260"/>
    <cellStyle name="Normal 7 7 9" xfId="31261"/>
    <cellStyle name="Normal 7 7 9 2" xfId="31262"/>
    <cellStyle name="Normal 7 8" xfId="31263"/>
    <cellStyle name="Normal 7 8 10" xfId="31264"/>
    <cellStyle name="Normal 7 8 10 2" xfId="31265"/>
    <cellStyle name="Normal 7 8 11" xfId="31266"/>
    <cellStyle name="Normal 7 8 2" xfId="31267"/>
    <cellStyle name="Normal 7 8 2 2" xfId="31268"/>
    <cellStyle name="Normal 7 8 3" xfId="31269"/>
    <cellStyle name="Normal 7 8 3 2" xfId="31270"/>
    <cellStyle name="Normal 7 8 4" xfId="31271"/>
    <cellStyle name="Normal 7 8 4 2" xfId="31272"/>
    <cellStyle name="Normal 7 8 5" xfId="31273"/>
    <cellStyle name="Normal 7 8 5 2" xfId="31274"/>
    <cellStyle name="Normal 7 8 6" xfId="31275"/>
    <cellStyle name="Normal 7 8 6 2" xfId="31276"/>
    <cellStyle name="Normal 7 8 7" xfId="31277"/>
    <cellStyle name="Normal 7 8 7 2" xfId="31278"/>
    <cellStyle name="Normal 7 8 8" xfId="31279"/>
    <cellStyle name="Normal 7 8 8 2" xfId="31280"/>
    <cellStyle name="Normal 7 8 9" xfId="31281"/>
    <cellStyle name="Normal 7 8 9 2" xfId="31282"/>
    <cellStyle name="Normal 7 9" xfId="31283"/>
    <cellStyle name="Normal 7 9 2" xfId="31284"/>
    <cellStyle name="Normal 73" xfId="31285"/>
    <cellStyle name="Normal 8" xfId="31286"/>
    <cellStyle name="Normal 8 10" xfId="31287"/>
    <cellStyle name="Normal 8 10 2" xfId="31288"/>
    <cellStyle name="Normal 8 11" xfId="31289"/>
    <cellStyle name="Normal 8 11 2" xfId="31290"/>
    <cellStyle name="Normal 8 12" xfId="31291"/>
    <cellStyle name="Normal 8 12 2" xfId="31292"/>
    <cellStyle name="Normal 8 13" xfId="31293"/>
    <cellStyle name="Normal 8 13 2" xfId="31294"/>
    <cellStyle name="Normal 8 14" xfId="31295"/>
    <cellStyle name="Normal 8 14 2" xfId="31296"/>
    <cellStyle name="Normal 8 15" xfId="31297"/>
    <cellStyle name="Normal 8 15 2" xfId="31298"/>
    <cellStyle name="Normal 8 16" xfId="31299"/>
    <cellStyle name="Normal 8 16 2" xfId="31300"/>
    <cellStyle name="Normal 8 17" xfId="31301"/>
    <cellStyle name="Normal 8 17 2" xfId="31302"/>
    <cellStyle name="Normal 8 18" xfId="31303"/>
    <cellStyle name="Normal 8 19" xfId="31304"/>
    <cellStyle name="Normal 8 2" xfId="31305"/>
    <cellStyle name="Normal 8 2 10" xfId="31306"/>
    <cellStyle name="Normal 8 2 10 2" xfId="31307"/>
    <cellStyle name="Normal 8 2 11" xfId="31308"/>
    <cellStyle name="Normal 8 2 11 2" xfId="31309"/>
    <cellStyle name="Normal 8 2 12" xfId="31310"/>
    <cellStyle name="Normal 8 2 12 2" xfId="31311"/>
    <cellStyle name="Normal 8 2 13" xfId="31312"/>
    <cellStyle name="Normal 8 2 13 2" xfId="31313"/>
    <cellStyle name="Normal 8 2 14" xfId="31314"/>
    <cellStyle name="Normal 8 2 15" xfId="31315"/>
    <cellStyle name="Normal 8 2 2" xfId="31316"/>
    <cellStyle name="Normal 8 2 3" xfId="31317"/>
    <cellStyle name="Normal 8 2 3 10" xfId="31318"/>
    <cellStyle name="Normal 8 2 3 10 2" xfId="31319"/>
    <cellStyle name="Normal 8 2 3 11" xfId="31320"/>
    <cellStyle name="Normal 8 2 3 11 2" xfId="31321"/>
    <cellStyle name="Normal 8 2 3 12" xfId="31322"/>
    <cellStyle name="Normal 8 2 3 2" xfId="31323"/>
    <cellStyle name="Normal 8 2 3 2 10" xfId="31324"/>
    <cellStyle name="Normal 8 2 3 2 10 2" xfId="31325"/>
    <cellStyle name="Normal 8 2 3 2 11" xfId="31326"/>
    <cellStyle name="Normal 8 2 3 2 2" xfId="31327"/>
    <cellStyle name="Normal 8 2 3 2 2 2" xfId="31328"/>
    <cellStyle name="Normal 8 2 3 2 3" xfId="31329"/>
    <cellStyle name="Normal 8 2 3 2 3 2" xfId="31330"/>
    <cellStyle name="Normal 8 2 3 2 4" xfId="31331"/>
    <cellStyle name="Normal 8 2 3 2 4 2" xfId="31332"/>
    <cellStyle name="Normal 8 2 3 2 5" xfId="31333"/>
    <cellStyle name="Normal 8 2 3 2 5 2" xfId="31334"/>
    <cellStyle name="Normal 8 2 3 2 6" xfId="31335"/>
    <cellStyle name="Normal 8 2 3 2 6 2" xfId="31336"/>
    <cellStyle name="Normal 8 2 3 2 7" xfId="31337"/>
    <cellStyle name="Normal 8 2 3 2 7 2" xfId="31338"/>
    <cellStyle name="Normal 8 2 3 2 8" xfId="31339"/>
    <cellStyle name="Normal 8 2 3 2 8 2" xfId="31340"/>
    <cellStyle name="Normal 8 2 3 2 9" xfId="31341"/>
    <cellStyle name="Normal 8 2 3 2 9 2" xfId="31342"/>
    <cellStyle name="Normal 8 2 3 3" xfId="31343"/>
    <cellStyle name="Normal 8 2 3 3 2" xfId="31344"/>
    <cellStyle name="Normal 8 2 3 4" xfId="31345"/>
    <cellStyle name="Normal 8 2 3 4 2" xfId="31346"/>
    <cellStyle name="Normal 8 2 3 5" xfId="31347"/>
    <cellStyle name="Normal 8 2 3 5 2" xfId="31348"/>
    <cellStyle name="Normal 8 2 3 6" xfId="31349"/>
    <cellStyle name="Normal 8 2 3 6 2" xfId="31350"/>
    <cellStyle name="Normal 8 2 3 7" xfId="31351"/>
    <cellStyle name="Normal 8 2 3 7 2" xfId="31352"/>
    <cellStyle name="Normal 8 2 3 8" xfId="31353"/>
    <cellStyle name="Normal 8 2 3 8 2" xfId="31354"/>
    <cellStyle name="Normal 8 2 3 9" xfId="31355"/>
    <cellStyle name="Normal 8 2 3 9 2" xfId="31356"/>
    <cellStyle name="Normal 8 2 4" xfId="31357"/>
    <cellStyle name="Normal 8 2 4 10" xfId="31358"/>
    <cellStyle name="Normal 8 2 4 10 2" xfId="31359"/>
    <cellStyle name="Normal 8 2 4 11" xfId="31360"/>
    <cellStyle name="Normal 8 2 4 2" xfId="31361"/>
    <cellStyle name="Normal 8 2 4 2 2" xfId="31362"/>
    <cellStyle name="Normal 8 2 4 3" xfId="31363"/>
    <cellStyle name="Normal 8 2 4 3 2" xfId="31364"/>
    <cellStyle name="Normal 8 2 4 4" xfId="31365"/>
    <cellStyle name="Normal 8 2 4 4 2" xfId="31366"/>
    <cellStyle name="Normal 8 2 4 5" xfId="31367"/>
    <cellStyle name="Normal 8 2 4 5 2" xfId="31368"/>
    <cellStyle name="Normal 8 2 4 6" xfId="31369"/>
    <cellStyle name="Normal 8 2 4 6 2" xfId="31370"/>
    <cellStyle name="Normal 8 2 4 7" xfId="31371"/>
    <cellStyle name="Normal 8 2 4 7 2" xfId="31372"/>
    <cellStyle name="Normal 8 2 4 8" xfId="31373"/>
    <cellStyle name="Normal 8 2 4 8 2" xfId="31374"/>
    <cellStyle name="Normal 8 2 4 9" xfId="31375"/>
    <cellStyle name="Normal 8 2 4 9 2" xfId="31376"/>
    <cellStyle name="Normal 8 2 5" xfId="31377"/>
    <cellStyle name="Normal 8 2 5 2" xfId="31378"/>
    <cellStyle name="Normal 8 2 6" xfId="31379"/>
    <cellStyle name="Normal 8 2 6 2" xfId="31380"/>
    <cellStyle name="Normal 8 2 7" xfId="31381"/>
    <cellStyle name="Normal 8 2 7 2" xfId="31382"/>
    <cellStyle name="Normal 8 2 8" xfId="31383"/>
    <cellStyle name="Normal 8 2 8 2" xfId="31384"/>
    <cellStyle name="Normal 8 2 9" xfId="31385"/>
    <cellStyle name="Normal 8 2 9 2" xfId="31386"/>
    <cellStyle name="Normal 8 20" xfId="31387"/>
    <cellStyle name="Normal 8 21" xfId="31388"/>
    <cellStyle name="Normal 8 3" xfId="31389"/>
    <cellStyle name="Normal 8 3 2" xfId="31390"/>
    <cellStyle name="Normal 8 4" xfId="31391"/>
    <cellStyle name="Normal 8 4 2" xfId="31392"/>
    <cellStyle name="Normal 8 5" xfId="31393"/>
    <cellStyle name="Normal 8 5 2" xfId="31394"/>
    <cellStyle name="Normal 8 6" xfId="31395"/>
    <cellStyle name="Normal 8 6 2" xfId="31396"/>
    <cellStyle name="Normal 8 7" xfId="31397"/>
    <cellStyle name="Normal 8 7 10" xfId="31398"/>
    <cellStyle name="Normal 8 7 10 2" xfId="31399"/>
    <cellStyle name="Normal 8 7 11" xfId="31400"/>
    <cellStyle name="Normal 8 7 11 2" xfId="31401"/>
    <cellStyle name="Normal 8 7 12" xfId="31402"/>
    <cellStyle name="Normal 8 7 13" xfId="31403"/>
    <cellStyle name="Normal 8 7 2" xfId="31404"/>
    <cellStyle name="Normal 8 7 2 10" xfId="31405"/>
    <cellStyle name="Normal 8 7 2 10 2" xfId="31406"/>
    <cellStyle name="Normal 8 7 2 11" xfId="31407"/>
    <cellStyle name="Normal 8 7 2 2" xfId="31408"/>
    <cellStyle name="Normal 8 7 2 2 2" xfId="31409"/>
    <cellStyle name="Normal 8 7 2 3" xfId="31410"/>
    <cellStyle name="Normal 8 7 2 3 2" xfId="31411"/>
    <cellStyle name="Normal 8 7 2 4" xfId="31412"/>
    <cellStyle name="Normal 8 7 2 4 2" xfId="31413"/>
    <cellStyle name="Normal 8 7 2 5" xfId="31414"/>
    <cellStyle name="Normal 8 7 2 5 2" xfId="31415"/>
    <cellStyle name="Normal 8 7 2 6" xfId="31416"/>
    <cellStyle name="Normal 8 7 2 6 2" xfId="31417"/>
    <cellStyle name="Normal 8 7 2 7" xfId="31418"/>
    <cellStyle name="Normal 8 7 2 7 2" xfId="31419"/>
    <cellStyle name="Normal 8 7 2 8" xfId="31420"/>
    <cellStyle name="Normal 8 7 2 8 2" xfId="31421"/>
    <cellStyle name="Normal 8 7 2 9" xfId="31422"/>
    <cellStyle name="Normal 8 7 2 9 2" xfId="31423"/>
    <cellStyle name="Normal 8 7 3" xfId="31424"/>
    <cellStyle name="Normal 8 7 3 2" xfId="31425"/>
    <cellStyle name="Normal 8 7 4" xfId="31426"/>
    <cellStyle name="Normal 8 7 4 2" xfId="31427"/>
    <cellStyle name="Normal 8 7 5" xfId="31428"/>
    <cellStyle name="Normal 8 7 5 2" xfId="31429"/>
    <cellStyle name="Normal 8 7 6" xfId="31430"/>
    <cellStyle name="Normal 8 7 6 2" xfId="31431"/>
    <cellStyle name="Normal 8 7 7" xfId="31432"/>
    <cellStyle name="Normal 8 7 7 2" xfId="31433"/>
    <cellStyle name="Normal 8 7 8" xfId="31434"/>
    <cellStyle name="Normal 8 7 8 2" xfId="31435"/>
    <cellStyle name="Normal 8 7 9" xfId="31436"/>
    <cellStyle name="Normal 8 7 9 2" xfId="31437"/>
    <cellStyle name="Normal 8 8" xfId="31438"/>
    <cellStyle name="Normal 8 8 10" xfId="31439"/>
    <cellStyle name="Normal 8 8 10 2" xfId="31440"/>
    <cellStyle name="Normal 8 8 11" xfId="31441"/>
    <cellStyle name="Normal 8 8 2" xfId="31442"/>
    <cellStyle name="Normal 8 8 2 2" xfId="31443"/>
    <cellStyle name="Normal 8 8 3" xfId="31444"/>
    <cellStyle name="Normal 8 8 3 2" xfId="31445"/>
    <cellStyle name="Normal 8 8 4" xfId="31446"/>
    <cellStyle name="Normal 8 8 4 2" xfId="31447"/>
    <cellStyle name="Normal 8 8 5" xfId="31448"/>
    <cellStyle name="Normal 8 8 5 2" xfId="31449"/>
    <cellStyle name="Normal 8 8 6" xfId="31450"/>
    <cellStyle name="Normal 8 8 6 2" xfId="31451"/>
    <cellStyle name="Normal 8 8 7" xfId="31452"/>
    <cellStyle name="Normal 8 8 7 2" xfId="31453"/>
    <cellStyle name="Normal 8 8 8" xfId="31454"/>
    <cellStyle name="Normal 8 8 8 2" xfId="31455"/>
    <cellStyle name="Normal 8 8 9" xfId="31456"/>
    <cellStyle name="Normal 8 8 9 2" xfId="31457"/>
    <cellStyle name="Normal 8 9" xfId="31458"/>
    <cellStyle name="Normal 8 9 2" xfId="31459"/>
    <cellStyle name="Normal 9" xfId="31460"/>
    <cellStyle name="Normal 9 10" xfId="31461"/>
    <cellStyle name="Normal 9 10 2" xfId="31462"/>
    <cellStyle name="Normal 9 11" xfId="31463"/>
    <cellStyle name="Normal 9 11 2" xfId="31464"/>
    <cellStyle name="Normal 9 12" xfId="31465"/>
    <cellStyle name="Normal 9 12 2" xfId="31466"/>
    <cellStyle name="Normal 9 13" xfId="31467"/>
    <cellStyle name="Normal 9 13 2" xfId="31468"/>
    <cellStyle name="Normal 9 14" xfId="31469"/>
    <cellStyle name="Normal 9 15" xfId="31470"/>
    <cellStyle name="Normal 9 2" xfId="31471"/>
    <cellStyle name="Normal 9 2 10" xfId="31472"/>
    <cellStyle name="Normal 9 2 10 2" xfId="31473"/>
    <cellStyle name="Normal 9 2 11" xfId="31474"/>
    <cellStyle name="Normal 9 2 11 2" xfId="31475"/>
    <cellStyle name="Normal 9 2 12" xfId="31476"/>
    <cellStyle name="Normal 9 2 12 2" xfId="31477"/>
    <cellStyle name="Normal 9 2 13" xfId="31478"/>
    <cellStyle name="Normal 9 2 14" xfId="31479"/>
    <cellStyle name="Normal 9 2 2" xfId="31480"/>
    <cellStyle name="Normal 9 2 2 10" xfId="31481"/>
    <cellStyle name="Normal 9 2 2 10 2" xfId="31482"/>
    <cellStyle name="Normal 9 2 2 11" xfId="31483"/>
    <cellStyle name="Normal 9 2 2 11 2" xfId="31484"/>
    <cellStyle name="Normal 9 2 2 12" xfId="31485"/>
    <cellStyle name="Normal 9 2 2 2" xfId="31486"/>
    <cellStyle name="Normal 9 2 2 2 10" xfId="31487"/>
    <cellStyle name="Normal 9 2 2 2 10 2" xfId="31488"/>
    <cellStyle name="Normal 9 2 2 2 11" xfId="31489"/>
    <cellStyle name="Normal 9 2 2 2 2" xfId="31490"/>
    <cellStyle name="Normal 9 2 2 2 2 2" xfId="31491"/>
    <cellStyle name="Normal 9 2 2 2 3" xfId="31492"/>
    <cellStyle name="Normal 9 2 2 2 3 2" xfId="31493"/>
    <cellStyle name="Normal 9 2 2 2 4" xfId="31494"/>
    <cellStyle name="Normal 9 2 2 2 4 2" xfId="31495"/>
    <cellStyle name="Normal 9 2 2 2 5" xfId="31496"/>
    <cellStyle name="Normal 9 2 2 2 5 2" xfId="31497"/>
    <cellStyle name="Normal 9 2 2 2 6" xfId="31498"/>
    <cellStyle name="Normal 9 2 2 2 6 2" xfId="31499"/>
    <cellStyle name="Normal 9 2 2 2 7" xfId="31500"/>
    <cellStyle name="Normal 9 2 2 2 7 2" xfId="31501"/>
    <cellStyle name="Normal 9 2 2 2 8" xfId="31502"/>
    <cellStyle name="Normal 9 2 2 2 8 2" xfId="31503"/>
    <cellStyle name="Normal 9 2 2 2 9" xfId="31504"/>
    <cellStyle name="Normal 9 2 2 2 9 2" xfId="31505"/>
    <cellStyle name="Normal 9 2 2 3" xfId="31506"/>
    <cellStyle name="Normal 9 2 2 3 2" xfId="31507"/>
    <cellStyle name="Normal 9 2 2 4" xfId="31508"/>
    <cellStyle name="Normal 9 2 2 4 2" xfId="31509"/>
    <cellStyle name="Normal 9 2 2 5" xfId="31510"/>
    <cellStyle name="Normal 9 2 2 5 2" xfId="31511"/>
    <cellStyle name="Normal 9 2 2 6" xfId="31512"/>
    <cellStyle name="Normal 9 2 2 6 2" xfId="31513"/>
    <cellStyle name="Normal 9 2 2 7" xfId="31514"/>
    <cellStyle name="Normal 9 2 2 7 2" xfId="31515"/>
    <cellStyle name="Normal 9 2 2 8" xfId="31516"/>
    <cellStyle name="Normal 9 2 2 8 2" xfId="31517"/>
    <cellStyle name="Normal 9 2 2 9" xfId="31518"/>
    <cellStyle name="Normal 9 2 2 9 2" xfId="31519"/>
    <cellStyle name="Normal 9 2 3" xfId="31520"/>
    <cellStyle name="Normal 9 2 3 10" xfId="31521"/>
    <cellStyle name="Normal 9 2 3 10 2" xfId="31522"/>
    <cellStyle name="Normal 9 2 3 11" xfId="31523"/>
    <cellStyle name="Normal 9 2 3 2" xfId="31524"/>
    <cellStyle name="Normal 9 2 3 2 2" xfId="31525"/>
    <cellStyle name="Normal 9 2 3 3" xfId="31526"/>
    <cellStyle name="Normal 9 2 3 3 2" xfId="31527"/>
    <cellStyle name="Normal 9 2 3 4" xfId="31528"/>
    <cellStyle name="Normal 9 2 3 4 2" xfId="31529"/>
    <cellStyle name="Normal 9 2 3 5" xfId="31530"/>
    <cellStyle name="Normal 9 2 3 5 2" xfId="31531"/>
    <cellStyle name="Normal 9 2 3 6" xfId="31532"/>
    <cellStyle name="Normal 9 2 3 6 2" xfId="31533"/>
    <cellStyle name="Normal 9 2 3 7" xfId="31534"/>
    <cellStyle name="Normal 9 2 3 7 2" xfId="31535"/>
    <cellStyle name="Normal 9 2 3 8" xfId="31536"/>
    <cellStyle name="Normal 9 2 3 8 2" xfId="31537"/>
    <cellStyle name="Normal 9 2 3 9" xfId="31538"/>
    <cellStyle name="Normal 9 2 3 9 2" xfId="31539"/>
    <cellStyle name="Normal 9 2 4" xfId="31540"/>
    <cellStyle name="Normal 9 2 4 2" xfId="31541"/>
    <cellStyle name="Normal 9 2 5" xfId="31542"/>
    <cellStyle name="Normal 9 2 5 2" xfId="31543"/>
    <cellStyle name="Normal 9 2 6" xfId="31544"/>
    <cellStyle name="Normal 9 2 6 2" xfId="31545"/>
    <cellStyle name="Normal 9 2 7" xfId="31546"/>
    <cellStyle name="Normal 9 2 7 2" xfId="31547"/>
    <cellStyle name="Normal 9 2 8" xfId="31548"/>
    <cellStyle name="Normal 9 2 8 2" xfId="31549"/>
    <cellStyle name="Normal 9 2 9" xfId="31550"/>
    <cellStyle name="Normal 9 2 9 2" xfId="31551"/>
    <cellStyle name="Normal 9 3" xfId="31552"/>
    <cellStyle name="Normal 9 3 10" xfId="31553"/>
    <cellStyle name="Normal 9 3 10 2" xfId="31554"/>
    <cellStyle name="Normal 9 3 11" xfId="31555"/>
    <cellStyle name="Normal 9 3 11 2" xfId="31556"/>
    <cellStyle name="Normal 9 3 12" xfId="31557"/>
    <cellStyle name="Normal 9 3 2" xfId="31558"/>
    <cellStyle name="Normal 9 3 2 10" xfId="31559"/>
    <cellStyle name="Normal 9 3 2 10 2" xfId="31560"/>
    <cellStyle name="Normal 9 3 2 11" xfId="31561"/>
    <cellStyle name="Normal 9 3 2 2" xfId="31562"/>
    <cellStyle name="Normal 9 3 2 2 2" xfId="31563"/>
    <cellStyle name="Normal 9 3 2 3" xfId="31564"/>
    <cellStyle name="Normal 9 3 2 3 2" xfId="31565"/>
    <cellStyle name="Normal 9 3 2 4" xfId="31566"/>
    <cellStyle name="Normal 9 3 2 4 2" xfId="31567"/>
    <cellStyle name="Normal 9 3 2 5" xfId="31568"/>
    <cellStyle name="Normal 9 3 2 5 2" xfId="31569"/>
    <cellStyle name="Normal 9 3 2 6" xfId="31570"/>
    <cellStyle name="Normal 9 3 2 6 2" xfId="31571"/>
    <cellStyle name="Normal 9 3 2 7" xfId="31572"/>
    <cellStyle name="Normal 9 3 2 7 2" xfId="31573"/>
    <cellStyle name="Normal 9 3 2 8" xfId="31574"/>
    <cellStyle name="Normal 9 3 2 8 2" xfId="31575"/>
    <cellStyle name="Normal 9 3 2 9" xfId="31576"/>
    <cellStyle name="Normal 9 3 2 9 2" xfId="31577"/>
    <cellStyle name="Normal 9 3 3" xfId="31578"/>
    <cellStyle name="Normal 9 3 3 2" xfId="31579"/>
    <cellStyle name="Normal 9 3 4" xfId="31580"/>
    <cellStyle name="Normal 9 3 4 2" xfId="31581"/>
    <cellStyle name="Normal 9 3 5" xfId="31582"/>
    <cellStyle name="Normal 9 3 5 2" xfId="31583"/>
    <cellStyle name="Normal 9 3 6" xfId="31584"/>
    <cellStyle name="Normal 9 3 6 2" xfId="31585"/>
    <cellStyle name="Normal 9 3 7" xfId="31586"/>
    <cellStyle name="Normal 9 3 7 2" xfId="31587"/>
    <cellStyle name="Normal 9 3 8" xfId="31588"/>
    <cellStyle name="Normal 9 3 8 2" xfId="31589"/>
    <cellStyle name="Normal 9 3 9" xfId="31590"/>
    <cellStyle name="Normal 9 3 9 2" xfId="31591"/>
    <cellStyle name="Normal 9 4" xfId="31592"/>
    <cellStyle name="Normal 9 4 10" xfId="31593"/>
    <cellStyle name="Normal 9 4 10 2" xfId="31594"/>
    <cellStyle name="Normal 9 4 11" xfId="31595"/>
    <cellStyle name="Normal 9 4 2" xfId="31596"/>
    <cellStyle name="Normal 9 4 2 2" xfId="31597"/>
    <cellStyle name="Normal 9 4 3" xfId="31598"/>
    <cellStyle name="Normal 9 4 3 2" xfId="31599"/>
    <cellStyle name="Normal 9 4 4" xfId="31600"/>
    <cellStyle name="Normal 9 4 4 2" xfId="31601"/>
    <cellStyle name="Normal 9 4 5" xfId="31602"/>
    <cellStyle name="Normal 9 4 5 2" xfId="31603"/>
    <cellStyle name="Normal 9 4 6" xfId="31604"/>
    <cellStyle name="Normal 9 4 6 2" xfId="31605"/>
    <cellStyle name="Normal 9 4 7" xfId="31606"/>
    <cellStyle name="Normal 9 4 7 2" xfId="31607"/>
    <cellStyle name="Normal 9 4 8" xfId="31608"/>
    <cellStyle name="Normal 9 4 8 2" xfId="31609"/>
    <cellStyle name="Normal 9 4 9" xfId="31610"/>
    <cellStyle name="Normal 9 4 9 2" xfId="31611"/>
    <cellStyle name="Normal 9 5" xfId="31612"/>
    <cellStyle name="Normal 9 5 2" xfId="31613"/>
    <cellStyle name="Normal 9 6" xfId="31614"/>
    <cellStyle name="Normal 9 6 2" xfId="31615"/>
    <cellStyle name="Normal 9 7" xfId="31616"/>
    <cellStyle name="Normal 9 7 2" xfId="31617"/>
    <cellStyle name="Normal 9 8" xfId="31618"/>
    <cellStyle name="Normal 9 8 2" xfId="31619"/>
    <cellStyle name="Normal 9 9" xfId="31620"/>
    <cellStyle name="Normal 9 9 2" xfId="31621"/>
    <cellStyle name="Normal_CESIONES COLECTIVAS" xfId="31622"/>
    <cellStyle name="Normal_CESIONES INDIVIDUALES" xfId="31623"/>
    <cellStyle name="Normal_CESIONES INDIVIDUALES_1" xfId="31624"/>
    <cellStyle name="Normal_Cesiones pelagicos" xfId="42083"/>
    <cellStyle name="Normal_CRCH SARDINA - ANCHOVETA" xfId="31625"/>
    <cellStyle name="Normal_CRCH SARDINA - ANCHOVETA_1" xfId="42081"/>
    <cellStyle name="Normal_CUOTA CONSUMO HUMANO 2018" xfId="31626"/>
    <cellStyle name="Normal_DETALLE CONSUMO CESIONES ARTES" xfId="31627"/>
    <cellStyle name="Normal_Hoja1" xfId="42082"/>
    <cellStyle name="Normal_Hoja2" xfId="31628"/>
    <cellStyle name="Normal_Hoja3_2" xfId="31629"/>
    <cellStyle name="Normal_MZA COMUN" xfId="31630"/>
    <cellStyle name="Notas 2" xfId="31631"/>
    <cellStyle name="Notas 2 10" xfId="31632"/>
    <cellStyle name="Notas 2 10 10" xfId="31633"/>
    <cellStyle name="Notas 2 10 10 2" xfId="31634"/>
    <cellStyle name="Notas 2 10 11" xfId="31635"/>
    <cellStyle name="Notas 2 10 11 2" xfId="31636"/>
    <cellStyle name="Notas 2 10 12" xfId="31637"/>
    <cellStyle name="Notas 2 10 12 2" xfId="31638"/>
    <cellStyle name="Notas 2 10 13" xfId="31639"/>
    <cellStyle name="Notas 2 10 2" xfId="31640"/>
    <cellStyle name="Notas 2 10 2 10" xfId="31641"/>
    <cellStyle name="Notas 2 10 2 10 2" xfId="31642"/>
    <cellStyle name="Notas 2 10 2 11" xfId="31643"/>
    <cellStyle name="Notas 2 10 2 2" xfId="31644"/>
    <cellStyle name="Notas 2 10 2 2 2" xfId="31645"/>
    <cellStyle name="Notas 2 10 2 3" xfId="31646"/>
    <cellStyle name="Notas 2 10 2 3 2" xfId="31647"/>
    <cellStyle name="Notas 2 10 2 4" xfId="31648"/>
    <cellStyle name="Notas 2 10 2 4 2" xfId="31649"/>
    <cellStyle name="Notas 2 10 2 5" xfId="31650"/>
    <cellStyle name="Notas 2 10 2 5 2" xfId="31651"/>
    <cellStyle name="Notas 2 10 2 6" xfId="31652"/>
    <cellStyle name="Notas 2 10 2 6 2" xfId="31653"/>
    <cellStyle name="Notas 2 10 2 7" xfId="31654"/>
    <cellStyle name="Notas 2 10 2 7 2" xfId="31655"/>
    <cellStyle name="Notas 2 10 2 8" xfId="31656"/>
    <cellStyle name="Notas 2 10 2 8 2" xfId="31657"/>
    <cellStyle name="Notas 2 10 2 9" xfId="31658"/>
    <cellStyle name="Notas 2 10 2 9 2" xfId="31659"/>
    <cellStyle name="Notas 2 10 3" xfId="31660"/>
    <cellStyle name="Notas 2 10 3 10" xfId="31661"/>
    <cellStyle name="Notas 2 10 3 10 2" xfId="31662"/>
    <cellStyle name="Notas 2 10 3 11" xfId="31663"/>
    <cellStyle name="Notas 2 10 3 2" xfId="31664"/>
    <cellStyle name="Notas 2 10 3 2 2" xfId="31665"/>
    <cellStyle name="Notas 2 10 3 3" xfId="31666"/>
    <cellStyle name="Notas 2 10 3 3 2" xfId="31667"/>
    <cellStyle name="Notas 2 10 3 4" xfId="31668"/>
    <cellStyle name="Notas 2 10 3 4 2" xfId="31669"/>
    <cellStyle name="Notas 2 10 3 5" xfId="31670"/>
    <cellStyle name="Notas 2 10 3 5 2" xfId="31671"/>
    <cellStyle name="Notas 2 10 3 6" xfId="31672"/>
    <cellStyle name="Notas 2 10 3 6 2" xfId="31673"/>
    <cellStyle name="Notas 2 10 3 7" xfId="31674"/>
    <cellStyle name="Notas 2 10 3 7 2" xfId="31675"/>
    <cellStyle name="Notas 2 10 3 8" xfId="31676"/>
    <cellStyle name="Notas 2 10 3 8 2" xfId="31677"/>
    <cellStyle name="Notas 2 10 3 9" xfId="31678"/>
    <cellStyle name="Notas 2 10 3 9 2" xfId="31679"/>
    <cellStyle name="Notas 2 10 4" xfId="31680"/>
    <cellStyle name="Notas 2 10 4 2" xfId="31681"/>
    <cellStyle name="Notas 2 10 5" xfId="31682"/>
    <cellStyle name="Notas 2 10 5 2" xfId="31683"/>
    <cellStyle name="Notas 2 10 6" xfId="31684"/>
    <cellStyle name="Notas 2 10 6 2" xfId="31685"/>
    <cellStyle name="Notas 2 10 7" xfId="31686"/>
    <cellStyle name="Notas 2 10 7 2" xfId="31687"/>
    <cellStyle name="Notas 2 10 8" xfId="31688"/>
    <cellStyle name="Notas 2 10 8 2" xfId="31689"/>
    <cellStyle name="Notas 2 10 9" xfId="31690"/>
    <cellStyle name="Notas 2 10 9 2" xfId="31691"/>
    <cellStyle name="Notas 2 11" xfId="31692"/>
    <cellStyle name="Notas 2 11 2" xfId="31693"/>
    <cellStyle name="Notas 2 12" xfId="31694"/>
    <cellStyle name="Notas 2 12 2" xfId="31695"/>
    <cellStyle name="Notas 2 13" xfId="31696"/>
    <cellStyle name="Notas 2 13 2" xfId="31697"/>
    <cellStyle name="Notas 2 14" xfId="31698"/>
    <cellStyle name="Notas 2 14 2" xfId="31699"/>
    <cellStyle name="Notas 2 15" xfId="31700"/>
    <cellStyle name="Notas 2 15 2" xfId="31701"/>
    <cellStyle name="Notas 2 16" xfId="31702"/>
    <cellStyle name="Notas 2 16 2" xfId="31703"/>
    <cellStyle name="Notas 2 17" xfId="31704"/>
    <cellStyle name="Notas 2 17 2" xfId="31705"/>
    <cellStyle name="Notas 2 18" xfId="31706"/>
    <cellStyle name="Notas 2 18 2" xfId="31707"/>
    <cellStyle name="Notas 2 19" xfId="31708"/>
    <cellStyle name="Notas 2 19 2" xfId="31709"/>
    <cellStyle name="Notas 2 2" xfId="31710"/>
    <cellStyle name="Notas 2 2 10" xfId="31711"/>
    <cellStyle name="Notas 2 2 10 2" xfId="31712"/>
    <cellStyle name="Notas 2 2 11" xfId="31713"/>
    <cellStyle name="Notas 2 2 11 2" xfId="31714"/>
    <cellStyle name="Notas 2 2 12" xfId="31715"/>
    <cellStyle name="Notas 2 2 12 2" xfId="31716"/>
    <cellStyle name="Notas 2 2 13" xfId="31717"/>
    <cellStyle name="Notas 2 2 13 2" xfId="31718"/>
    <cellStyle name="Notas 2 2 14" xfId="31719"/>
    <cellStyle name="Notas 2 2 14 2" xfId="31720"/>
    <cellStyle name="Notas 2 2 15" xfId="31721"/>
    <cellStyle name="Notas 2 2 15 2" xfId="31722"/>
    <cellStyle name="Notas 2 2 16" xfId="31723"/>
    <cellStyle name="Notas 2 2 16 2" xfId="31724"/>
    <cellStyle name="Notas 2 2 17" xfId="31725"/>
    <cellStyle name="Notas 2 2 17 2" xfId="31726"/>
    <cellStyle name="Notas 2 2 18" xfId="31727"/>
    <cellStyle name="Notas 2 2 19" xfId="31728"/>
    <cellStyle name="Notas 2 2 2" xfId="31729"/>
    <cellStyle name="Notas 2 2 2 10" xfId="31730"/>
    <cellStyle name="Notas 2 2 2 10 2" xfId="31731"/>
    <cellStyle name="Notas 2 2 2 11" xfId="31732"/>
    <cellStyle name="Notas 2 2 2 11 2" xfId="31733"/>
    <cellStyle name="Notas 2 2 2 12" xfId="31734"/>
    <cellStyle name="Notas 2 2 2 12 2" xfId="31735"/>
    <cellStyle name="Notas 2 2 2 13" xfId="31736"/>
    <cellStyle name="Notas 2 2 2 13 2" xfId="31737"/>
    <cellStyle name="Notas 2 2 2 14" xfId="31738"/>
    <cellStyle name="Notas 2 2 2 14 2" xfId="31739"/>
    <cellStyle name="Notas 2 2 2 15" xfId="31740"/>
    <cellStyle name="Notas 2 2 2 2" xfId="31741"/>
    <cellStyle name="Notas 2 2 2 2 10" xfId="31742"/>
    <cellStyle name="Notas 2 2 2 2 10 2" xfId="31743"/>
    <cellStyle name="Notas 2 2 2 2 11" xfId="31744"/>
    <cellStyle name="Notas 2 2 2 2 11 2" xfId="31745"/>
    <cellStyle name="Notas 2 2 2 2 12" xfId="31746"/>
    <cellStyle name="Notas 2 2 2 2 12 2" xfId="31747"/>
    <cellStyle name="Notas 2 2 2 2 13" xfId="31748"/>
    <cellStyle name="Notas 2 2 2 2 2" xfId="31749"/>
    <cellStyle name="Notas 2 2 2 2 2 10" xfId="31750"/>
    <cellStyle name="Notas 2 2 2 2 2 10 2" xfId="31751"/>
    <cellStyle name="Notas 2 2 2 2 2 11" xfId="31752"/>
    <cellStyle name="Notas 2 2 2 2 2 2" xfId="31753"/>
    <cellStyle name="Notas 2 2 2 2 2 2 2" xfId="31754"/>
    <cellStyle name="Notas 2 2 2 2 2 3" xfId="31755"/>
    <cellStyle name="Notas 2 2 2 2 2 3 2" xfId="31756"/>
    <cellStyle name="Notas 2 2 2 2 2 4" xfId="31757"/>
    <cellStyle name="Notas 2 2 2 2 2 4 2" xfId="31758"/>
    <cellStyle name="Notas 2 2 2 2 2 5" xfId="31759"/>
    <cellStyle name="Notas 2 2 2 2 2 5 2" xfId="31760"/>
    <cellStyle name="Notas 2 2 2 2 2 6" xfId="31761"/>
    <cellStyle name="Notas 2 2 2 2 2 6 2" xfId="31762"/>
    <cellStyle name="Notas 2 2 2 2 2 7" xfId="31763"/>
    <cellStyle name="Notas 2 2 2 2 2 7 2" xfId="31764"/>
    <cellStyle name="Notas 2 2 2 2 2 8" xfId="31765"/>
    <cellStyle name="Notas 2 2 2 2 2 8 2" xfId="31766"/>
    <cellStyle name="Notas 2 2 2 2 2 9" xfId="31767"/>
    <cellStyle name="Notas 2 2 2 2 2 9 2" xfId="31768"/>
    <cellStyle name="Notas 2 2 2 2 3" xfId="31769"/>
    <cellStyle name="Notas 2 2 2 2 3 10" xfId="31770"/>
    <cellStyle name="Notas 2 2 2 2 3 10 2" xfId="31771"/>
    <cellStyle name="Notas 2 2 2 2 3 11" xfId="31772"/>
    <cellStyle name="Notas 2 2 2 2 3 2" xfId="31773"/>
    <cellStyle name="Notas 2 2 2 2 3 2 2" xfId="31774"/>
    <cellStyle name="Notas 2 2 2 2 3 3" xfId="31775"/>
    <cellStyle name="Notas 2 2 2 2 3 3 2" xfId="31776"/>
    <cellStyle name="Notas 2 2 2 2 3 4" xfId="31777"/>
    <cellStyle name="Notas 2 2 2 2 3 4 2" xfId="31778"/>
    <cellStyle name="Notas 2 2 2 2 3 5" xfId="31779"/>
    <cellStyle name="Notas 2 2 2 2 3 5 2" xfId="31780"/>
    <cellStyle name="Notas 2 2 2 2 3 6" xfId="31781"/>
    <cellStyle name="Notas 2 2 2 2 3 6 2" xfId="31782"/>
    <cellStyle name="Notas 2 2 2 2 3 7" xfId="31783"/>
    <cellStyle name="Notas 2 2 2 2 3 7 2" xfId="31784"/>
    <cellStyle name="Notas 2 2 2 2 3 8" xfId="31785"/>
    <cellStyle name="Notas 2 2 2 2 3 8 2" xfId="31786"/>
    <cellStyle name="Notas 2 2 2 2 3 9" xfId="31787"/>
    <cellStyle name="Notas 2 2 2 2 3 9 2" xfId="31788"/>
    <cellStyle name="Notas 2 2 2 2 4" xfId="31789"/>
    <cellStyle name="Notas 2 2 2 2 4 2" xfId="31790"/>
    <cellStyle name="Notas 2 2 2 2 5" xfId="31791"/>
    <cellStyle name="Notas 2 2 2 2 5 2" xfId="31792"/>
    <cellStyle name="Notas 2 2 2 2 6" xfId="31793"/>
    <cellStyle name="Notas 2 2 2 2 6 2" xfId="31794"/>
    <cellStyle name="Notas 2 2 2 2 7" xfId="31795"/>
    <cellStyle name="Notas 2 2 2 2 7 2" xfId="31796"/>
    <cellStyle name="Notas 2 2 2 2 8" xfId="31797"/>
    <cellStyle name="Notas 2 2 2 2 8 2" xfId="31798"/>
    <cellStyle name="Notas 2 2 2 2 9" xfId="31799"/>
    <cellStyle name="Notas 2 2 2 2 9 2" xfId="31800"/>
    <cellStyle name="Notas 2 2 2 3" xfId="31801"/>
    <cellStyle name="Notas 2 2 2 3 10" xfId="31802"/>
    <cellStyle name="Notas 2 2 2 3 10 2" xfId="31803"/>
    <cellStyle name="Notas 2 2 2 3 11" xfId="31804"/>
    <cellStyle name="Notas 2 2 2 3 11 2" xfId="31805"/>
    <cellStyle name="Notas 2 2 2 3 12" xfId="31806"/>
    <cellStyle name="Notas 2 2 2 3 12 2" xfId="31807"/>
    <cellStyle name="Notas 2 2 2 3 13" xfId="31808"/>
    <cellStyle name="Notas 2 2 2 3 2" xfId="31809"/>
    <cellStyle name="Notas 2 2 2 3 2 10" xfId="31810"/>
    <cellStyle name="Notas 2 2 2 3 2 10 2" xfId="31811"/>
    <cellStyle name="Notas 2 2 2 3 2 11" xfId="31812"/>
    <cellStyle name="Notas 2 2 2 3 2 2" xfId="31813"/>
    <cellStyle name="Notas 2 2 2 3 2 2 2" xfId="31814"/>
    <cellStyle name="Notas 2 2 2 3 2 3" xfId="31815"/>
    <cellStyle name="Notas 2 2 2 3 2 3 2" xfId="31816"/>
    <cellStyle name="Notas 2 2 2 3 2 4" xfId="31817"/>
    <cellStyle name="Notas 2 2 2 3 2 4 2" xfId="31818"/>
    <cellStyle name="Notas 2 2 2 3 2 5" xfId="31819"/>
    <cellStyle name="Notas 2 2 2 3 2 5 2" xfId="31820"/>
    <cellStyle name="Notas 2 2 2 3 2 6" xfId="31821"/>
    <cellStyle name="Notas 2 2 2 3 2 6 2" xfId="31822"/>
    <cellStyle name="Notas 2 2 2 3 2 7" xfId="31823"/>
    <cellStyle name="Notas 2 2 2 3 2 7 2" xfId="31824"/>
    <cellStyle name="Notas 2 2 2 3 2 8" xfId="31825"/>
    <cellStyle name="Notas 2 2 2 3 2 8 2" xfId="31826"/>
    <cellStyle name="Notas 2 2 2 3 2 9" xfId="31827"/>
    <cellStyle name="Notas 2 2 2 3 2 9 2" xfId="31828"/>
    <cellStyle name="Notas 2 2 2 3 3" xfId="31829"/>
    <cellStyle name="Notas 2 2 2 3 3 10" xfId="31830"/>
    <cellStyle name="Notas 2 2 2 3 3 10 2" xfId="31831"/>
    <cellStyle name="Notas 2 2 2 3 3 11" xfId="31832"/>
    <cellStyle name="Notas 2 2 2 3 3 2" xfId="31833"/>
    <cellStyle name="Notas 2 2 2 3 3 2 2" xfId="31834"/>
    <cellStyle name="Notas 2 2 2 3 3 3" xfId="31835"/>
    <cellStyle name="Notas 2 2 2 3 3 3 2" xfId="31836"/>
    <cellStyle name="Notas 2 2 2 3 3 4" xfId="31837"/>
    <cellStyle name="Notas 2 2 2 3 3 4 2" xfId="31838"/>
    <cellStyle name="Notas 2 2 2 3 3 5" xfId="31839"/>
    <cellStyle name="Notas 2 2 2 3 3 5 2" xfId="31840"/>
    <cellStyle name="Notas 2 2 2 3 3 6" xfId="31841"/>
    <cellStyle name="Notas 2 2 2 3 3 6 2" xfId="31842"/>
    <cellStyle name="Notas 2 2 2 3 3 7" xfId="31843"/>
    <cellStyle name="Notas 2 2 2 3 3 7 2" xfId="31844"/>
    <cellStyle name="Notas 2 2 2 3 3 8" xfId="31845"/>
    <cellStyle name="Notas 2 2 2 3 3 8 2" xfId="31846"/>
    <cellStyle name="Notas 2 2 2 3 3 9" xfId="31847"/>
    <cellStyle name="Notas 2 2 2 3 3 9 2" xfId="31848"/>
    <cellStyle name="Notas 2 2 2 3 4" xfId="31849"/>
    <cellStyle name="Notas 2 2 2 3 4 2" xfId="31850"/>
    <cellStyle name="Notas 2 2 2 3 5" xfId="31851"/>
    <cellStyle name="Notas 2 2 2 3 5 2" xfId="31852"/>
    <cellStyle name="Notas 2 2 2 3 6" xfId="31853"/>
    <cellStyle name="Notas 2 2 2 3 6 2" xfId="31854"/>
    <cellStyle name="Notas 2 2 2 3 7" xfId="31855"/>
    <cellStyle name="Notas 2 2 2 3 7 2" xfId="31856"/>
    <cellStyle name="Notas 2 2 2 3 8" xfId="31857"/>
    <cellStyle name="Notas 2 2 2 3 8 2" xfId="31858"/>
    <cellStyle name="Notas 2 2 2 3 9" xfId="31859"/>
    <cellStyle name="Notas 2 2 2 3 9 2" xfId="31860"/>
    <cellStyle name="Notas 2 2 2 4" xfId="31861"/>
    <cellStyle name="Notas 2 2 2 4 10" xfId="31862"/>
    <cellStyle name="Notas 2 2 2 4 10 2" xfId="31863"/>
    <cellStyle name="Notas 2 2 2 4 11" xfId="31864"/>
    <cellStyle name="Notas 2 2 2 4 2" xfId="31865"/>
    <cellStyle name="Notas 2 2 2 4 2 2" xfId="31866"/>
    <cellStyle name="Notas 2 2 2 4 3" xfId="31867"/>
    <cellStyle name="Notas 2 2 2 4 3 2" xfId="31868"/>
    <cellStyle name="Notas 2 2 2 4 4" xfId="31869"/>
    <cellStyle name="Notas 2 2 2 4 4 2" xfId="31870"/>
    <cellStyle name="Notas 2 2 2 4 5" xfId="31871"/>
    <cellStyle name="Notas 2 2 2 4 5 2" xfId="31872"/>
    <cellStyle name="Notas 2 2 2 4 6" xfId="31873"/>
    <cellStyle name="Notas 2 2 2 4 6 2" xfId="31874"/>
    <cellStyle name="Notas 2 2 2 4 7" xfId="31875"/>
    <cellStyle name="Notas 2 2 2 4 7 2" xfId="31876"/>
    <cellStyle name="Notas 2 2 2 4 8" xfId="31877"/>
    <cellStyle name="Notas 2 2 2 4 8 2" xfId="31878"/>
    <cellStyle name="Notas 2 2 2 4 9" xfId="31879"/>
    <cellStyle name="Notas 2 2 2 4 9 2" xfId="31880"/>
    <cellStyle name="Notas 2 2 2 5" xfId="31881"/>
    <cellStyle name="Notas 2 2 2 5 10" xfId="31882"/>
    <cellStyle name="Notas 2 2 2 5 10 2" xfId="31883"/>
    <cellStyle name="Notas 2 2 2 5 11" xfId="31884"/>
    <cellStyle name="Notas 2 2 2 5 2" xfId="31885"/>
    <cellStyle name="Notas 2 2 2 5 2 2" xfId="31886"/>
    <cellStyle name="Notas 2 2 2 5 3" xfId="31887"/>
    <cellStyle name="Notas 2 2 2 5 3 2" xfId="31888"/>
    <cellStyle name="Notas 2 2 2 5 4" xfId="31889"/>
    <cellStyle name="Notas 2 2 2 5 4 2" xfId="31890"/>
    <cellStyle name="Notas 2 2 2 5 5" xfId="31891"/>
    <cellStyle name="Notas 2 2 2 5 5 2" xfId="31892"/>
    <cellStyle name="Notas 2 2 2 5 6" xfId="31893"/>
    <cellStyle name="Notas 2 2 2 5 6 2" xfId="31894"/>
    <cellStyle name="Notas 2 2 2 5 7" xfId="31895"/>
    <cellStyle name="Notas 2 2 2 5 7 2" xfId="31896"/>
    <cellStyle name="Notas 2 2 2 5 8" xfId="31897"/>
    <cellStyle name="Notas 2 2 2 5 8 2" xfId="31898"/>
    <cellStyle name="Notas 2 2 2 5 9" xfId="31899"/>
    <cellStyle name="Notas 2 2 2 5 9 2" xfId="31900"/>
    <cellStyle name="Notas 2 2 2 6" xfId="31901"/>
    <cellStyle name="Notas 2 2 2 6 2" xfId="31902"/>
    <cellStyle name="Notas 2 2 2 7" xfId="31903"/>
    <cellStyle name="Notas 2 2 2 7 2" xfId="31904"/>
    <cellStyle name="Notas 2 2 2 8" xfId="31905"/>
    <cellStyle name="Notas 2 2 2 8 2" xfId="31906"/>
    <cellStyle name="Notas 2 2 2 9" xfId="31907"/>
    <cellStyle name="Notas 2 2 2 9 2" xfId="31908"/>
    <cellStyle name="Notas 2 2 20" xfId="31909"/>
    <cellStyle name="Notas 2 2 3" xfId="31910"/>
    <cellStyle name="Notas 2 2 3 10" xfId="31911"/>
    <cellStyle name="Notas 2 2 3 10 2" xfId="31912"/>
    <cellStyle name="Notas 2 2 3 11" xfId="31913"/>
    <cellStyle name="Notas 2 2 3 11 2" xfId="31914"/>
    <cellStyle name="Notas 2 2 3 12" xfId="31915"/>
    <cellStyle name="Notas 2 2 3 12 2" xfId="31916"/>
    <cellStyle name="Notas 2 2 3 13" xfId="31917"/>
    <cellStyle name="Notas 2 2 3 13 2" xfId="31918"/>
    <cellStyle name="Notas 2 2 3 14" xfId="31919"/>
    <cellStyle name="Notas 2 2 3 14 2" xfId="31920"/>
    <cellStyle name="Notas 2 2 3 15" xfId="31921"/>
    <cellStyle name="Notas 2 2 3 2" xfId="31922"/>
    <cellStyle name="Notas 2 2 3 2 10" xfId="31923"/>
    <cellStyle name="Notas 2 2 3 2 10 2" xfId="31924"/>
    <cellStyle name="Notas 2 2 3 2 11" xfId="31925"/>
    <cellStyle name="Notas 2 2 3 2 11 2" xfId="31926"/>
    <cellStyle name="Notas 2 2 3 2 12" xfId="31927"/>
    <cellStyle name="Notas 2 2 3 2 12 2" xfId="31928"/>
    <cellStyle name="Notas 2 2 3 2 13" xfId="31929"/>
    <cellStyle name="Notas 2 2 3 2 2" xfId="31930"/>
    <cellStyle name="Notas 2 2 3 2 2 10" xfId="31931"/>
    <cellStyle name="Notas 2 2 3 2 2 10 2" xfId="31932"/>
    <cellStyle name="Notas 2 2 3 2 2 11" xfId="31933"/>
    <cellStyle name="Notas 2 2 3 2 2 2" xfId="31934"/>
    <cellStyle name="Notas 2 2 3 2 2 2 2" xfId="31935"/>
    <cellStyle name="Notas 2 2 3 2 2 3" xfId="31936"/>
    <cellStyle name="Notas 2 2 3 2 2 3 2" xfId="31937"/>
    <cellStyle name="Notas 2 2 3 2 2 4" xfId="31938"/>
    <cellStyle name="Notas 2 2 3 2 2 4 2" xfId="31939"/>
    <cellStyle name="Notas 2 2 3 2 2 5" xfId="31940"/>
    <cellStyle name="Notas 2 2 3 2 2 5 2" xfId="31941"/>
    <cellStyle name="Notas 2 2 3 2 2 6" xfId="31942"/>
    <cellStyle name="Notas 2 2 3 2 2 6 2" xfId="31943"/>
    <cellStyle name="Notas 2 2 3 2 2 7" xfId="31944"/>
    <cellStyle name="Notas 2 2 3 2 2 7 2" xfId="31945"/>
    <cellStyle name="Notas 2 2 3 2 2 8" xfId="31946"/>
    <cellStyle name="Notas 2 2 3 2 2 8 2" xfId="31947"/>
    <cellStyle name="Notas 2 2 3 2 2 9" xfId="31948"/>
    <cellStyle name="Notas 2 2 3 2 2 9 2" xfId="31949"/>
    <cellStyle name="Notas 2 2 3 2 3" xfId="31950"/>
    <cellStyle name="Notas 2 2 3 2 3 10" xfId="31951"/>
    <cellStyle name="Notas 2 2 3 2 3 10 2" xfId="31952"/>
    <cellStyle name="Notas 2 2 3 2 3 11" xfId="31953"/>
    <cellStyle name="Notas 2 2 3 2 3 2" xfId="31954"/>
    <cellStyle name="Notas 2 2 3 2 3 2 2" xfId="31955"/>
    <cellStyle name="Notas 2 2 3 2 3 3" xfId="31956"/>
    <cellStyle name="Notas 2 2 3 2 3 3 2" xfId="31957"/>
    <cellStyle name="Notas 2 2 3 2 3 4" xfId="31958"/>
    <cellStyle name="Notas 2 2 3 2 3 4 2" xfId="31959"/>
    <cellStyle name="Notas 2 2 3 2 3 5" xfId="31960"/>
    <cellStyle name="Notas 2 2 3 2 3 5 2" xfId="31961"/>
    <cellStyle name="Notas 2 2 3 2 3 6" xfId="31962"/>
    <cellStyle name="Notas 2 2 3 2 3 6 2" xfId="31963"/>
    <cellStyle name="Notas 2 2 3 2 3 7" xfId="31964"/>
    <cellStyle name="Notas 2 2 3 2 3 7 2" xfId="31965"/>
    <cellStyle name="Notas 2 2 3 2 3 8" xfId="31966"/>
    <cellStyle name="Notas 2 2 3 2 3 8 2" xfId="31967"/>
    <cellStyle name="Notas 2 2 3 2 3 9" xfId="31968"/>
    <cellStyle name="Notas 2 2 3 2 3 9 2" xfId="31969"/>
    <cellStyle name="Notas 2 2 3 2 4" xfId="31970"/>
    <cellStyle name="Notas 2 2 3 2 4 2" xfId="31971"/>
    <cellStyle name="Notas 2 2 3 2 5" xfId="31972"/>
    <cellStyle name="Notas 2 2 3 2 5 2" xfId="31973"/>
    <cellStyle name="Notas 2 2 3 2 6" xfId="31974"/>
    <cellStyle name="Notas 2 2 3 2 6 2" xfId="31975"/>
    <cellStyle name="Notas 2 2 3 2 7" xfId="31976"/>
    <cellStyle name="Notas 2 2 3 2 7 2" xfId="31977"/>
    <cellStyle name="Notas 2 2 3 2 8" xfId="31978"/>
    <cellStyle name="Notas 2 2 3 2 8 2" xfId="31979"/>
    <cellStyle name="Notas 2 2 3 2 9" xfId="31980"/>
    <cellStyle name="Notas 2 2 3 2 9 2" xfId="31981"/>
    <cellStyle name="Notas 2 2 3 3" xfId="31982"/>
    <cellStyle name="Notas 2 2 3 3 10" xfId="31983"/>
    <cellStyle name="Notas 2 2 3 3 10 2" xfId="31984"/>
    <cellStyle name="Notas 2 2 3 3 11" xfId="31985"/>
    <cellStyle name="Notas 2 2 3 3 11 2" xfId="31986"/>
    <cellStyle name="Notas 2 2 3 3 12" xfId="31987"/>
    <cellStyle name="Notas 2 2 3 3 12 2" xfId="31988"/>
    <cellStyle name="Notas 2 2 3 3 13" xfId="31989"/>
    <cellStyle name="Notas 2 2 3 3 2" xfId="31990"/>
    <cellStyle name="Notas 2 2 3 3 2 10" xfId="31991"/>
    <cellStyle name="Notas 2 2 3 3 2 10 2" xfId="31992"/>
    <cellStyle name="Notas 2 2 3 3 2 11" xfId="31993"/>
    <cellStyle name="Notas 2 2 3 3 2 2" xfId="31994"/>
    <cellStyle name="Notas 2 2 3 3 2 2 2" xfId="31995"/>
    <cellStyle name="Notas 2 2 3 3 2 3" xfId="31996"/>
    <cellStyle name="Notas 2 2 3 3 2 3 2" xfId="31997"/>
    <cellStyle name="Notas 2 2 3 3 2 4" xfId="31998"/>
    <cellStyle name="Notas 2 2 3 3 2 4 2" xfId="31999"/>
    <cellStyle name="Notas 2 2 3 3 2 5" xfId="32000"/>
    <cellStyle name="Notas 2 2 3 3 2 5 2" xfId="32001"/>
    <cellStyle name="Notas 2 2 3 3 2 6" xfId="32002"/>
    <cellStyle name="Notas 2 2 3 3 2 6 2" xfId="32003"/>
    <cellStyle name="Notas 2 2 3 3 2 7" xfId="32004"/>
    <cellStyle name="Notas 2 2 3 3 2 7 2" xfId="32005"/>
    <cellStyle name="Notas 2 2 3 3 2 8" xfId="32006"/>
    <cellStyle name="Notas 2 2 3 3 2 8 2" xfId="32007"/>
    <cellStyle name="Notas 2 2 3 3 2 9" xfId="32008"/>
    <cellStyle name="Notas 2 2 3 3 2 9 2" xfId="32009"/>
    <cellStyle name="Notas 2 2 3 3 3" xfId="32010"/>
    <cellStyle name="Notas 2 2 3 3 3 10" xfId="32011"/>
    <cellStyle name="Notas 2 2 3 3 3 10 2" xfId="32012"/>
    <cellStyle name="Notas 2 2 3 3 3 11" xfId="32013"/>
    <cellStyle name="Notas 2 2 3 3 3 2" xfId="32014"/>
    <cellStyle name="Notas 2 2 3 3 3 2 2" xfId="32015"/>
    <cellStyle name="Notas 2 2 3 3 3 3" xfId="32016"/>
    <cellStyle name="Notas 2 2 3 3 3 3 2" xfId="32017"/>
    <cellStyle name="Notas 2 2 3 3 3 4" xfId="32018"/>
    <cellStyle name="Notas 2 2 3 3 3 4 2" xfId="32019"/>
    <cellStyle name="Notas 2 2 3 3 3 5" xfId="32020"/>
    <cellStyle name="Notas 2 2 3 3 3 5 2" xfId="32021"/>
    <cellStyle name="Notas 2 2 3 3 3 6" xfId="32022"/>
    <cellStyle name="Notas 2 2 3 3 3 6 2" xfId="32023"/>
    <cellStyle name="Notas 2 2 3 3 3 7" xfId="32024"/>
    <cellStyle name="Notas 2 2 3 3 3 7 2" xfId="32025"/>
    <cellStyle name="Notas 2 2 3 3 3 8" xfId="32026"/>
    <cellStyle name="Notas 2 2 3 3 3 8 2" xfId="32027"/>
    <cellStyle name="Notas 2 2 3 3 3 9" xfId="32028"/>
    <cellStyle name="Notas 2 2 3 3 3 9 2" xfId="32029"/>
    <cellStyle name="Notas 2 2 3 3 4" xfId="32030"/>
    <cellStyle name="Notas 2 2 3 3 4 2" xfId="32031"/>
    <cellStyle name="Notas 2 2 3 3 5" xfId="32032"/>
    <cellStyle name="Notas 2 2 3 3 5 2" xfId="32033"/>
    <cellStyle name="Notas 2 2 3 3 6" xfId="32034"/>
    <cellStyle name="Notas 2 2 3 3 6 2" xfId="32035"/>
    <cellStyle name="Notas 2 2 3 3 7" xfId="32036"/>
    <cellStyle name="Notas 2 2 3 3 7 2" xfId="32037"/>
    <cellStyle name="Notas 2 2 3 3 8" xfId="32038"/>
    <cellStyle name="Notas 2 2 3 3 8 2" xfId="32039"/>
    <cellStyle name="Notas 2 2 3 3 9" xfId="32040"/>
    <cellStyle name="Notas 2 2 3 3 9 2" xfId="32041"/>
    <cellStyle name="Notas 2 2 3 4" xfId="32042"/>
    <cellStyle name="Notas 2 2 3 4 10" xfId="32043"/>
    <cellStyle name="Notas 2 2 3 4 10 2" xfId="32044"/>
    <cellStyle name="Notas 2 2 3 4 11" xfId="32045"/>
    <cellStyle name="Notas 2 2 3 4 2" xfId="32046"/>
    <cellStyle name="Notas 2 2 3 4 2 2" xfId="32047"/>
    <cellStyle name="Notas 2 2 3 4 3" xfId="32048"/>
    <cellStyle name="Notas 2 2 3 4 3 2" xfId="32049"/>
    <cellStyle name="Notas 2 2 3 4 4" xfId="32050"/>
    <cellStyle name="Notas 2 2 3 4 4 2" xfId="32051"/>
    <cellStyle name="Notas 2 2 3 4 5" xfId="32052"/>
    <cellStyle name="Notas 2 2 3 4 5 2" xfId="32053"/>
    <cellStyle name="Notas 2 2 3 4 6" xfId="32054"/>
    <cellStyle name="Notas 2 2 3 4 6 2" xfId="32055"/>
    <cellStyle name="Notas 2 2 3 4 7" xfId="32056"/>
    <cellStyle name="Notas 2 2 3 4 7 2" xfId="32057"/>
    <cellStyle name="Notas 2 2 3 4 8" xfId="32058"/>
    <cellStyle name="Notas 2 2 3 4 8 2" xfId="32059"/>
    <cellStyle name="Notas 2 2 3 4 9" xfId="32060"/>
    <cellStyle name="Notas 2 2 3 4 9 2" xfId="32061"/>
    <cellStyle name="Notas 2 2 3 5" xfId="32062"/>
    <cellStyle name="Notas 2 2 3 5 10" xfId="32063"/>
    <cellStyle name="Notas 2 2 3 5 10 2" xfId="32064"/>
    <cellStyle name="Notas 2 2 3 5 11" xfId="32065"/>
    <cellStyle name="Notas 2 2 3 5 2" xfId="32066"/>
    <cellStyle name="Notas 2 2 3 5 2 2" xfId="32067"/>
    <cellStyle name="Notas 2 2 3 5 3" xfId="32068"/>
    <cellStyle name="Notas 2 2 3 5 3 2" xfId="32069"/>
    <cellStyle name="Notas 2 2 3 5 4" xfId="32070"/>
    <cellStyle name="Notas 2 2 3 5 4 2" xfId="32071"/>
    <cellStyle name="Notas 2 2 3 5 5" xfId="32072"/>
    <cellStyle name="Notas 2 2 3 5 5 2" xfId="32073"/>
    <cellStyle name="Notas 2 2 3 5 6" xfId="32074"/>
    <cellStyle name="Notas 2 2 3 5 6 2" xfId="32075"/>
    <cellStyle name="Notas 2 2 3 5 7" xfId="32076"/>
    <cellStyle name="Notas 2 2 3 5 7 2" xfId="32077"/>
    <cellStyle name="Notas 2 2 3 5 8" xfId="32078"/>
    <cellStyle name="Notas 2 2 3 5 8 2" xfId="32079"/>
    <cellStyle name="Notas 2 2 3 5 9" xfId="32080"/>
    <cellStyle name="Notas 2 2 3 5 9 2" xfId="32081"/>
    <cellStyle name="Notas 2 2 3 6" xfId="32082"/>
    <cellStyle name="Notas 2 2 3 6 2" xfId="32083"/>
    <cellStyle name="Notas 2 2 3 7" xfId="32084"/>
    <cellStyle name="Notas 2 2 3 7 2" xfId="32085"/>
    <cellStyle name="Notas 2 2 3 8" xfId="32086"/>
    <cellStyle name="Notas 2 2 3 8 2" xfId="32087"/>
    <cellStyle name="Notas 2 2 3 9" xfId="32088"/>
    <cellStyle name="Notas 2 2 3 9 2" xfId="32089"/>
    <cellStyle name="Notas 2 2 4" xfId="32090"/>
    <cellStyle name="Notas 2 2 4 10" xfId="32091"/>
    <cellStyle name="Notas 2 2 4 10 2" xfId="32092"/>
    <cellStyle name="Notas 2 2 4 11" xfId="32093"/>
    <cellStyle name="Notas 2 2 4 11 2" xfId="32094"/>
    <cellStyle name="Notas 2 2 4 12" xfId="32095"/>
    <cellStyle name="Notas 2 2 4 12 2" xfId="32096"/>
    <cellStyle name="Notas 2 2 4 13" xfId="32097"/>
    <cellStyle name="Notas 2 2 4 13 2" xfId="32098"/>
    <cellStyle name="Notas 2 2 4 14" xfId="32099"/>
    <cellStyle name="Notas 2 2 4 14 2" xfId="32100"/>
    <cellStyle name="Notas 2 2 4 15" xfId="32101"/>
    <cellStyle name="Notas 2 2 4 2" xfId="32102"/>
    <cellStyle name="Notas 2 2 4 2 10" xfId="32103"/>
    <cellStyle name="Notas 2 2 4 2 10 2" xfId="32104"/>
    <cellStyle name="Notas 2 2 4 2 11" xfId="32105"/>
    <cellStyle name="Notas 2 2 4 2 11 2" xfId="32106"/>
    <cellStyle name="Notas 2 2 4 2 12" xfId="32107"/>
    <cellStyle name="Notas 2 2 4 2 12 2" xfId="32108"/>
    <cellStyle name="Notas 2 2 4 2 13" xfId="32109"/>
    <cellStyle name="Notas 2 2 4 2 2" xfId="32110"/>
    <cellStyle name="Notas 2 2 4 2 2 10" xfId="32111"/>
    <cellStyle name="Notas 2 2 4 2 2 10 2" xfId="32112"/>
    <cellStyle name="Notas 2 2 4 2 2 11" xfId="32113"/>
    <cellStyle name="Notas 2 2 4 2 2 2" xfId="32114"/>
    <cellStyle name="Notas 2 2 4 2 2 2 2" xfId="32115"/>
    <cellStyle name="Notas 2 2 4 2 2 3" xfId="32116"/>
    <cellStyle name="Notas 2 2 4 2 2 3 2" xfId="32117"/>
    <cellStyle name="Notas 2 2 4 2 2 4" xfId="32118"/>
    <cellStyle name="Notas 2 2 4 2 2 4 2" xfId="32119"/>
    <cellStyle name="Notas 2 2 4 2 2 5" xfId="32120"/>
    <cellStyle name="Notas 2 2 4 2 2 5 2" xfId="32121"/>
    <cellStyle name="Notas 2 2 4 2 2 6" xfId="32122"/>
    <cellStyle name="Notas 2 2 4 2 2 6 2" xfId="32123"/>
    <cellStyle name="Notas 2 2 4 2 2 7" xfId="32124"/>
    <cellStyle name="Notas 2 2 4 2 2 7 2" xfId="32125"/>
    <cellStyle name="Notas 2 2 4 2 2 8" xfId="32126"/>
    <cellStyle name="Notas 2 2 4 2 2 8 2" xfId="32127"/>
    <cellStyle name="Notas 2 2 4 2 2 9" xfId="32128"/>
    <cellStyle name="Notas 2 2 4 2 2 9 2" xfId="32129"/>
    <cellStyle name="Notas 2 2 4 2 3" xfId="32130"/>
    <cellStyle name="Notas 2 2 4 2 3 10" xfId="32131"/>
    <cellStyle name="Notas 2 2 4 2 3 10 2" xfId="32132"/>
    <cellStyle name="Notas 2 2 4 2 3 11" xfId="32133"/>
    <cellStyle name="Notas 2 2 4 2 3 2" xfId="32134"/>
    <cellStyle name="Notas 2 2 4 2 3 2 2" xfId="32135"/>
    <cellStyle name="Notas 2 2 4 2 3 3" xfId="32136"/>
    <cellStyle name="Notas 2 2 4 2 3 3 2" xfId="32137"/>
    <cellStyle name="Notas 2 2 4 2 3 4" xfId="32138"/>
    <cellStyle name="Notas 2 2 4 2 3 4 2" xfId="32139"/>
    <cellStyle name="Notas 2 2 4 2 3 5" xfId="32140"/>
    <cellStyle name="Notas 2 2 4 2 3 5 2" xfId="32141"/>
    <cellStyle name="Notas 2 2 4 2 3 6" xfId="32142"/>
    <cellStyle name="Notas 2 2 4 2 3 6 2" xfId="32143"/>
    <cellStyle name="Notas 2 2 4 2 3 7" xfId="32144"/>
    <cellStyle name="Notas 2 2 4 2 3 7 2" xfId="32145"/>
    <cellStyle name="Notas 2 2 4 2 3 8" xfId="32146"/>
    <cellStyle name="Notas 2 2 4 2 3 8 2" xfId="32147"/>
    <cellStyle name="Notas 2 2 4 2 3 9" xfId="32148"/>
    <cellStyle name="Notas 2 2 4 2 3 9 2" xfId="32149"/>
    <cellStyle name="Notas 2 2 4 2 4" xfId="32150"/>
    <cellStyle name="Notas 2 2 4 2 4 2" xfId="32151"/>
    <cellStyle name="Notas 2 2 4 2 5" xfId="32152"/>
    <cellStyle name="Notas 2 2 4 2 5 2" xfId="32153"/>
    <cellStyle name="Notas 2 2 4 2 6" xfId="32154"/>
    <cellStyle name="Notas 2 2 4 2 6 2" xfId="32155"/>
    <cellStyle name="Notas 2 2 4 2 7" xfId="32156"/>
    <cellStyle name="Notas 2 2 4 2 7 2" xfId="32157"/>
    <cellStyle name="Notas 2 2 4 2 8" xfId="32158"/>
    <cellStyle name="Notas 2 2 4 2 8 2" xfId="32159"/>
    <cellStyle name="Notas 2 2 4 2 9" xfId="32160"/>
    <cellStyle name="Notas 2 2 4 2 9 2" xfId="32161"/>
    <cellStyle name="Notas 2 2 4 3" xfId="32162"/>
    <cellStyle name="Notas 2 2 4 3 10" xfId="32163"/>
    <cellStyle name="Notas 2 2 4 3 10 2" xfId="32164"/>
    <cellStyle name="Notas 2 2 4 3 11" xfId="32165"/>
    <cellStyle name="Notas 2 2 4 3 11 2" xfId="32166"/>
    <cellStyle name="Notas 2 2 4 3 12" xfId="32167"/>
    <cellStyle name="Notas 2 2 4 3 12 2" xfId="32168"/>
    <cellStyle name="Notas 2 2 4 3 13" xfId="32169"/>
    <cellStyle name="Notas 2 2 4 3 2" xfId="32170"/>
    <cellStyle name="Notas 2 2 4 3 2 10" xfId="32171"/>
    <cellStyle name="Notas 2 2 4 3 2 10 2" xfId="32172"/>
    <cellStyle name="Notas 2 2 4 3 2 11" xfId="32173"/>
    <cellStyle name="Notas 2 2 4 3 2 2" xfId="32174"/>
    <cellStyle name="Notas 2 2 4 3 2 2 2" xfId="32175"/>
    <cellStyle name="Notas 2 2 4 3 2 3" xfId="32176"/>
    <cellStyle name="Notas 2 2 4 3 2 3 2" xfId="32177"/>
    <cellStyle name="Notas 2 2 4 3 2 4" xfId="32178"/>
    <cellStyle name="Notas 2 2 4 3 2 4 2" xfId="32179"/>
    <cellStyle name="Notas 2 2 4 3 2 5" xfId="32180"/>
    <cellStyle name="Notas 2 2 4 3 2 5 2" xfId="32181"/>
    <cellStyle name="Notas 2 2 4 3 2 6" xfId="32182"/>
    <cellStyle name="Notas 2 2 4 3 2 6 2" xfId="32183"/>
    <cellStyle name="Notas 2 2 4 3 2 7" xfId="32184"/>
    <cellStyle name="Notas 2 2 4 3 2 7 2" xfId="32185"/>
    <cellStyle name="Notas 2 2 4 3 2 8" xfId="32186"/>
    <cellStyle name="Notas 2 2 4 3 2 8 2" xfId="32187"/>
    <cellStyle name="Notas 2 2 4 3 2 9" xfId="32188"/>
    <cellStyle name="Notas 2 2 4 3 2 9 2" xfId="32189"/>
    <cellStyle name="Notas 2 2 4 3 3" xfId="32190"/>
    <cellStyle name="Notas 2 2 4 3 3 10" xfId="32191"/>
    <cellStyle name="Notas 2 2 4 3 3 10 2" xfId="32192"/>
    <cellStyle name="Notas 2 2 4 3 3 11" xfId="32193"/>
    <cellStyle name="Notas 2 2 4 3 3 2" xfId="32194"/>
    <cellStyle name="Notas 2 2 4 3 3 2 2" xfId="32195"/>
    <cellStyle name="Notas 2 2 4 3 3 3" xfId="32196"/>
    <cellStyle name="Notas 2 2 4 3 3 3 2" xfId="32197"/>
    <cellStyle name="Notas 2 2 4 3 3 4" xfId="32198"/>
    <cellStyle name="Notas 2 2 4 3 3 4 2" xfId="32199"/>
    <cellStyle name="Notas 2 2 4 3 3 5" xfId="32200"/>
    <cellStyle name="Notas 2 2 4 3 3 5 2" xfId="32201"/>
    <cellStyle name="Notas 2 2 4 3 3 6" xfId="32202"/>
    <cellStyle name="Notas 2 2 4 3 3 6 2" xfId="32203"/>
    <cellStyle name="Notas 2 2 4 3 3 7" xfId="32204"/>
    <cellStyle name="Notas 2 2 4 3 3 7 2" xfId="32205"/>
    <cellStyle name="Notas 2 2 4 3 3 8" xfId="32206"/>
    <cellStyle name="Notas 2 2 4 3 3 8 2" xfId="32207"/>
    <cellStyle name="Notas 2 2 4 3 3 9" xfId="32208"/>
    <cellStyle name="Notas 2 2 4 3 3 9 2" xfId="32209"/>
    <cellStyle name="Notas 2 2 4 3 4" xfId="32210"/>
    <cellStyle name="Notas 2 2 4 3 4 2" xfId="32211"/>
    <cellStyle name="Notas 2 2 4 3 5" xfId="32212"/>
    <cellStyle name="Notas 2 2 4 3 5 2" xfId="32213"/>
    <cellStyle name="Notas 2 2 4 3 6" xfId="32214"/>
    <cellStyle name="Notas 2 2 4 3 6 2" xfId="32215"/>
    <cellStyle name="Notas 2 2 4 3 7" xfId="32216"/>
    <cellStyle name="Notas 2 2 4 3 7 2" xfId="32217"/>
    <cellStyle name="Notas 2 2 4 3 8" xfId="32218"/>
    <cellStyle name="Notas 2 2 4 3 8 2" xfId="32219"/>
    <cellStyle name="Notas 2 2 4 3 9" xfId="32220"/>
    <cellStyle name="Notas 2 2 4 3 9 2" xfId="32221"/>
    <cellStyle name="Notas 2 2 4 4" xfId="32222"/>
    <cellStyle name="Notas 2 2 4 4 10" xfId="32223"/>
    <cellStyle name="Notas 2 2 4 4 10 2" xfId="32224"/>
    <cellStyle name="Notas 2 2 4 4 11" xfId="32225"/>
    <cellStyle name="Notas 2 2 4 4 2" xfId="32226"/>
    <cellStyle name="Notas 2 2 4 4 2 2" xfId="32227"/>
    <cellStyle name="Notas 2 2 4 4 3" xfId="32228"/>
    <cellStyle name="Notas 2 2 4 4 3 2" xfId="32229"/>
    <cellStyle name="Notas 2 2 4 4 4" xfId="32230"/>
    <cellStyle name="Notas 2 2 4 4 4 2" xfId="32231"/>
    <cellStyle name="Notas 2 2 4 4 5" xfId="32232"/>
    <cellStyle name="Notas 2 2 4 4 5 2" xfId="32233"/>
    <cellStyle name="Notas 2 2 4 4 6" xfId="32234"/>
    <cellStyle name="Notas 2 2 4 4 6 2" xfId="32235"/>
    <cellStyle name="Notas 2 2 4 4 7" xfId="32236"/>
    <cellStyle name="Notas 2 2 4 4 7 2" xfId="32237"/>
    <cellStyle name="Notas 2 2 4 4 8" xfId="32238"/>
    <cellStyle name="Notas 2 2 4 4 8 2" xfId="32239"/>
    <cellStyle name="Notas 2 2 4 4 9" xfId="32240"/>
    <cellStyle name="Notas 2 2 4 4 9 2" xfId="32241"/>
    <cellStyle name="Notas 2 2 4 5" xfId="32242"/>
    <cellStyle name="Notas 2 2 4 5 10" xfId="32243"/>
    <cellStyle name="Notas 2 2 4 5 10 2" xfId="32244"/>
    <cellStyle name="Notas 2 2 4 5 11" xfId="32245"/>
    <cellStyle name="Notas 2 2 4 5 2" xfId="32246"/>
    <cellStyle name="Notas 2 2 4 5 2 2" xfId="32247"/>
    <cellStyle name="Notas 2 2 4 5 3" xfId="32248"/>
    <cellStyle name="Notas 2 2 4 5 3 2" xfId="32249"/>
    <cellStyle name="Notas 2 2 4 5 4" xfId="32250"/>
    <cellStyle name="Notas 2 2 4 5 4 2" xfId="32251"/>
    <cellStyle name="Notas 2 2 4 5 5" xfId="32252"/>
    <cellStyle name="Notas 2 2 4 5 5 2" xfId="32253"/>
    <cellStyle name="Notas 2 2 4 5 6" xfId="32254"/>
    <cellStyle name="Notas 2 2 4 5 6 2" xfId="32255"/>
    <cellStyle name="Notas 2 2 4 5 7" xfId="32256"/>
    <cellStyle name="Notas 2 2 4 5 7 2" xfId="32257"/>
    <cellStyle name="Notas 2 2 4 5 8" xfId="32258"/>
    <cellStyle name="Notas 2 2 4 5 8 2" xfId="32259"/>
    <cellStyle name="Notas 2 2 4 5 9" xfId="32260"/>
    <cellStyle name="Notas 2 2 4 5 9 2" xfId="32261"/>
    <cellStyle name="Notas 2 2 4 6" xfId="32262"/>
    <cellStyle name="Notas 2 2 4 6 2" xfId="32263"/>
    <cellStyle name="Notas 2 2 4 7" xfId="32264"/>
    <cellStyle name="Notas 2 2 4 7 2" xfId="32265"/>
    <cellStyle name="Notas 2 2 4 8" xfId="32266"/>
    <cellStyle name="Notas 2 2 4 8 2" xfId="32267"/>
    <cellStyle name="Notas 2 2 4 9" xfId="32268"/>
    <cellStyle name="Notas 2 2 4 9 2" xfId="32269"/>
    <cellStyle name="Notas 2 2 5" xfId="32270"/>
    <cellStyle name="Notas 2 2 5 10" xfId="32271"/>
    <cellStyle name="Notas 2 2 5 10 2" xfId="32272"/>
    <cellStyle name="Notas 2 2 5 11" xfId="32273"/>
    <cellStyle name="Notas 2 2 5 11 2" xfId="32274"/>
    <cellStyle name="Notas 2 2 5 12" xfId="32275"/>
    <cellStyle name="Notas 2 2 5 12 2" xfId="32276"/>
    <cellStyle name="Notas 2 2 5 13" xfId="32277"/>
    <cellStyle name="Notas 2 2 5 13 2" xfId="32278"/>
    <cellStyle name="Notas 2 2 5 14" xfId="32279"/>
    <cellStyle name="Notas 2 2 5 14 2" xfId="32280"/>
    <cellStyle name="Notas 2 2 5 15" xfId="32281"/>
    <cellStyle name="Notas 2 2 5 2" xfId="32282"/>
    <cellStyle name="Notas 2 2 5 2 10" xfId="32283"/>
    <cellStyle name="Notas 2 2 5 2 10 2" xfId="32284"/>
    <cellStyle name="Notas 2 2 5 2 11" xfId="32285"/>
    <cellStyle name="Notas 2 2 5 2 11 2" xfId="32286"/>
    <cellStyle name="Notas 2 2 5 2 12" xfId="32287"/>
    <cellStyle name="Notas 2 2 5 2 12 2" xfId="32288"/>
    <cellStyle name="Notas 2 2 5 2 13" xfId="32289"/>
    <cellStyle name="Notas 2 2 5 2 2" xfId="32290"/>
    <cellStyle name="Notas 2 2 5 2 2 10" xfId="32291"/>
    <cellStyle name="Notas 2 2 5 2 2 10 2" xfId="32292"/>
    <cellStyle name="Notas 2 2 5 2 2 11" xfId="32293"/>
    <cellStyle name="Notas 2 2 5 2 2 2" xfId="32294"/>
    <cellStyle name="Notas 2 2 5 2 2 2 2" xfId="32295"/>
    <cellStyle name="Notas 2 2 5 2 2 3" xfId="32296"/>
    <cellStyle name="Notas 2 2 5 2 2 3 2" xfId="32297"/>
    <cellStyle name="Notas 2 2 5 2 2 4" xfId="32298"/>
    <cellStyle name="Notas 2 2 5 2 2 4 2" xfId="32299"/>
    <cellStyle name="Notas 2 2 5 2 2 5" xfId="32300"/>
    <cellStyle name="Notas 2 2 5 2 2 5 2" xfId="32301"/>
    <cellStyle name="Notas 2 2 5 2 2 6" xfId="32302"/>
    <cellStyle name="Notas 2 2 5 2 2 6 2" xfId="32303"/>
    <cellStyle name="Notas 2 2 5 2 2 7" xfId="32304"/>
    <cellStyle name="Notas 2 2 5 2 2 7 2" xfId="32305"/>
    <cellStyle name="Notas 2 2 5 2 2 8" xfId="32306"/>
    <cellStyle name="Notas 2 2 5 2 2 8 2" xfId="32307"/>
    <cellStyle name="Notas 2 2 5 2 2 9" xfId="32308"/>
    <cellStyle name="Notas 2 2 5 2 2 9 2" xfId="32309"/>
    <cellStyle name="Notas 2 2 5 2 3" xfId="32310"/>
    <cellStyle name="Notas 2 2 5 2 3 10" xfId="32311"/>
    <cellStyle name="Notas 2 2 5 2 3 10 2" xfId="32312"/>
    <cellStyle name="Notas 2 2 5 2 3 11" xfId="32313"/>
    <cellStyle name="Notas 2 2 5 2 3 2" xfId="32314"/>
    <cellStyle name="Notas 2 2 5 2 3 2 2" xfId="32315"/>
    <cellStyle name="Notas 2 2 5 2 3 3" xfId="32316"/>
    <cellStyle name="Notas 2 2 5 2 3 3 2" xfId="32317"/>
    <cellStyle name="Notas 2 2 5 2 3 4" xfId="32318"/>
    <cellStyle name="Notas 2 2 5 2 3 4 2" xfId="32319"/>
    <cellStyle name="Notas 2 2 5 2 3 5" xfId="32320"/>
    <cellStyle name="Notas 2 2 5 2 3 5 2" xfId="32321"/>
    <cellStyle name="Notas 2 2 5 2 3 6" xfId="32322"/>
    <cellStyle name="Notas 2 2 5 2 3 6 2" xfId="32323"/>
    <cellStyle name="Notas 2 2 5 2 3 7" xfId="32324"/>
    <cellStyle name="Notas 2 2 5 2 3 7 2" xfId="32325"/>
    <cellStyle name="Notas 2 2 5 2 3 8" xfId="32326"/>
    <cellStyle name="Notas 2 2 5 2 3 8 2" xfId="32327"/>
    <cellStyle name="Notas 2 2 5 2 3 9" xfId="32328"/>
    <cellStyle name="Notas 2 2 5 2 3 9 2" xfId="32329"/>
    <cellStyle name="Notas 2 2 5 2 4" xfId="32330"/>
    <cellStyle name="Notas 2 2 5 2 4 2" xfId="32331"/>
    <cellStyle name="Notas 2 2 5 2 5" xfId="32332"/>
    <cellStyle name="Notas 2 2 5 2 5 2" xfId="32333"/>
    <cellStyle name="Notas 2 2 5 2 6" xfId="32334"/>
    <cellStyle name="Notas 2 2 5 2 6 2" xfId="32335"/>
    <cellStyle name="Notas 2 2 5 2 7" xfId="32336"/>
    <cellStyle name="Notas 2 2 5 2 7 2" xfId="32337"/>
    <cellStyle name="Notas 2 2 5 2 8" xfId="32338"/>
    <cellStyle name="Notas 2 2 5 2 8 2" xfId="32339"/>
    <cellStyle name="Notas 2 2 5 2 9" xfId="32340"/>
    <cellStyle name="Notas 2 2 5 2 9 2" xfId="32341"/>
    <cellStyle name="Notas 2 2 5 3" xfId="32342"/>
    <cellStyle name="Notas 2 2 5 3 10" xfId="32343"/>
    <cellStyle name="Notas 2 2 5 3 10 2" xfId="32344"/>
    <cellStyle name="Notas 2 2 5 3 11" xfId="32345"/>
    <cellStyle name="Notas 2 2 5 3 11 2" xfId="32346"/>
    <cellStyle name="Notas 2 2 5 3 12" xfId="32347"/>
    <cellStyle name="Notas 2 2 5 3 12 2" xfId="32348"/>
    <cellStyle name="Notas 2 2 5 3 13" xfId="32349"/>
    <cellStyle name="Notas 2 2 5 3 2" xfId="32350"/>
    <cellStyle name="Notas 2 2 5 3 2 10" xfId="32351"/>
    <cellStyle name="Notas 2 2 5 3 2 10 2" xfId="32352"/>
    <cellStyle name="Notas 2 2 5 3 2 11" xfId="32353"/>
    <cellStyle name="Notas 2 2 5 3 2 2" xfId="32354"/>
    <cellStyle name="Notas 2 2 5 3 2 2 2" xfId="32355"/>
    <cellStyle name="Notas 2 2 5 3 2 3" xfId="32356"/>
    <cellStyle name="Notas 2 2 5 3 2 3 2" xfId="32357"/>
    <cellStyle name="Notas 2 2 5 3 2 4" xfId="32358"/>
    <cellStyle name="Notas 2 2 5 3 2 4 2" xfId="32359"/>
    <cellStyle name="Notas 2 2 5 3 2 5" xfId="32360"/>
    <cellStyle name="Notas 2 2 5 3 2 5 2" xfId="32361"/>
    <cellStyle name="Notas 2 2 5 3 2 6" xfId="32362"/>
    <cellStyle name="Notas 2 2 5 3 2 6 2" xfId="32363"/>
    <cellStyle name="Notas 2 2 5 3 2 7" xfId="32364"/>
    <cellStyle name="Notas 2 2 5 3 2 7 2" xfId="32365"/>
    <cellStyle name="Notas 2 2 5 3 2 8" xfId="32366"/>
    <cellStyle name="Notas 2 2 5 3 2 8 2" xfId="32367"/>
    <cellStyle name="Notas 2 2 5 3 2 9" xfId="32368"/>
    <cellStyle name="Notas 2 2 5 3 2 9 2" xfId="32369"/>
    <cellStyle name="Notas 2 2 5 3 3" xfId="32370"/>
    <cellStyle name="Notas 2 2 5 3 3 10" xfId="32371"/>
    <cellStyle name="Notas 2 2 5 3 3 10 2" xfId="32372"/>
    <cellStyle name="Notas 2 2 5 3 3 11" xfId="32373"/>
    <cellStyle name="Notas 2 2 5 3 3 2" xfId="32374"/>
    <cellStyle name="Notas 2 2 5 3 3 2 2" xfId="32375"/>
    <cellStyle name="Notas 2 2 5 3 3 3" xfId="32376"/>
    <cellStyle name="Notas 2 2 5 3 3 3 2" xfId="32377"/>
    <cellStyle name="Notas 2 2 5 3 3 4" xfId="32378"/>
    <cellStyle name="Notas 2 2 5 3 3 4 2" xfId="32379"/>
    <cellStyle name="Notas 2 2 5 3 3 5" xfId="32380"/>
    <cellStyle name="Notas 2 2 5 3 3 5 2" xfId="32381"/>
    <cellStyle name="Notas 2 2 5 3 3 6" xfId="32382"/>
    <cellStyle name="Notas 2 2 5 3 3 6 2" xfId="32383"/>
    <cellStyle name="Notas 2 2 5 3 3 7" xfId="32384"/>
    <cellStyle name="Notas 2 2 5 3 3 7 2" xfId="32385"/>
    <cellStyle name="Notas 2 2 5 3 3 8" xfId="32386"/>
    <cellStyle name="Notas 2 2 5 3 3 8 2" xfId="32387"/>
    <cellStyle name="Notas 2 2 5 3 3 9" xfId="32388"/>
    <cellStyle name="Notas 2 2 5 3 3 9 2" xfId="32389"/>
    <cellStyle name="Notas 2 2 5 3 4" xfId="32390"/>
    <cellStyle name="Notas 2 2 5 3 4 2" xfId="32391"/>
    <cellStyle name="Notas 2 2 5 3 5" xfId="32392"/>
    <cellStyle name="Notas 2 2 5 3 5 2" xfId="32393"/>
    <cellStyle name="Notas 2 2 5 3 6" xfId="32394"/>
    <cellStyle name="Notas 2 2 5 3 6 2" xfId="32395"/>
    <cellStyle name="Notas 2 2 5 3 7" xfId="32396"/>
    <cellStyle name="Notas 2 2 5 3 7 2" xfId="32397"/>
    <cellStyle name="Notas 2 2 5 3 8" xfId="32398"/>
    <cellStyle name="Notas 2 2 5 3 8 2" xfId="32399"/>
    <cellStyle name="Notas 2 2 5 3 9" xfId="32400"/>
    <cellStyle name="Notas 2 2 5 3 9 2" xfId="32401"/>
    <cellStyle name="Notas 2 2 5 4" xfId="32402"/>
    <cellStyle name="Notas 2 2 5 4 10" xfId="32403"/>
    <cellStyle name="Notas 2 2 5 4 10 2" xfId="32404"/>
    <cellStyle name="Notas 2 2 5 4 11" xfId="32405"/>
    <cellStyle name="Notas 2 2 5 4 2" xfId="32406"/>
    <cellStyle name="Notas 2 2 5 4 2 2" xfId="32407"/>
    <cellStyle name="Notas 2 2 5 4 3" xfId="32408"/>
    <cellStyle name="Notas 2 2 5 4 3 2" xfId="32409"/>
    <cellStyle name="Notas 2 2 5 4 4" xfId="32410"/>
    <cellStyle name="Notas 2 2 5 4 4 2" xfId="32411"/>
    <cellStyle name="Notas 2 2 5 4 5" xfId="32412"/>
    <cellStyle name="Notas 2 2 5 4 5 2" xfId="32413"/>
    <cellStyle name="Notas 2 2 5 4 6" xfId="32414"/>
    <cellStyle name="Notas 2 2 5 4 6 2" xfId="32415"/>
    <cellStyle name="Notas 2 2 5 4 7" xfId="32416"/>
    <cellStyle name="Notas 2 2 5 4 7 2" xfId="32417"/>
    <cellStyle name="Notas 2 2 5 4 8" xfId="32418"/>
    <cellStyle name="Notas 2 2 5 4 8 2" xfId="32419"/>
    <cellStyle name="Notas 2 2 5 4 9" xfId="32420"/>
    <cellStyle name="Notas 2 2 5 4 9 2" xfId="32421"/>
    <cellStyle name="Notas 2 2 5 5" xfId="32422"/>
    <cellStyle name="Notas 2 2 5 5 10" xfId="32423"/>
    <cellStyle name="Notas 2 2 5 5 10 2" xfId="32424"/>
    <cellStyle name="Notas 2 2 5 5 11" xfId="32425"/>
    <cellStyle name="Notas 2 2 5 5 2" xfId="32426"/>
    <cellStyle name="Notas 2 2 5 5 2 2" xfId="32427"/>
    <cellStyle name="Notas 2 2 5 5 3" xfId="32428"/>
    <cellStyle name="Notas 2 2 5 5 3 2" xfId="32429"/>
    <cellStyle name="Notas 2 2 5 5 4" xfId="32430"/>
    <cellStyle name="Notas 2 2 5 5 4 2" xfId="32431"/>
    <cellStyle name="Notas 2 2 5 5 5" xfId="32432"/>
    <cellStyle name="Notas 2 2 5 5 5 2" xfId="32433"/>
    <cellStyle name="Notas 2 2 5 5 6" xfId="32434"/>
    <cellStyle name="Notas 2 2 5 5 6 2" xfId="32435"/>
    <cellStyle name="Notas 2 2 5 5 7" xfId="32436"/>
    <cellStyle name="Notas 2 2 5 5 7 2" xfId="32437"/>
    <cellStyle name="Notas 2 2 5 5 8" xfId="32438"/>
    <cellStyle name="Notas 2 2 5 5 8 2" xfId="32439"/>
    <cellStyle name="Notas 2 2 5 5 9" xfId="32440"/>
    <cellStyle name="Notas 2 2 5 5 9 2" xfId="32441"/>
    <cellStyle name="Notas 2 2 5 6" xfId="32442"/>
    <cellStyle name="Notas 2 2 5 6 2" xfId="32443"/>
    <cellStyle name="Notas 2 2 5 7" xfId="32444"/>
    <cellStyle name="Notas 2 2 5 7 2" xfId="32445"/>
    <cellStyle name="Notas 2 2 5 8" xfId="32446"/>
    <cellStyle name="Notas 2 2 5 8 2" xfId="32447"/>
    <cellStyle name="Notas 2 2 5 9" xfId="32448"/>
    <cellStyle name="Notas 2 2 5 9 2" xfId="32449"/>
    <cellStyle name="Notas 2 2 6" xfId="32450"/>
    <cellStyle name="Notas 2 2 6 10" xfId="32451"/>
    <cellStyle name="Notas 2 2 6 10 2" xfId="32452"/>
    <cellStyle name="Notas 2 2 6 11" xfId="32453"/>
    <cellStyle name="Notas 2 2 6 11 2" xfId="32454"/>
    <cellStyle name="Notas 2 2 6 12" xfId="32455"/>
    <cellStyle name="Notas 2 2 6 12 2" xfId="32456"/>
    <cellStyle name="Notas 2 2 6 13" xfId="32457"/>
    <cellStyle name="Notas 2 2 6 2" xfId="32458"/>
    <cellStyle name="Notas 2 2 6 2 10" xfId="32459"/>
    <cellStyle name="Notas 2 2 6 2 10 2" xfId="32460"/>
    <cellStyle name="Notas 2 2 6 2 11" xfId="32461"/>
    <cellStyle name="Notas 2 2 6 2 2" xfId="32462"/>
    <cellStyle name="Notas 2 2 6 2 2 2" xfId="32463"/>
    <cellStyle name="Notas 2 2 6 2 3" xfId="32464"/>
    <cellStyle name="Notas 2 2 6 2 3 2" xfId="32465"/>
    <cellStyle name="Notas 2 2 6 2 4" xfId="32466"/>
    <cellStyle name="Notas 2 2 6 2 4 2" xfId="32467"/>
    <cellStyle name="Notas 2 2 6 2 5" xfId="32468"/>
    <cellStyle name="Notas 2 2 6 2 5 2" xfId="32469"/>
    <cellStyle name="Notas 2 2 6 2 6" xfId="32470"/>
    <cellStyle name="Notas 2 2 6 2 6 2" xfId="32471"/>
    <cellStyle name="Notas 2 2 6 2 7" xfId="32472"/>
    <cellStyle name="Notas 2 2 6 2 7 2" xfId="32473"/>
    <cellStyle name="Notas 2 2 6 2 8" xfId="32474"/>
    <cellStyle name="Notas 2 2 6 2 8 2" xfId="32475"/>
    <cellStyle name="Notas 2 2 6 2 9" xfId="32476"/>
    <cellStyle name="Notas 2 2 6 2 9 2" xfId="32477"/>
    <cellStyle name="Notas 2 2 6 3" xfId="32478"/>
    <cellStyle name="Notas 2 2 6 3 10" xfId="32479"/>
    <cellStyle name="Notas 2 2 6 3 10 2" xfId="32480"/>
    <cellStyle name="Notas 2 2 6 3 11" xfId="32481"/>
    <cellStyle name="Notas 2 2 6 3 2" xfId="32482"/>
    <cellStyle name="Notas 2 2 6 3 2 2" xfId="32483"/>
    <cellStyle name="Notas 2 2 6 3 3" xfId="32484"/>
    <cellStyle name="Notas 2 2 6 3 3 2" xfId="32485"/>
    <cellStyle name="Notas 2 2 6 3 4" xfId="32486"/>
    <cellStyle name="Notas 2 2 6 3 4 2" xfId="32487"/>
    <cellStyle name="Notas 2 2 6 3 5" xfId="32488"/>
    <cellStyle name="Notas 2 2 6 3 5 2" xfId="32489"/>
    <cellStyle name="Notas 2 2 6 3 6" xfId="32490"/>
    <cellStyle name="Notas 2 2 6 3 6 2" xfId="32491"/>
    <cellStyle name="Notas 2 2 6 3 7" xfId="32492"/>
    <cellStyle name="Notas 2 2 6 3 7 2" xfId="32493"/>
    <cellStyle name="Notas 2 2 6 3 8" xfId="32494"/>
    <cellStyle name="Notas 2 2 6 3 8 2" xfId="32495"/>
    <cellStyle name="Notas 2 2 6 3 9" xfId="32496"/>
    <cellStyle name="Notas 2 2 6 3 9 2" xfId="32497"/>
    <cellStyle name="Notas 2 2 6 4" xfId="32498"/>
    <cellStyle name="Notas 2 2 6 4 2" xfId="32499"/>
    <cellStyle name="Notas 2 2 6 5" xfId="32500"/>
    <cellStyle name="Notas 2 2 6 5 2" xfId="32501"/>
    <cellStyle name="Notas 2 2 6 6" xfId="32502"/>
    <cellStyle name="Notas 2 2 6 6 2" xfId="32503"/>
    <cellStyle name="Notas 2 2 6 7" xfId="32504"/>
    <cellStyle name="Notas 2 2 6 7 2" xfId="32505"/>
    <cellStyle name="Notas 2 2 6 8" xfId="32506"/>
    <cellStyle name="Notas 2 2 6 8 2" xfId="32507"/>
    <cellStyle name="Notas 2 2 6 9" xfId="32508"/>
    <cellStyle name="Notas 2 2 6 9 2" xfId="32509"/>
    <cellStyle name="Notas 2 2 7" xfId="32510"/>
    <cellStyle name="Notas 2 2 7 10" xfId="32511"/>
    <cellStyle name="Notas 2 2 7 10 2" xfId="32512"/>
    <cellStyle name="Notas 2 2 7 11" xfId="32513"/>
    <cellStyle name="Notas 2 2 7 11 2" xfId="32514"/>
    <cellStyle name="Notas 2 2 7 12" xfId="32515"/>
    <cellStyle name="Notas 2 2 7 12 2" xfId="32516"/>
    <cellStyle name="Notas 2 2 7 13" xfId="32517"/>
    <cellStyle name="Notas 2 2 7 2" xfId="32518"/>
    <cellStyle name="Notas 2 2 7 2 10" xfId="32519"/>
    <cellStyle name="Notas 2 2 7 2 10 2" xfId="32520"/>
    <cellStyle name="Notas 2 2 7 2 11" xfId="32521"/>
    <cellStyle name="Notas 2 2 7 2 2" xfId="32522"/>
    <cellStyle name="Notas 2 2 7 2 2 2" xfId="32523"/>
    <cellStyle name="Notas 2 2 7 2 3" xfId="32524"/>
    <cellStyle name="Notas 2 2 7 2 3 2" xfId="32525"/>
    <cellStyle name="Notas 2 2 7 2 4" xfId="32526"/>
    <cellStyle name="Notas 2 2 7 2 4 2" xfId="32527"/>
    <cellStyle name="Notas 2 2 7 2 5" xfId="32528"/>
    <cellStyle name="Notas 2 2 7 2 5 2" xfId="32529"/>
    <cellStyle name="Notas 2 2 7 2 6" xfId="32530"/>
    <cellStyle name="Notas 2 2 7 2 6 2" xfId="32531"/>
    <cellStyle name="Notas 2 2 7 2 7" xfId="32532"/>
    <cellStyle name="Notas 2 2 7 2 7 2" xfId="32533"/>
    <cellStyle name="Notas 2 2 7 2 8" xfId="32534"/>
    <cellStyle name="Notas 2 2 7 2 8 2" xfId="32535"/>
    <cellStyle name="Notas 2 2 7 2 9" xfId="32536"/>
    <cellStyle name="Notas 2 2 7 2 9 2" xfId="32537"/>
    <cellStyle name="Notas 2 2 7 3" xfId="32538"/>
    <cellStyle name="Notas 2 2 7 3 10" xfId="32539"/>
    <cellStyle name="Notas 2 2 7 3 10 2" xfId="32540"/>
    <cellStyle name="Notas 2 2 7 3 11" xfId="32541"/>
    <cellStyle name="Notas 2 2 7 3 2" xfId="32542"/>
    <cellStyle name="Notas 2 2 7 3 2 2" xfId="32543"/>
    <cellStyle name="Notas 2 2 7 3 3" xfId="32544"/>
    <cellStyle name="Notas 2 2 7 3 3 2" xfId="32545"/>
    <cellStyle name="Notas 2 2 7 3 4" xfId="32546"/>
    <cellStyle name="Notas 2 2 7 3 4 2" xfId="32547"/>
    <cellStyle name="Notas 2 2 7 3 5" xfId="32548"/>
    <cellStyle name="Notas 2 2 7 3 5 2" xfId="32549"/>
    <cellStyle name="Notas 2 2 7 3 6" xfId="32550"/>
    <cellStyle name="Notas 2 2 7 3 6 2" xfId="32551"/>
    <cellStyle name="Notas 2 2 7 3 7" xfId="32552"/>
    <cellStyle name="Notas 2 2 7 3 7 2" xfId="32553"/>
    <cellStyle name="Notas 2 2 7 3 8" xfId="32554"/>
    <cellStyle name="Notas 2 2 7 3 8 2" xfId="32555"/>
    <cellStyle name="Notas 2 2 7 3 9" xfId="32556"/>
    <cellStyle name="Notas 2 2 7 3 9 2" xfId="32557"/>
    <cellStyle name="Notas 2 2 7 4" xfId="32558"/>
    <cellStyle name="Notas 2 2 7 4 2" xfId="32559"/>
    <cellStyle name="Notas 2 2 7 5" xfId="32560"/>
    <cellStyle name="Notas 2 2 7 5 2" xfId="32561"/>
    <cellStyle name="Notas 2 2 7 6" xfId="32562"/>
    <cellStyle name="Notas 2 2 7 6 2" xfId="32563"/>
    <cellStyle name="Notas 2 2 7 7" xfId="32564"/>
    <cellStyle name="Notas 2 2 7 7 2" xfId="32565"/>
    <cellStyle name="Notas 2 2 7 8" xfId="32566"/>
    <cellStyle name="Notas 2 2 7 8 2" xfId="32567"/>
    <cellStyle name="Notas 2 2 7 9" xfId="32568"/>
    <cellStyle name="Notas 2 2 7 9 2" xfId="32569"/>
    <cellStyle name="Notas 2 2 8" xfId="32570"/>
    <cellStyle name="Notas 2 2 8 2" xfId="32571"/>
    <cellStyle name="Notas 2 2 9" xfId="32572"/>
    <cellStyle name="Notas 2 2 9 2" xfId="32573"/>
    <cellStyle name="Notas 2 20" xfId="32574"/>
    <cellStyle name="Notas 2 20 2" xfId="32575"/>
    <cellStyle name="Notas 2 21" xfId="32576"/>
    <cellStyle name="Notas 2 22" xfId="32577"/>
    <cellStyle name="Notas 2 23" xfId="32578"/>
    <cellStyle name="Notas 2 3" xfId="32579"/>
    <cellStyle name="Notas 2 3 10" xfId="32580"/>
    <cellStyle name="Notas 2 3 10 2" xfId="32581"/>
    <cellStyle name="Notas 2 3 11" xfId="32582"/>
    <cellStyle name="Notas 2 3 11 2" xfId="32583"/>
    <cellStyle name="Notas 2 3 12" xfId="32584"/>
    <cellStyle name="Notas 2 3 12 2" xfId="32585"/>
    <cellStyle name="Notas 2 3 13" xfId="32586"/>
    <cellStyle name="Notas 2 3 13 2" xfId="32587"/>
    <cellStyle name="Notas 2 3 14" xfId="32588"/>
    <cellStyle name="Notas 2 3 14 2" xfId="32589"/>
    <cellStyle name="Notas 2 3 15" xfId="32590"/>
    <cellStyle name="Notas 2 3 15 2" xfId="32591"/>
    <cellStyle name="Notas 2 3 16" xfId="32592"/>
    <cellStyle name="Notas 2 3 16 2" xfId="32593"/>
    <cellStyle name="Notas 2 3 17" xfId="32594"/>
    <cellStyle name="Notas 2 3 18" xfId="32595"/>
    <cellStyle name="Notas 2 3 19" xfId="32596"/>
    <cellStyle name="Notas 2 3 2" xfId="32597"/>
    <cellStyle name="Notas 2 3 2 10" xfId="32598"/>
    <cellStyle name="Notas 2 3 2 10 2" xfId="32599"/>
    <cellStyle name="Notas 2 3 2 11" xfId="32600"/>
    <cellStyle name="Notas 2 3 2 11 2" xfId="32601"/>
    <cellStyle name="Notas 2 3 2 12" xfId="32602"/>
    <cellStyle name="Notas 2 3 2 12 2" xfId="32603"/>
    <cellStyle name="Notas 2 3 2 13" xfId="32604"/>
    <cellStyle name="Notas 2 3 2 13 2" xfId="32605"/>
    <cellStyle name="Notas 2 3 2 14" xfId="32606"/>
    <cellStyle name="Notas 2 3 2 14 2" xfId="32607"/>
    <cellStyle name="Notas 2 3 2 15" xfId="32608"/>
    <cellStyle name="Notas 2 3 2 2" xfId="32609"/>
    <cellStyle name="Notas 2 3 2 2 10" xfId="32610"/>
    <cellStyle name="Notas 2 3 2 2 10 2" xfId="32611"/>
    <cellStyle name="Notas 2 3 2 2 11" xfId="32612"/>
    <cellStyle name="Notas 2 3 2 2 11 2" xfId="32613"/>
    <cellStyle name="Notas 2 3 2 2 12" xfId="32614"/>
    <cellStyle name="Notas 2 3 2 2 12 2" xfId="32615"/>
    <cellStyle name="Notas 2 3 2 2 13" xfId="32616"/>
    <cellStyle name="Notas 2 3 2 2 2" xfId="32617"/>
    <cellStyle name="Notas 2 3 2 2 2 10" xfId="32618"/>
    <cellStyle name="Notas 2 3 2 2 2 10 2" xfId="32619"/>
    <cellStyle name="Notas 2 3 2 2 2 11" xfId="32620"/>
    <cellStyle name="Notas 2 3 2 2 2 2" xfId="32621"/>
    <cellStyle name="Notas 2 3 2 2 2 2 2" xfId="32622"/>
    <cellStyle name="Notas 2 3 2 2 2 3" xfId="32623"/>
    <cellStyle name="Notas 2 3 2 2 2 3 2" xfId="32624"/>
    <cellStyle name="Notas 2 3 2 2 2 4" xfId="32625"/>
    <cellStyle name="Notas 2 3 2 2 2 4 2" xfId="32626"/>
    <cellStyle name="Notas 2 3 2 2 2 5" xfId="32627"/>
    <cellStyle name="Notas 2 3 2 2 2 5 2" xfId="32628"/>
    <cellStyle name="Notas 2 3 2 2 2 6" xfId="32629"/>
    <cellStyle name="Notas 2 3 2 2 2 6 2" xfId="32630"/>
    <cellStyle name="Notas 2 3 2 2 2 7" xfId="32631"/>
    <cellStyle name="Notas 2 3 2 2 2 7 2" xfId="32632"/>
    <cellStyle name="Notas 2 3 2 2 2 8" xfId="32633"/>
    <cellStyle name="Notas 2 3 2 2 2 8 2" xfId="32634"/>
    <cellStyle name="Notas 2 3 2 2 2 9" xfId="32635"/>
    <cellStyle name="Notas 2 3 2 2 2 9 2" xfId="32636"/>
    <cellStyle name="Notas 2 3 2 2 3" xfId="32637"/>
    <cellStyle name="Notas 2 3 2 2 3 10" xfId="32638"/>
    <cellStyle name="Notas 2 3 2 2 3 10 2" xfId="32639"/>
    <cellStyle name="Notas 2 3 2 2 3 11" xfId="32640"/>
    <cellStyle name="Notas 2 3 2 2 3 2" xfId="32641"/>
    <cellStyle name="Notas 2 3 2 2 3 2 2" xfId="32642"/>
    <cellStyle name="Notas 2 3 2 2 3 3" xfId="32643"/>
    <cellStyle name="Notas 2 3 2 2 3 3 2" xfId="32644"/>
    <cellStyle name="Notas 2 3 2 2 3 4" xfId="32645"/>
    <cellStyle name="Notas 2 3 2 2 3 4 2" xfId="32646"/>
    <cellStyle name="Notas 2 3 2 2 3 5" xfId="32647"/>
    <cellStyle name="Notas 2 3 2 2 3 5 2" xfId="32648"/>
    <cellStyle name="Notas 2 3 2 2 3 6" xfId="32649"/>
    <cellStyle name="Notas 2 3 2 2 3 6 2" xfId="32650"/>
    <cellStyle name="Notas 2 3 2 2 3 7" xfId="32651"/>
    <cellStyle name="Notas 2 3 2 2 3 7 2" xfId="32652"/>
    <cellStyle name="Notas 2 3 2 2 3 8" xfId="32653"/>
    <cellStyle name="Notas 2 3 2 2 3 8 2" xfId="32654"/>
    <cellStyle name="Notas 2 3 2 2 3 9" xfId="32655"/>
    <cellStyle name="Notas 2 3 2 2 3 9 2" xfId="32656"/>
    <cellStyle name="Notas 2 3 2 2 4" xfId="32657"/>
    <cellStyle name="Notas 2 3 2 2 4 2" xfId="32658"/>
    <cellStyle name="Notas 2 3 2 2 5" xfId="32659"/>
    <cellStyle name="Notas 2 3 2 2 5 2" xfId="32660"/>
    <cellStyle name="Notas 2 3 2 2 6" xfId="32661"/>
    <cellStyle name="Notas 2 3 2 2 6 2" xfId="32662"/>
    <cellStyle name="Notas 2 3 2 2 7" xfId="32663"/>
    <cellStyle name="Notas 2 3 2 2 7 2" xfId="32664"/>
    <cellStyle name="Notas 2 3 2 2 8" xfId="32665"/>
    <cellStyle name="Notas 2 3 2 2 8 2" xfId="32666"/>
    <cellStyle name="Notas 2 3 2 2 9" xfId="32667"/>
    <cellStyle name="Notas 2 3 2 2 9 2" xfId="32668"/>
    <cellStyle name="Notas 2 3 2 3" xfId="32669"/>
    <cellStyle name="Notas 2 3 2 3 10" xfId="32670"/>
    <cellStyle name="Notas 2 3 2 3 10 2" xfId="32671"/>
    <cellStyle name="Notas 2 3 2 3 11" xfId="32672"/>
    <cellStyle name="Notas 2 3 2 3 11 2" xfId="32673"/>
    <cellStyle name="Notas 2 3 2 3 12" xfId="32674"/>
    <cellStyle name="Notas 2 3 2 3 12 2" xfId="32675"/>
    <cellStyle name="Notas 2 3 2 3 13" xfId="32676"/>
    <cellStyle name="Notas 2 3 2 3 2" xfId="32677"/>
    <cellStyle name="Notas 2 3 2 3 2 10" xfId="32678"/>
    <cellStyle name="Notas 2 3 2 3 2 10 2" xfId="32679"/>
    <cellStyle name="Notas 2 3 2 3 2 11" xfId="32680"/>
    <cellStyle name="Notas 2 3 2 3 2 2" xfId="32681"/>
    <cellStyle name="Notas 2 3 2 3 2 2 2" xfId="32682"/>
    <cellStyle name="Notas 2 3 2 3 2 3" xfId="32683"/>
    <cellStyle name="Notas 2 3 2 3 2 3 2" xfId="32684"/>
    <cellStyle name="Notas 2 3 2 3 2 4" xfId="32685"/>
    <cellStyle name="Notas 2 3 2 3 2 4 2" xfId="32686"/>
    <cellStyle name="Notas 2 3 2 3 2 5" xfId="32687"/>
    <cellStyle name="Notas 2 3 2 3 2 5 2" xfId="32688"/>
    <cellStyle name="Notas 2 3 2 3 2 6" xfId="32689"/>
    <cellStyle name="Notas 2 3 2 3 2 6 2" xfId="32690"/>
    <cellStyle name="Notas 2 3 2 3 2 7" xfId="32691"/>
    <cellStyle name="Notas 2 3 2 3 2 7 2" xfId="32692"/>
    <cellStyle name="Notas 2 3 2 3 2 8" xfId="32693"/>
    <cellStyle name="Notas 2 3 2 3 2 8 2" xfId="32694"/>
    <cellStyle name="Notas 2 3 2 3 2 9" xfId="32695"/>
    <cellStyle name="Notas 2 3 2 3 2 9 2" xfId="32696"/>
    <cellStyle name="Notas 2 3 2 3 3" xfId="32697"/>
    <cellStyle name="Notas 2 3 2 3 3 10" xfId="32698"/>
    <cellStyle name="Notas 2 3 2 3 3 10 2" xfId="32699"/>
    <cellStyle name="Notas 2 3 2 3 3 11" xfId="32700"/>
    <cellStyle name="Notas 2 3 2 3 3 2" xfId="32701"/>
    <cellStyle name="Notas 2 3 2 3 3 2 2" xfId="32702"/>
    <cellStyle name="Notas 2 3 2 3 3 3" xfId="32703"/>
    <cellStyle name="Notas 2 3 2 3 3 3 2" xfId="32704"/>
    <cellStyle name="Notas 2 3 2 3 3 4" xfId="32705"/>
    <cellStyle name="Notas 2 3 2 3 3 4 2" xfId="32706"/>
    <cellStyle name="Notas 2 3 2 3 3 5" xfId="32707"/>
    <cellStyle name="Notas 2 3 2 3 3 5 2" xfId="32708"/>
    <cellStyle name="Notas 2 3 2 3 3 6" xfId="32709"/>
    <cellStyle name="Notas 2 3 2 3 3 6 2" xfId="32710"/>
    <cellStyle name="Notas 2 3 2 3 3 7" xfId="32711"/>
    <cellStyle name="Notas 2 3 2 3 3 7 2" xfId="32712"/>
    <cellStyle name="Notas 2 3 2 3 3 8" xfId="32713"/>
    <cellStyle name="Notas 2 3 2 3 3 8 2" xfId="32714"/>
    <cellStyle name="Notas 2 3 2 3 3 9" xfId="32715"/>
    <cellStyle name="Notas 2 3 2 3 3 9 2" xfId="32716"/>
    <cellStyle name="Notas 2 3 2 3 4" xfId="32717"/>
    <cellStyle name="Notas 2 3 2 3 4 2" xfId="32718"/>
    <cellStyle name="Notas 2 3 2 3 5" xfId="32719"/>
    <cellStyle name="Notas 2 3 2 3 5 2" xfId="32720"/>
    <cellStyle name="Notas 2 3 2 3 6" xfId="32721"/>
    <cellStyle name="Notas 2 3 2 3 6 2" xfId="32722"/>
    <cellStyle name="Notas 2 3 2 3 7" xfId="32723"/>
    <cellStyle name="Notas 2 3 2 3 7 2" xfId="32724"/>
    <cellStyle name="Notas 2 3 2 3 8" xfId="32725"/>
    <cellStyle name="Notas 2 3 2 3 8 2" xfId="32726"/>
    <cellStyle name="Notas 2 3 2 3 9" xfId="32727"/>
    <cellStyle name="Notas 2 3 2 3 9 2" xfId="32728"/>
    <cellStyle name="Notas 2 3 2 4" xfId="32729"/>
    <cellStyle name="Notas 2 3 2 4 10" xfId="32730"/>
    <cellStyle name="Notas 2 3 2 4 10 2" xfId="32731"/>
    <cellStyle name="Notas 2 3 2 4 11" xfId="32732"/>
    <cellStyle name="Notas 2 3 2 4 2" xfId="32733"/>
    <cellStyle name="Notas 2 3 2 4 2 2" xfId="32734"/>
    <cellStyle name="Notas 2 3 2 4 3" xfId="32735"/>
    <cellStyle name="Notas 2 3 2 4 3 2" xfId="32736"/>
    <cellStyle name="Notas 2 3 2 4 4" xfId="32737"/>
    <cellStyle name="Notas 2 3 2 4 4 2" xfId="32738"/>
    <cellStyle name="Notas 2 3 2 4 5" xfId="32739"/>
    <cellStyle name="Notas 2 3 2 4 5 2" xfId="32740"/>
    <cellStyle name="Notas 2 3 2 4 6" xfId="32741"/>
    <cellStyle name="Notas 2 3 2 4 6 2" xfId="32742"/>
    <cellStyle name="Notas 2 3 2 4 7" xfId="32743"/>
    <cellStyle name="Notas 2 3 2 4 7 2" xfId="32744"/>
    <cellStyle name="Notas 2 3 2 4 8" xfId="32745"/>
    <cellStyle name="Notas 2 3 2 4 8 2" xfId="32746"/>
    <cellStyle name="Notas 2 3 2 4 9" xfId="32747"/>
    <cellStyle name="Notas 2 3 2 4 9 2" xfId="32748"/>
    <cellStyle name="Notas 2 3 2 5" xfId="32749"/>
    <cellStyle name="Notas 2 3 2 5 10" xfId="32750"/>
    <cellStyle name="Notas 2 3 2 5 10 2" xfId="32751"/>
    <cellStyle name="Notas 2 3 2 5 11" xfId="32752"/>
    <cellStyle name="Notas 2 3 2 5 2" xfId="32753"/>
    <cellStyle name="Notas 2 3 2 5 2 2" xfId="32754"/>
    <cellStyle name="Notas 2 3 2 5 3" xfId="32755"/>
    <cellStyle name="Notas 2 3 2 5 3 2" xfId="32756"/>
    <cellStyle name="Notas 2 3 2 5 4" xfId="32757"/>
    <cellStyle name="Notas 2 3 2 5 4 2" xfId="32758"/>
    <cellStyle name="Notas 2 3 2 5 5" xfId="32759"/>
    <cellStyle name="Notas 2 3 2 5 5 2" xfId="32760"/>
    <cellStyle name="Notas 2 3 2 5 6" xfId="32761"/>
    <cellStyle name="Notas 2 3 2 5 6 2" xfId="32762"/>
    <cellStyle name="Notas 2 3 2 5 7" xfId="32763"/>
    <cellStyle name="Notas 2 3 2 5 7 2" xfId="32764"/>
    <cellStyle name="Notas 2 3 2 5 8" xfId="32765"/>
    <cellStyle name="Notas 2 3 2 5 8 2" xfId="32766"/>
    <cellStyle name="Notas 2 3 2 5 9" xfId="32767"/>
    <cellStyle name="Notas 2 3 2 5 9 2" xfId="32768"/>
    <cellStyle name="Notas 2 3 2 6" xfId="32769"/>
    <cellStyle name="Notas 2 3 2 6 2" xfId="32770"/>
    <cellStyle name="Notas 2 3 2 7" xfId="32771"/>
    <cellStyle name="Notas 2 3 2 7 2" xfId="32772"/>
    <cellStyle name="Notas 2 3 2 8" xfId="32773"/>
    <cellStyle name="Notas 2 3 2 8 2" xfId="32774"/>
    <cellStyle name="Notas 2 3 2 9" xfId="32775"/>
    <cellStyle name="Notas 2 3 2 9 2" xfId="32776"/>
    <cellStyle name="Notas 2 3 3" xfId="32777"/>
    <cellStyle name="Notas 2 3 3 10" xfId="32778"/>
    <cellStyle name="Notas 2 3 3 10 2" xfId="32779"/>
    <cellStyle name="Notas 2 3 3 11" xfId="32780"/>
    <cellStyle name="Notas 2 3 3 11 2" xfId="32781"/>
    <cellStyle name="Notas 2 3 3 12" xfId="32782"/>
    <cellStyle name="Notas 2 3 3 12 2" xfId="32783"/>
    <cellStyle name="Notas 2 3 3 13" xfId="32784"/>
    <cellStyle name="Notas 2 3 3 13 2" xfId="32785"/>
    <cellStyle name="Notas 2 3 3 14" xfId="32786"/>
    <cellStyle name="Notas 2 3 3 14 2" xfId="32787"/>
    <cellStyle name="Notas 2 3 3 15" xfId="32788"/>
    <cellStyle name="Notas 2 3 3 2" xfId="32789"/>
    <cellStyle name="Notas 2 3 3 2 10" xfId="32790"/>
    <cellStyle name="Notas 2 3 3 2 10 2" xfId="32791"/>
    <cellStyle name="Notas 2 3 3 2 11" xfId="32792"/>
    <cellStyle name="Notas 2 3 3 2 11 2" xfId="32793"/>
    <cellStyle name="Notas 2 3 3 2 12" xfId="32794"/>
    <cellStyle name="Notas 2 3 3 2 12 2" xfId="32795"/>
    <cellStyle name="Notas 2 3 3 2 13" xfId="32796"/>
    <cellStyle name="Notas 2 3 3 2 2" xfId="32797"/>
    <cellStyle name="Notas 2 3 3 2 2 10" xfId="32798"/>
    <cellStyle name="Notas 2 3 3 2 2 10 2" xfId="32799"/>
    <cellStyle name="Notas 2 3 3 2 2 11" xfId="32800"/>
    <cellStyle name="Notas 2 3 3 2 2 2" xfId="32801"/>
    <cellStyle name="Notas 2 3 3 2 2 2 2" xfId="32802"/>
    <cellStyle name="Notas 2 3 3 2 2 3" xfId="32803"/>
    <cellStyle name="Notas 2 3 3 2 2 3 2" xfId="32804"/>
    <cellStyle name="Notas 2 3 3 2 2 4" xfId="32805"/>
    <cellStyle name="Notas 2 3 3 2 2 4 2" xfId="32806"/>
    <cellStyle name="Notas 2 3 3 2 2 5" xfId="32807"/>
    <cellStyle name="Notas 2 3 3 2 2 5 2" xfId="32808"/>
    <cellStyle name="Notas 2 3 3 2 2 6" xfId="32809"/>
    <cellStyle name="Notas 2 3 3 2 2 6 2" xfId="32810"/>
    <cellStyle name="Notas 2 3 3 2 2 7" xfId="32811"/>
    <cellStyle name="Notas 2 3 3 2 2 7 2" xfId="32812"/>
    <cellStyle name="Notas 2 3 3 2 2 8" xfId="32813"/>
    <cellStyle name="Notas 2 3 3 2 2 8 2" xfId="32814"/>
    <cellStyle name="Notas 2 3 3 2 2 9" xfId="32815"/>
    <cellStyle name="Notas 2 3 3 2 2 9 2" xfId="32816"/>
    <cellStyle name="Notas 2 3 3 2 3" xfId="32817"/>
    <cellStyle name="Notas 2 3 3 2 3 10" xfId="32818"/>
    <cellStyle name="Notas 2 3 3 2 3 10 2" xfId="32819"/>
    <cellStyle name="Notas 2 3 3 2 3 11" xfId="32820"/>
    <cellStyle name="Notas 2 3 3 2 3 2" xfId="32821"/>
    <cellStyle name="Notas 2 3 3 2 3 2 2" xfId="32822"/>
    <cellStyle name="Notas 2 3 3 2 3 3" xfId="32823"/>
    <cellStyle name="Notas 2 3 3 2 3 3 2" xfId="32824"/>
    <cellStyle name="Notas 2 3 3 2 3 4" xfId="32825"/>
    <cellStyle name="Notas 2 3 3 2 3 4 2" xfId="32826"/>
    <cellStyle name="Notas 2 3 3 2 3 5" xfId="32827"/>
    <cellStyle name="Notas 2 3 3 2 3 5 2" xfId="32828"/>
    <cellStyle name="Notas 2 3 3 2 3 6" xfId="32829"/>
    <cellStyle name="Notas 2 3 3 2 3 6 2" xfId="32830"/>
    <cellStyle name="Notas 2 3 3 2 3 7" xfId="32831"/>
    <cellStyle name="Notas 2 3 3 2 3 7 2" xfId="32832"/>
    <cellStyle name="Notas 2 3 3 2 3 8" xfId="32833"/>
    <cellStyle name="Notas 2 3 3 2 3 8 2" xfId="32834"/>
    <cellStyle name="Notas 2 3 3 2 3 9" xfId="32835"/>
    <cellStyle name="Notas 2 3 3 2 3 9 2" xfId="32836"/>
    <cellStyle name="Notas 2 3 3 2 4" xfId="32837"/>
    <cellStyle name="Notas 2 3 3 2 4 2" xfId="32838"/>
    <cellStyle name="Notas 2 3 3 2 5" xfId="32839"/>
    <cellStyle name="Notas 2 3 3 2 5 2" xfId="32840"/>
    <cellStyle name="Notas 2 3 3 2 6" xfId="32841"/>
    <cellStyle name="Notas 2 3 3 2 6 2" xfId="32842"/>
    <cellStyle name="Notas 2 3 3 2 7" xfId="32843"/>
    <cellStyle name="Notas 2 3 3 2 7 2" xfId="32844"/>
    <cellStyle name="Notas 2 3 3 2 8" xfId="32845"/>
    <cellStyle name="Notas 2 3 3 2 8 2" xfId="32846"/>
    <cellStyle name="Notas 2 3 3 2 9" xfId="32847"/>
    <cellStyle name="Notas 2 3 3 2 9 2" xfId="32848"/>
    <cellStyle name="Notas 2 3 3 3" xfId="32849"/>
    <cellStyle name="Notas 2 3 3 3 10" xfId="32850"/>
    <cellStyle name="Notas 2 3 3 3 10 2" xfId="32851"/>
    <cellStyle name="Notas 2 3 3 3 11" xfId="32852"/>
    <cellStyle name="Notas 2 3 3 3 11 2" xfId="32853"/>
    <cellStyle name="Notas 2 3 3 3 12" xfId="32854"/>
    <cellStyle name="Notas 2 3 3 3 12 2" xfId="32855"/>
    <cellStyle name="Notas 2 3 3 3 13" xfId="32856"/>
    <cellStyle name="Notas 2 3 3 3 2" xfId="32857"/>
    <cellStyle name="Notas 2 3 3 3 2 10" xfId="32858"/>
    <cellStyle name="Notas 2 3 3 3 2 10 2" xfId="32859"/>
    <cellStyle name="Notas 2 3 3 3 2 11" xfId="32860"/>
    <cellStyle name="Notas 2 3 3 3 2 2" xfId="32861"/>
    <cellStyle name="Notas 2 3 3 3 2 2 2" xfId="32862"/>
    <cellStyle name="Notas 2 3 3 3 2 3" xfId="32863"/>
    <cellStyle name="Notas 2 3 3 3 2 3 2" xfId="32864"/>
    <cellStyle name="Notas 2 3 3 3 2 4" xfId="32865"/>
    <cellStyle name="Notas 2 3 3 3 2 4 2" xfId="32866"/>
    <cellStyle name="Notas 2 3 3 3 2 5" xfId="32867"/>
    <cellStyle name="Notas 2 3 3 3 2 5 2" xfId="32868"/>
    <cellStyle name="Notas 2 3 3 3 2 6" xfId="32869"/>
    <cellStyle name="Notas 2 3 3 3 2 6 2" xfId="32870"/>
    <cellStyle name="Notas 2 3 3 3 2 7" xfId="32871"/>
    <cellStyle name="Notas 2 3 3 3 2 7 2" xfId="32872"/>
    <cellStyle name="Notas 2 3 3 3 2 8" xfId="32873"/>
    <cellStyle name="Notas 2 3 3 3 2 8 2" xfId="32874"/>
    <cellStyle name="Notas 2 3 3 3 2 9" xfId="32875"/>
    <cellStyle name="Notas 2 3 3 3 2 9 2" xfId="32876"/>
    <cellStyle name="Notas 2 3 3 3 3" xfId="32877"/>
    <cellStyle name="Notas 2 3 3 3 3 10" xfId="32878"/>
    <cellStyle name="Notas 2 3 3 3 3 10 2" xfId="32879"/>
    <cellStyle name="Notas 2 3 3 3 3 11" xfId="32880"/>
    <cellStyle name="Notas 2 3 3 3 3 2" xfId="32881"/>
    <cellStyle name="Notas 2 3 3 3 3 2 2" xfId="32882"/>
    <cellStyle name="Notas 2 3 3 3 3 3" xfId="32883"/>
    <cellStyle name="Notas 2 3 3 3 3 3 2" xfId="32884"/>
    <cellStyle name="Notas 2 3 3 3 3 4" xfId="32885"/>
    <cellStyle name="Notas 2 3 3 3 3 4 2" xfId="32886"/>
    <cellStyle name="Notas 2 3 3 3 3 5" xfId="32887"/>
    <cellStyle name="Notas 2 3 3 3 3 5 2" xfId="32888"/>
    <cellStyle name="Notas 2 3 3 3 3 6" xfId="32889"/>
    <cellStyle name="Notas 2 3 3 3 3 6 2" xfId="32890"/>
    <cellStyle name="Notas 2 3 3 3 3 7" xfId="32891"/>
    <cellStyle name="Notas 2 3 3 3 3 7 2" xfId="32892"/>
    <cellStyle name="Notas 2 3 3 3 3 8" xfId="32893"/>
    <cellStyle name="Notas 2 3 3 3 3 8 2" xfId="32894"/>
    <cellStyle name="Notas 2 3 3 3 3 9" xfId="32895"/>
    <cellStyle name="Notas 2 3 3 3 3 9 2" xfId="32896"/>
    <cellStyle name="Notas 2 3 3 3 4" xfId="32897"/>
    <cellStyle name="Notas 2 3 3 3 4 2" xfId="32898"/>
    <cellStyle name="Notas 2 3 3 3 5" xfId="32899"/>
    <cellStyle name="Notas 2 3 3 3 5 2" xfId="32900"/>
    <cellStyle name="Notas 2 3 3 3 6" xfId="32901"/>
    <cellStyle name="Notas 2 3 3 3 6 2" xfId="32902"/>
    <cellStyle name="Notas 2 3 3 3 7" xfId="32903"/>
    <cellStyle name="Notas 2 3 3 3 7 2" xfId="32904"/>
    <cellStyle name="Notas 2 3 3 3 8" xfId="32905"/>
    <cellStyle name="Notas 2 3 3 3 8 2" xfId="32906"/>
    <cellStyle name="Notas 2 3 3 3 9" xfId="32907"/>
    <cellStyle name="Notas 2 3 3 3 9 2" xfId="32908"/>
    <cellStyle name="Notas 2 3 3 4" xfId="32909"/>
    <cellStyle name="Notas 2 3 3 4 10" xfId="32910"/>
    <cellStyle name="Notas 2 3 3 4 10 2" xfId="32911"/>
    <cellStyle name="Notas 2 3 3 4 11" xfId="32912"/>
    <cellStyle name="Notas 2 3 3 4 2" xfId="32913"/>
    <cellStyle name="Notas 2 3 3 4 2 2" xfId="32914"/>
    <cellStyle name="Notas 2 3 3 4 3" xfId="32915"/>
    <cellStyle name="Notas 2 3 3 4 3 2" xfId="32916"/>
    <cellStyle name="Notas 2 3 3 4 4" xfId="32917"/>
    <cellStyle name="Notas 2 3 3 4 4 2" xfId="32918"/>
    <cellStyle name="Notas 2 3 3 4 5" xfId="32919"/>
    <cellStyle name="Notas 2 3 3 4 5 2" xfId="32920"/>
    <cellStyle name="Notas 2 3 3 4 6" xfId="32921"/>
    <cellStyle name="Notas 2 3 3 4 6 2" xfId="32922"/>
    <cellStyle name="Notas 2 3 3 4 7" xfId="32923"/>
    <cellStyle name="Notas 2 3 3 4 7 2" xfId="32924"/>
    <cellStyle name="Notas 2 3 3 4 8" xfId="32925"/>
    <cellStyle name="Notas 2 3 3 4 8 2" xfId="32926"/>
    <cellStyle name="Notas 2 3 3 4 9" xfId="32927"/>
    <cellStyle name="Notas 2 3 3 4 9 2" xfId="32928"/>
    <cellStyle name="Notas 2 3 3 5" xfId="32929"/>
    <cellStyle name="Notas 2 3 3 5 10" xfId="32930"/>
    <cellStyle name="Notas 2 3 3 5 10 2" xfId="32931"/>
    <cellStyle name="Notas 2 3 3 5 11" xfId="32932"/>
    <cellStyle name="Notas 2 3 3 5 2" xfId="32933"/>
    <cellStyle name="Notas 2 3 3 5 2 2" xfId="32934"/>
    <cellStyle name="Notas 2 3 3 5 3" xfId="32935"/>
    <cellStyle name="Notas 2 3 3 5 3 2" xfId="32936"/>
    <cellStyle name="Notas 2 3 3 5 4" xfId="32937"/>
    <cellStyle name="Notas 2 3 3 5 4 2" xfId="32938"/>
    <cellStyle name="Notas 2 3 3 5 5" xfId="32939"/>
    <cellStyle name="Notas 2 3 3 5 5 2" xfId="32940"/>
    <cellStyle name="Notas 2 3 3 5 6" xfId="32941"/>
    <cellStyle name="Notas 2 3 3 5 6 2" xfId="32942"/>
    <cellStyle name="Notas 2 3 3 5 7" xfId="32943"/>
    <cellStyle name="Notas 2 3 3 5 7 2" xfId="32944"/>
    <cellStyle name="Notas 2 3 3 5 8" xfId="32945"/>
    <cellStyle name="Notas 2 3 3 5 8 2" xfId="32946"/>
    <cellStyle name="Notas 2 3 3 5 9" xfId="32947"/>
    <cellStyle name="Notas 2 3 3 5 9 2" xfId="32948"/>
    <cellStyle name="Notas 2 3 3 6" xfId="32949"/>
    <cellStyle name="Notas 2 3 3 6 2" xfId="32950"/>
    <cellStyle name="Notas 2 3 3 7" xfId="32951"/>
    <cellStyle name="Notas 2 3 3 7 2" xfId="32952"/>
    <cellStyle name="Notas 2 3 3 8" xfId="32953"/>
    <cellStyle name="Notas 2 3 3 8 2" xfId="32954"/>
    <cellStyle name="Notas 2 3 3 9" xfId="32955"/>
    <cellStyle name="Notas 2 3 3 9 2" xfId="32956"/>
    <cellStyle name="Notas 2 3 4" xfId="32957"/>
    <cellStyle name="Notas 2 3 4 10" xfId="32958"/>
    <cellStyle name="Notas 2 3 4 10 2" xfId="32959"/>
    <cellStyle name="Notas 2 3 4 11" xfId="32960"/>
    <cellStyle name="Notas 2 3 4 11 2" xfId="32961"/>
    <cellStyle name="Notas 2 3 4 12" xfId="32962"/>
    <cellStyle name="Notas 2 3 4 12 2" xfId="32963"/>
    <cellStyle name="Notas 2 3 4 13" xfId="32964"/>
    <cellStyle name="Notas 2 3 4 13 2" xfId="32965"/>
    <cellStyle name="Notas 2 3 4 14" xfId="32966"/>
    <cellStyle name="Notas 2 3 4 14 2" xfId="32967"/>
    <cellStyle name="Notas 2 3 4 15" xfId="32968"/>
    <cellStyle name="Notas 2 3 4 2" xfId="32969"/>
    <cellStyle name="Notas 2 3 4 2 10" xfId="32970"/>
    <cellStyle name="Notas 2 3 4 2 10 2" xfId="32971"/>
    <cellStyle name="Notas 2 3 4 2 11" xfId="32972"/>
    <cellStyle name="Notas 2 3 4 2 11 2" xfId="32973"/>
    <cellStyle name="Notas 2 3 4 2 12" xfId="32974"/>
    <cellStyle name="Notas 2 3 4 2 12 2" xfId="32975"/>
    <cellStyle name="Notas 2 3 4 2 13" xfId="32976"/>
    <cellStyle name="Notas 2 3 4 2 2" xfId="32977"/>
    <cellStyle name="Notas 2 3 4 2 2 10" xfId="32978"/>
    <cellStyle name="Notas 2 3 4 2 2 10 2" xfId="32979"/>
    <cellStyle name="Notas 2 3 4 2 2 11" xfId="32980"/>
    <cellStyle name="Notas 2 3 4 2 2 2" xfId="32981"/>
    <cellStyle name="Notas 2 3 4 2 2 2 2" xfId="32982"/>
    <cellStyle name="Notas 2 3 4 2 2 3" xfId="32983"/>
    <cellStyle name="Notas 2 3 4 2 2 3 2" xfId="32984"/>
    <cellStyle name="Notas 2 3 4 2 2 4" xfId="32985"/>
    <cellStyle name="Notas 2 3 4 2 2 4 2" xfId="32986"/>
    <cellStyle name="Notas 2 3 4 2 2 5" xfId="32987"/>
    <cellStyle name="Notas 2 3 4 2 2 5 2" xfId="32988"/>
    <cellStyle name="Notas 2 3 4 2 2 6" xfId="32989"/>
    <cellStyle name="Notas 2 3 4 2 2 6 2" xfId="32990"/>
    <cellStyle name="Notas 2 3 4 2 2 7" xfId="32991"/>
    <cellStyle name="Notas 2 3 4 2 2 7 2" xfId="32992"/>
    <cellStyle name="Notas 2 3 4 2 2 8" xfId="32993"/>
    <cellStyle name="Notas 2 3 4 2 2 8 2" xfId="32994"/>
    <cellStyle name="Notas 2 3 4 2 2 9" xfId="32995"/>
    <cellStyle name="Notas 2 3 4 2 2 9 2" xfId="32996"/>
    <cellStyle name="Notas 2 3 4 2 3" xfId="32997"/>
    <cellStyle name="Notas 2 3 4 2 3 10" xfId="32998"/>
    <cellStyle name="Notas 2 3 4 2 3 10 2" xfId="32999"/>
    <cellStyle name="Notas 2 3 4 2 3 11" xfId="33000"/>
    <cellStyle name="Notas 2 3 4 2 3 2" xfId="33001"/>
    <cellStyle name="Notas 2 3 4 2 3 2 2" xfId="33002"/>
    <cellStyle name="Notas 2 3 4 2 3 3" xfId="33003"/>
    <cellStyle name="Notas 2 3 4 2 3 3 2" xfId="33004"/>
    <cellStyle name="Notas 2 3 4 2 3 4" xfId="33005"/>
    <cellStyle name="Notas 2 3 4 2 3 4 2" xfId="33006"/>
    <cellStyle name="Notas 2 3 4 2 3 5" xfId="33007"/>
    <cellStyle name="Notas 2 3 4 2 3 5 2" xfId="33008"/>
    <cellStyle name="Notas 2 3 4 2 3 6" xfId="33009"/>
    <cellStyle name="Notas 2 3 4 2 3 6 2" xfId="33010"/>
    <cellStyle name="Notas 2 3 4 2 3 7" xfId="33011"/>
    <cellStyle name="Notas 2 3 4 2 3 7 2" xfId="33012"/>
    <cellStyle name="Notas 2 3 4 2 3 8" xfId="33013"/>
    <cellStyle name="Notas 2 3 4 2 3 8 2" xfId="33014"/>
    <cellStyle name="Notas 2 3 4 2 3 9" xfId="33015"/>
    <cellStyle name="Notas 2 3 4 2 3 9 2" xfId="33016"/>
    <cellStyle name="Notas 2 3 4 2 4" xfId="33017"/>
    <cellStyle name="Notas 2 3 4 2 4 2" xfId="33018"/>
    <cellStyle name="Notas 2 3 4 2 5" xfId="33019"/>
    <cellStyle name="Notas 2 3 4 2 5 2" xfId="33020"/>
    <cellStyle name="Notas 2 3 4 2 6" xfId="33021"/>
    <cellStyle name="Notas 2 3 4 2 6 2" xfId="33022"/>
    <cellStyle name="Notas 2 3 4 2 7" xfId="33023"/>
    <cellStyle name="Notas 2 3 4 2 7 2" xfId="33024"/>
    <cellStyle name="Notas 2 3 4 2 8" xfId="33025"/>
    <cellStyle name="Notas 2 3 4 2 8 2" xfId="33026"/>
    <cellStyle name="Notas 2 3 4 2 9" xfId="33027"/>
    <cellStyle name="Notas 2 3 4 2 9 2" xfId="33028"/>
    <cellStyle name="Notas 2 3 4 3" xfId="33029"/>
    <cellStyle name="Notas 2 3 4 3 10" xfId="33030"/>
    <cellStyle name="Notas 2 3 4 3 10 2" xfId="33031"/>
    <cellStyle name="Notas 2 3 4 3 11" xfId="33032"/>
    <cellStyle name="Notas 2 3 4 3 11 2" xfId="33033"/>
    <cellStyle name="Notas 2 3 4 3 12" xfId="33034"/>
    <cellStyle name="Notas 2 3 4 3 12 2" xfId="33035"/>
    <cellStyle name="Notas 2 3 4 3 13" xfId="33036"/>
    <cellStyle name="Notas 2 3 4 3 2" xfId="33037"/>
    <cellStyle name="Notas 2 3 4 3 2 10" xfId="33038"/>
    <cellStyle name="Notas 2 3 4 3 2 10 2" xfId="33039"/>
    <cellStyle name="Notas 2 3 4 3 2 11" xfId="33040"/>
    <cellStyle name="Notas 2 3 4 3 2 2" xfId="33041"/>
    <cellStyle name="Notas 2 3 4 3 2 2 2" xfId="33042"/>
    <cellStyle name="Notas 2 3 4 3 2 3" xfId="33043"/>
    <cellStyle name="Notas 2 3 4 3 2 3 2" xfId="33044"/>
    <cellStyle name="Notas 2 3 4 3 2 4" xfId="33045"/>
    <cellStyle name="Notas 2 3 4 3 2 4 2" xfId="33046"/>
    <cellStyle name="Notas 2 3 4 3 2 5" xfId="33047"/>
    <cellStyle name="Notas 2 3 4 3 2 5 2" xfId="33048"/>
    <cellStyle name="Notas 2 3 4 3 2 6" xfId="33049"/>
    <cellStyle name="Notas 2 3 4 3 2 6 2" xfId="33050"/>
    <cellStyle name="Notas 2 3 4 3 2 7" xfId="33051"/>
    <cellStyle name="Notas 2 3 4 3 2 7 2" xfId="33052"/>
    <cellStyle name="Notas 2 3 4 3 2 8" xfId="33053"/>
    <cellStyle name="Notas 2 3 4 3 2 8 2" xfId="33054"/>
    <cellStyle name="Notas 2 3 4 3 2 9" xfId="33055"/>
    <cellStyle name="Notas 2 3 4 3 2 9 2" xfId="33056"/>
    <cellStyle name="Notas 2 3 4 3 3" xfId="33057"/>
    <cellStyle name="Notas 2 3 4 3 3 10" xfId="33058"/>
    <cellStyle name="Notas 2 3 4 3 3 10 2" xfId="33059"/>
    <cellStyle name="Notas 2 3 4 3 3 11" xfId="33060"/>
    <cellStyle name="Notas 2 3 4 3 3 2" xfId="33061"/>
    <cellStyle name="Notas 2 3 4 3 3 2 2" xfId="33062"/>
    <cellStyle name="Notas 2 3 4 3 3 3" xfId="33063"/>
    <cellStyle name="Notas 2 3 4 3 3 3 2" xfId="33064"/>
    <cellStyle name="Notas 2 3 4 3 3 4" xfId="33065"/>
    <cellStyle name="Notas 2 3 4 3 3 4 2" xfId="33066"/>
    <cellStyle name="Notas 2 3 4 3 3 5" xfId="33067"/>
    <cellStyle name="Notas 2 3 4 3 3 5 2" xfId="33068"/>
    <cellStyle name="Notas 2 3 4 3 3 6" xfId="33069"/>
    <cellStyle name="Notas 2 3 4 3 3 6 2" xfId="33070"/>
    <cellStyle name="Notas 2 3 4 3 3 7" xfId="33071"/>
    <cellStyle name="Notas 2 3 4 3 3 7 2" xfId="33072"/>
    <cellStyle name="Notas 2 3 4 3 3 8" xfId="33073"/>
    <cellStyle name="Notas 2 3 4 3 3 8 2" xfId="33074"/>
    <cellStyle name="Notas 2 3 4 3 3 9" xfId="33075"/>
    <cellStyle name="Notas 2 3 4 3 3 9 2" xfId="33076"/>
    <cellStyle name="Notas 2 3 4 3 4" xfId="33077"/>
    <cellStyle name="Notas 2 3 4 3 4 2" xfId="33078"/>
    <cellStyle name="Notas 2 3 4 3 5" xfId="33079"/>
    <cellStyle name="Notas 2 3 4 3 5 2" xfId="33080"/>
    <cellStyle name="Notas 2 3 4 3 6" xfId="33081"/>
    <cellStyle name="Notas 2 3 4 3 6 2" xfId="33082"/>
    <cellStyle name="Notas 2 3 4 3 7" xfId="33083"/>
    <cellStyle name="Notas 2 3 4 3 7 2" xfId="33084"/>
    <cellStyle name="Notas 2 3 4 3 8" xfId="33085"/>
    <cellStyle name="Notas 2 3 4 3 8 2" xfId="33086"/>
    <cellStyle name="Notas 2 3 4 3 9" xfId="33087"/>
    <cellStyle name="Notas 2 3 4 3 9 2" xfId="33088"/>
    <cellStyle name="Notas 2 3 4 4" xfId="33089"/>
    <cellStyle name="Notas 2 3 4 4 10" xfId="33090"/>
    <cellStyle name="Notas 2 3 4 4 10 2" xfId="33091"/>
    <cellStyle name="Notas 2 3 4 4 11" xfId="33092"/>
    <cellStyle name="Notas 2 3 4 4 2" xfId="33093"/>
    <cellStyle name="Notas 2 3 4 4 2 2" xfId="33094"/>
    <cellStyle name="Notas 2 3 4 4 3" xfId="33095"/>
    <cellStyle name="Notas 2 3 4 4 3 2" xfId="33096"/>
    <cellStyle name="Notas 2 3 4 4 4" xfId="33097"/>
    <cellStyle name="Notas 2 3 4 4 4 2" xfId="33098"/>
    <cellStyle name="Notas 2 3 4 4 5" xfId="33099"/>
    <cellStyle name="Notas 2 3 4 4 5 2" xfId="33100"/>
    <cellStyle name="Notas 2 3 4 4 6" xfId="33101"/>
    <cellStyle name="Notas 2 3 4 4 6 2" xfId="33102"/>
    <cellStyle name="Notas 2 3 4 4 7" xfId="33103"/>
    <cellStyle name="Notas 2 3 4 4 7 2" xfId="33104"/>
    <cellStyle name="Notas 2 3 4 4 8" xfId="33105"/>
    <cellStyle name="Notas 2 3 4 4 8 2" xfId="33106"/>
    <cellStyle name="Notas 2 3 4 4 9" xfId="33107"/>
    <cellStyle name="Notas 2 3 4 4 9 2" xfId="33108"/>
    <cellStyle name="Notas 2 3 4 5" xfId="33109"/>
    <cellStyle name="Notas 2 3 4 5 10" xfId="33110"/>
    <cellStyle name="Notas 2 3 4 5 10 2" xfId="33111"/>
    <cellStyle name="Notas 2 3 4 5 11" xfId="33112"/>
    <cellStyle name="Notas 2 3 4 5 2" xfId="33113"/>
    <cellStyle name="Notas 2 3 4 5 2 2" xfId="33114"/>
    <cellStyle name="Notas 2 3 4 5 3" xfId="33115"/>
    <cellStyle name="Notas 2 3 4 5 3 2" xfId="33116"/>
    <cellStyle name="Notas 2 3 4 5 4" xfId="33117"/>
    <cellStyle name="Notas 2 3 4 5 4 2" xfId="33118"/>
    <cellStyle name="Notas 2 3 4 5 5" xfId="33119"/>
    <cellStyle name="Notas 2 3 4 5 5 2" xfId="33120"/>
    <cellStyle name="Notas 2 3 4 5 6" xfId="33121"/>
    <cellStyle name="Notas 2 3 4 5 6 2" xfId="33122"/>
    <cellStyle name="Notas 2 3 4 5 7" xfId="33123"/>
    <cellStyle name="Notas 2 3 4 5 7 2" xfId="33124"/>
    <cellStyle name="Notas 2 3 4 5 8" xfId="33125"/>
    <cellStyle name="Notas 2 3 4 5 8 2" xfId="33126"/>
    <cellStyle name="Notas 2 3 4 5 9" xfId="33127"/>
    <cellStyle name="Notas 2 3 4 5 9 2" xfId="33128"/>
    <cellStyle name="Notas 2 3 4 6" xfId="33129"/>
    <cellStyle name="Notas 2 3 4 6 2" xfId="33130"/>
    <cellStyle name="Notas 2 3 4 7" xfId="33131"/>
    <cellStyle name="Notas 2 3 4 7 2" xfId="33132"/>
    <cellStyle name="Notas 2 3 4 8" xfId="33133"/>
    <cellStyle name="Notas 2 3 4 8 2" xfId="33134"/>
    <cellStyle name="Notas 2 3 4 9" xfId="33135"/>
    <cellStyle name="Notas 2 3 4 9 2" xfId="33136"/>
    <cellStyle name="Notas 2 3 5" xfId="33137"/>
    <cellStyle name="Notas 2 3 5 10" xfId="33138"/>
    <cellStyle name="Notas 2 3 5 10 2" xfId="33139"/>
    <cellStyle name="Notas 2 3 5 11" xfId="33140"/>
    <cellStyle name="Notas 2 3 5 11 2" xfId="33141"/>
    <cellStyle name="Notas 2 3 5 12" xfId="33142"/>
    <cellStyle name="Notas 2 3 5 12 2" xfId="33143"/>
    <cellStyle name="Notas 2 3 5 13" xfId="33144"/>
    <cellStyle name="Notas 2 3 5 13 2" xfId="33145"/>
    <cellStyle name="Notas 2 3 5 14" xfId="33146"/>
    <cellStyle name="Notas 2 3 5 14 2" xfId="33147"/>
    <cellStyle name="Notas 2 3 5 15" xfId="33148"/>
    <cellStyle name="Notas 2 3 5 2" xfId="33149"/>
    <cellStyle name="Notas 2 3 5 2 10" xfId="33150"/>
    <cellStyle name="Notas 2 3 5 2 10 2" xfId="33151"/>
    <cellStyle name="Notas 2 3 5 2 11" xfId="33152"/>
    <cellStyle name="Notas 2 3 5 2 11 2" xfId="33153"/>
    <cellStyle name="Notas 2 3 5 2 12" xfId="33154"/>
    <cellStyle name="Notas 2 3 5 2 12 2" xfId="33155"/>
    <cellStyle name="Notas 2 3 5 2 13" xfId="33156"/>
    <cellStyle name="Notas 2 3 5 2 2" xfId="33157"/>
    <cellStyle name="Notas 2 3 5 2 2 10" xfId="33158"/>
    <cellStyle name="Notas 2 3 5 2 2 10 2" xfId="33159"/>
    <cellStyle name="Notas 2 3 5 2 2 11" xfId="33160"/>
    <cellStyle name="Notas 2 3 5 2 2 2" xfId="33161"/>
    <cellStyle name="Notas 2 3 5 2 2 2 2" xfId="33162"/>
    <cellStyle name="Notas 2 3 5 2 2 3" xfId="33163"/>
    <cellStyle name="Notas 2 3 5 2 2 3 2" xfId="33164"/>
    <cellStyle name="Notas 2 3 5 2 2 4" xfId="33165"/>
    <cellStyle name="Notas 2 3 5 2 2 4 2" xfId="33166"/>
    <cellStyle name="Notas 2 3 5 2 2 5" xfId="33167"/>
    <cellStyle name="Notas 2 3 5 2 2 5 2" xfId="33168"/>
    <cellStyle name="Notas 2 3 5 2 2 6" xfId="33169"/>
    <cellStyle name="Notas 2 3 5 2 2 6 2" xfId="33170"/>
    <cellStyle name="Notas 2 3 5 2 2 7" xfId="33171"/>
    <cellStyle name="Notas 2 3 5 2 2 7 2" xfId="33172"/>
    <cellStyle name="Notas 2 3 5 2 2 8" xfId="33173"/>
    <cellStyle name="Notas 2 3 5 2 2 8 2" xfId="33174"/>
    <cellStyle name="Notas 2 3 5 2 2 9" xfId="33175"/>
    <cellStyle name="Notas 2 3 5 2 2 9 2" xfId="33176"/>
    <cellStyle name="Notas 2 3 5 2 3" xfId="33177"/>
    <cellStyle name="Notas 2 3 5 2 3 10" xfId="33178"/>
    <cellStyle name="Notas 2 3 5 2 3 10 2" xfId="33179"/>
    <cellStyle name="Notas 2 3 5 2 3 11" xfId="33180"/>
    <cellStyle name="Notas 2 3 5 2 3 2" xfId="33181"/>
    <cellStyle name="Notas 2 3 5 2 3 2 2" xfId="33182"/>
    <cellStyle name="Notas 2 3 5 2 3 3" xfId="33183"/>
    <cellStyle name="Notas 2 3 5 2 3 3 2" xfId="33184"/>
    <cellStyle name="Notas 2 3 5 2 3 4" xfId="33185"/>
    <cellStyle name="Notas 2 3 5 2 3 4 2" xfId="33186"/>
    <cellStyle name="Notas 2 3 5 2 3 5" xfId="33187"/>
    <cellStyle name="Notas 2 3 5 2 3 5 2" xfId="33188"/>
    <cellStyle name="Notas 2 3 5 2 3 6" xfId="33189"/>
    <cellStyle name="Notas 2 3 5 2 3 6 2" xfId="33190"/>
    <cellStyle name="Notas 2 3 5 2 3 7" xfId="33191"/>
    <cellStyle name="Notas 2 3 5 2 3 7 2" xfId="33192"/>
    <cellStyle name="Notas 2 3 5 2 3 8" xfId="33193"/>
    <cellStyle name="Notas 2 3 5 2 3 8 2" xfId="33194"/>
    <cellStyle name="Notas 2 3 5 2 3 9" xfId="33195"/>
    <cellStyle name="Notas 2 3 5 2 3 9 2" xfId="33196"/>
    <cellStyle name="Notas 2 3 5 2 4" xfId="33197"/>
    <cellStyle name="Notas 2 3 5 2 4 2" xfId="33198"/>
    <cellStyle name="Notas 2 3 5 2 5" xfId="33199"/>
    <cellStyle name="Notas 2 3 5 2 5 2" xfId="33200"/>
    <cellStyle name="Notas 2 3 5 2 6" xfId="33201"/>
    <cellStyle name="Notas 2 3 5 2 6 2" xfId="33202"/>
    <cellStyle name="Notas 2 3 5 2 7" xfId="33203"/>
    <cellStyle name="Notas 2 3 5 2 7 2" xfId="33204"/>
    <cellStyle name="Notas 2 3 5 2 8" xfId="33205"/>
    <cellStyle name="Notas 2 3 5 2 8 2" xfId="33206"/>
    <cellStyle name="Notas 2 3 5 2 9" xfId="33207"/>
    <cellStyle name="Notas 2 3 5 2 9 2" xfId="33208"/>
    <cellStyle name="Notas 2 3 5 3" xfId="33209"/>
    <cellStyle name="Notas 2 3 5 3 10" xfId="33210"/>
    <cellStyle name="Notas 2 3 5 3 10 2" xfId="33211"/>
    <cellStyle name="Notas 2 3 5 3 11" xfId="33212"/>
    <cellStyle name="Notas 2 3 5 3 11 2" xfId="33213"/>
    <cellStyle name="Notas 2 3 5 3 12" xfId="33214"/>
    <cellStyle name="Notas 2 3 5 3 12 2" xfId="33215"/>
    <cellStyle name="Notas 2 3 5 3 13" xfId="33216"/>
    <cellStyle name="Notas 2 3 5 3 2" xfId="33217"/>
    <cellStyle name="Notas 2 3 5 3 2 10" xfId="33218"/>
    <cellStyle name="Notas 2 3 5 3 2 10 2" xfId="33219"/>
    <cellStyle name="Notas 2 3 5 3 2 11" xfId="33220"/>
    <cellStyle name="Notas 2 3 5 3 2 2" xfId="33221"/>
    <cellStyle name="Notas 2 3 5 3 2 2 2" xfId="33222"/>
    <cellStyle name="Notas 2 3 5 3 2 3" xfId="33223"/>
    <cellStyle name="Notas 2 3 5 3 2 3 2" xfId="33224"/>
    <cellStyle name="Notas 2 3 5 3 2 4" xfId="33225"/>
    <cellStyle name="Notas 2 3 5 3 2 4 2" xfId="33226"/>
    <cellStyle name="Notas 2 3 5 3 2 5" xfId="33227"/>
    <cellStyle name="Notas 2 3 5 3 2 5 2" xfId="33228"/>
    <cellStyle name="Notas 2 3 5 3 2 6" xfId="33229"/>
    <cellStyle name="Notas 2 3 5 3 2 6 2" xfId="33230"/>
    <cellStyle name="Notas 2 3 5 3 2 7" xfId="33231"/>
    <cellStyle name="Notas 2 3 5 3 2 7 2" xfId="33232"/>
    <cellStyle name="Notas 2 3 5 3 2 8" xfId="33233"/>
    <cellStyle name="Notas 2 3 5 3 2 8 2" xfId="33234"/>
    <cellStyle name="Notas 2 3 5 3 2 9" xfId="33235"/>
    <cellStyle name="Notas 2 3 5 3 2 9 2" xfId="33236"/>
    <cellStyle name="Notas 2 3 5 3 3" xfId="33237"/>
    <cellStyle name="Notas 2 3 5 3 3 10" xfId="33238"/>
    <cellStyle name="Notas 2 3 5 3 3 10 2" xfId="33239"/>
    <cellStyle name="Notas 2 3 5 3 3 11" xfId="33240"/>
    <cellStyle name="Notas 2 3 5 3 3 2" xfId="33241"/>
    <cellStyle name="Notas 2 3 5 3 3 2 2" xfId="33242"/>
    <cellStyle name="Notas 2 3 5 3 3 3" xfId="33243"/>
    <cellStyle name="Notas 2 3 5 3 3 3 2" xfId="33244"/>
    <cellStyle name="Notas 2 3 5 3 3 4" xfId="33245"/>
    <cellStyle name="Notas 2 3 5 3 3 4 2" xfId="33246"/>
    <cellStyle name="Notas 2 3 5 3 3 5" xfId="33247"/>
    <cellStyle name="Notas 2 3 5 3 3 5 2" xfId="33248"/>
    <cellStyle name="Notas 2 3 5 3 3 6" xfId="33249"/>
    <cellStyle name="Notas 2 3 5 3 3 6 2" xfId="33250"/>
    <cellStyle name="Notas 2 3 5 3 3 7" xfId="33251"/>
    <cellStyle name="Notas 2 3 5 3 3 7 2" xfId="33252"/>
    <cellStyle name="Notas 2 3 5 3 3 8" xfId="33253"/>
    <cellStyle name="Notas 2 3 5 3 3 8 2" xfId="33254"/>
    <cellStyle name="Notas 2 3 5 3 3 9" xfId="33255"/>
    <cellStyle name="Notas 2 3 5 3 3 9 2" xfId="33256"/>
    <cellStyle name="Notas 2 3 5 3 4" xfId="33257"/>
    <cellStyle name="Notas 2 3 5 3 4 2" xfId="33258"/>
    <cellStyle name="Notas 2 3 5 3 5" xfId="33259"/>
    <cellStyle name="Notas 2 3 5 3 5 2" xfId="33260"/>
    <cellStyle name="Notas 2 3 5 3 6" xfId="33261"/>
    <cellStyle name="Notas 2 3 5 3 6 2" xfId="33262"/>
    <cellStyle name="Notas 2 3 5 3 7" xfId="33263"/>
    <cellStyle name="Notas 2 3 5 3 7 2" xfId="33264"/>
    <cellStyle name="Notas 2 3 5 3 8" xfId="33265"/>
    <cellStyle name="Notas 2 3 5 3 8 2" xfId="33266"/>
    <cellStyle name="Notas 2 3 5 3 9" xfId="33267"/>
    <cellStyle name="Notas 2 3 5 3 9 2" xfId="33268"/>
    <cellStyle name="Notas 2 3 5 4" xfId="33269"/>
    <cellStyle name="Notas 2 3 5 4 10" xfId="33270"/>
    <cellStyle name="Notas 2 3 5 4 10 2" xfId="33271"/>
    <cellStyle name="Notas 2 3 5 4 11" xfId="33272"/>
    <cellStyle name="Notas 2 3 5 4 2" xfId="33273"/>
    <cellStyle name="Notas 2 3 5 4 2 2" xfId="33274"/>
    <cellStyle name="Notas 2 3 5 4 3" xfId="33275"/>
    <cellStyle name="Notas 2 3 5 4 3 2" xfId="33276"/>
    <cellStyle name="Notas 2 3 5 4 4" xfId="33277"/>
    <cellStyle name="Notas 2 3 5 4 4 2" xfId="33278"/>
    <cellStyle name="Notas 2 3 5 4 5" xfId="33279"/>
    <cellStyle name="Notas 2 3 5 4 5 2" xfId="33280"/>
    <cellStyle name="Notas 2 3 5 4 6" xfId="33281"/>
    <cellStyle name="Notas 2 3 5 4 6 2" xfId="33282"/>
    <cellStyle name="Notas 2 3 5 4 7" xfId="33283"/>
    <cellStyle name="Notas 2 3 5 4 7 2" xfId="33284"/>
    <cellStyle name="Notas 2 3 5 4 8" xfId="33285"/>
    <cellStyle name="Notas 2 3 5 4 8 2" xfId="33286"/>
    <cellStyle name="Notas 2 3 5 4 9" xfId="33287"/>
    <cellStyle name="Notas 2 3 5 4 9 2" xfId="33288"/>
    <cellStyle name="Notas 2 3 5 5" xfId="33289"/>
    <cellStyle name="Notas 2 3 5 5 10" xfId="33290"/>
    <cellStyle name="Notas 2 3 5 5 10 2" xfId="33291"/>
    <cellStyle name="Notas 2 3 5 5 11" xfId="33292"/>
    <cellStyle name="Notas 2 3 5 5 2" xfId="33293"/>
    <cellStyle name="Notas 2 3 5 5 2 2" xfId="33294"/>
    <cellStyle name="Notas 2 3 5 5 3" xfId="33295"/>
    <cellStyle name="Notas 2 3 5 5 3 2" xfId="33296"/>
    <cellStyle name="Notas 2 3 5 5 4" xfId="33297"/>
    <cellStyle name="Notas 2 3 5 5 4 2" xfId="33298"/>
    <cellStyle name="Notas 2 3 5 5 5" xfId="33299"/>
    <cellStyle name="Notas 2 3 5 5 5 2" xfId="33300"/>
    <cellStyle name="Notas 2 3 5 5 6" xfId="33301"/>
    <cellStyle name="Notas 2 3 5 5 6 2" xfId="33302"/>
    <cellStyle name="Notas 2 3 5 5 7" xfId="33303"/>
    <cellStyle name="Notas 2 3 5 5 7 2" xfId="33304"/>
    <cellStyle name="Notas 2 3 5 5 8" xfId="33305"/>
    <cellStyle name="Notas 2 3 5 5 8 2" xfId="33306"/>
    <cellStyle name="Notas 2 3 5 5 9" xfId="33307"/>
    <cellStyle name="Notas 2 3 5 5 9 2" xfId="33308"/>
    <cellStyle name="Notas 2 3 5 6" xfId="33309"/>
    <cellStyle name="Notas 2 3 5 6 2" xfId="33310"/>
    <cellStyle name="Notas 2 3 5 7" xfId="33311"/>
    <cellStyle name="Notas 2 3 5 7 2" xfId="33312"/>
    <cellStyle name="Notas 2 3 5 8" xfId="33313"/>
    <cellStyle name="Notas 2 3 5 8 2" xfId="33314"/>
    <cellStyle name="Notas 2 3 5 9" xfId="33315"/>
    <cellStyle name="Notas 2 3 5 9 2" xfId="33316"/>
    <cellStyle name="Notas 2 3 6" xfId="33317"/>
    <cellStyle name="Notas 2 3 6 10" xfId="33318"/>
    <cellStyle name="Notas 2 3 6 10 2" xfId="33319"/>
    <cellStyle name="Notas 2 3 6 11" xfId="33320"/>
    <cellStyle name="Notas 2 3 6 11 2" xfId="33321"/>
    <cellStyle name="Notas 2 3 6 12" xfId="33322"/>
    <cellStyle name="Notas 2 3 6 12 2" xfId="33323"/>
    <cellStyle name="Notas 2 3 6 13" xfId="33324"/>
    <cellStyle name="Notas 2 3 6 2" xfId="33325"/>
    <cellStyle name="Notas 2 3 6 2 10" xfId="33326"/>
    <cellStyle name="Notas 2 3 6 2 10 2" xfId="33327"/>
    <cellStyle name="Notas 2 3 6 2 11" xfId="33328"/>
    <cellStyle name="Notas 2 3 6 2 2" xfId="33329"/>
    <cellStyle name="Notas 2 3 6 2 2 2" xfId="33330"/>
    <cellStyle name="Notas 2 3 6 2 3" xfId="33331"/>
    <cellStyle name="Notas 2 3 6 2 3 2" xfId="33332"/>
    <cellStyle name="Notas 2 3 6 2 4" xfId="33333"/>
    <cellStyle name="Notas 2 3 6 2 4 2" xfId="33334"/>
    <cellStyle name="Notas 2 3 6 2 5" xfId="33335"/>
    <cellStyle name="Notas 2 3 6 2 5 2" xfId="33336"/>
    <cellStyle name="Notas 2 3 6 2 6" xfId="33337"/>
    <cellStyle name="Notas 2 3 6 2 6 2" xfId="33338"/>
    <cellStyle name="Notas 2 3 6 2 7" xfId="33339"/>
    <cellStyle name="Notas 2 3 6 2 7 2" xfId="33340"/>
    <cellStyle name="Notas 2 3 6 2 8" xfId="33341"/>
    <cellStyle name="Notas 2 3 6 2 8 2" xfId="33342"/>
    <cellStyle name="Notas 2 3 6 2 9" xfId="33343"/>
    <cellStyle name="Notas 2 3 6 2 9 2" xfId="33344"/>
    <cellStyle name="Notas 2 3 6 3" xfId="33345"/>
    <cellStyle name="Notas 2 3 6 3 10" xfId="33346"/>
    <cellStyle name="Notas 2 3 6 3 10 2" xfId="33347"/>
    <cellStyle name="Notas 2 3 6 3 11" xfId="33348"/>
    <cellStyle name="Notas 2 3 6 3 2" xfId="33349"/>
    <cellStyle name="Notas 2 3 6 3 2 2" xfId="33350"/>
    <cellStyle name="Notas 2 3 6 3 3" xfId="33351"/>
    <cellStyle name="Notas 2 3 6 3 3 2" xfId="33352"/>
    <cellStyle name="Notas 2 3 6 3 4" xfId="33353"/>
    <cellStyle name="Notas 2 3 6 3 4 2" xfId="33354"/>
    <cellStyle name="Notas 2 3 6 3 5" xfId="33355"/>
    <cellStyle name="Notas 2 3 6 3 5 2" xfId="33356"/>
    <cellStyle name="Notas 2 3 6 3 6" xfId="33357"/>
    <cellStyle name="Notas 2 3 6 3 6 2" xfId="33358"/>
    <cellStyle name="Notas 2 3 6 3 7" xfId="33359"/>
    <cellStyle name="Notas 2 3 6 3 7 2" xfId="33360"/>
    <cellStyle name="Notas 2 3 6 3 8" xfId="33361"/>
    <cellStyle name="Notas 2 3 6 3 8 2" xfId="33362"/>
    <cellStyle name="Notas 2 3 6 3 9" xfId="33363"/>
    <cellStyle name="Notas 2 3 6 3 9 2" xfId="33364"/>
    <cellStyle name="Notas 2 3 6 4" xfId="33365"/>
    <cellStyle name="Notas 2 3 6 4 2" xfId="33366"/>
    <cellStyle name="Notas 2 3 6 5" xfId="33367"/>
    <cellStyle name="Notas 2 3 6 5 2" xfId="33368"/>
    <cellStyle name="Notas 2 3 6 6" xfId="33369"/>
    <cellStyle name="Notas 2 3 6 6 2" xfId="33370"/>
    <cellStyle name="Notas 2 3 6 7" xfId="33371"/>
    <cellStyle name="Notas 2 3 6 7 2" xfId="33372"/>
    <cellStyle name="Notas 2 3 6 8" xfId="33373"/>
    <cellStyle name="Notas 2 3 6 8 2" xfId="33374"/>
    <cellStyle name="Notas 2 3 6 9" xfId="33375"/>
    <cellStyle name="Notas 2 3 6 9 2" xfId="33376"/>
    <cellStyle name="Notas 2 3 7" xfId="33377"/>
    <cellStyle name="Notas 2 3 7 10" xfId="33378"/>
    <cellStyle name="Notas 2 3 7 10 2" xfId="33379"/>
    <cellStyle name="Notas 2 3 7 11" xfId="33380"/>
    <cellStyle name="Notas 2 3 7 11 2" xfId="33381"/>
    <cellStyle name="Notas 2 3 7 12" xfId="33382"/>
    <cellStyle name="Notas 2 3 7 12 2" xfId="33383"/>
    <cellStyle name="Notas 2 3 7 13" xfId="33384"/>
    <cellStyle name="Notas 2 3 7 2" xfId="33385"/>
    <cellStyle name="Notas 2 3 7 2 10" xfId="33386"/>
    <cellStyle name="Notas 2 3 7 2 10 2" xfId="33387"/>
    <cellStyle name="Notas 2 3 7 2 11" xfId="33388"/>
    <cellStyle name="Notas 2 3 7 2 2" xfId="33389"/>
    <cellStyle name="Notas 2 3 7 2 2 2" xfId="33390"/>
    <cellStyle name="Notas 2 3 7 2 3" xfId="33391"/>
    <cellStyle name="Notas 2 3 7 2 3 2" xfId="33392"/>
    <cellStyle name="Notas 2 3 7 2 4" xfId="33393"/>
    <cellStyle name="Notas 2 3 7 2 4 2" xfId="33394"/>
    <cellStyle name="Notas 2 3 7 2 5" xfId="33395"/>
    <cellStyle name="Notas 2 3 7 2 5 2" xfId="33396"/>
    <cellStyle name="Notas 2 3 7 2 6" xfId="33397"/>
    <cellStyle name="Notas 2 3 7 2 6 2" xfId="33398"/>
    <cellStyle name="Notas 2 3 7 2 7" xfId="33399"/>
    <cellStyle name="Notas 2 3 7 2 7 2" xfId="33400"/>
    <cellStyle name="Notas 2 3 7 2 8" xfId="33401"/>
    <cellStyle name="Notas 2 3 7 2 8 2" xfId="33402"/>
    <cellStyle name="Notas 2 3 7 2 9" xfId="33403"/>
    <cellStyle name="Notas 2 3 7 2 9 2" xfId="33404"/>
    <cellStyle name="Notas 2 3 7 3" xfId="33405"/>
    <cellStyle name="Notas 2 3 7 3 10" xfId="33406"/>
    <cellStyle name="Notas 2 3 7 3 10 2" xfId="33407"/>
    <cellStyle name="Notas 2 3 7 3 11" xfId="33408"/>
    <cellStyle name="Notas 2 3 7 3 2" xfId="33409"/>
    <cellStyle name="Notas 2 3 7 3 2 2" xfId="33410"/>
    <cellStyle name="Notas 2 3 7 3 3" xfId="33411"/>
    <cellStyle name="Notas 2 3 7 3 3 2" xfId="33412"/>
    <cellStyle name="Notas 2 3 7 3 4" xfId="33413"/>
    <cellStyle name="Notas 2 3 7 3 4 2" xfId="33414"/>
    <cellStyle name="Notas 2 3 7 3 5" xfId="33415"/>
    <cellStyle name="Notas 2 3 7 3 5 2" xfId="33416"/>
    <cellStyle name="Notas 2 3 7 3 6" xfId="33417"/>
    <cellStyle name="Notas 2 3 7 3 6 2" xfId="33418"/>
    <cellStyle name="Notas 2 3 7 3 7" xfId="33419"/>
    <cellStyle name="Notas 2 3 7 3 7 2" xfId="33420"/>
    <cellStyle name="Notas 2 3 7 3 8" xfId="33421"/>
    <cellStyle name="Notas 2 3 7 3 8 2" xfId="33422"/>
    <cellStyle name="Notas 2 3 7 3 9" xfId="33423"/>
    <cellStyle name="Notas 2 3 7 3 9 2" xfId="33424"/>
    <cellStyle name="Notas 2 3 7 4" xfId="33425"/>
    <cellStyle name="Notas 2 3 7 4 2" xfId="33426"/>
    <cellStyle name="Notas 2 3 7 5" xfId="33427"/>
    <cellStyle name="Notas 2 3 7 5 2" xfId="33428"/>
    <cellStyle name="Notas 2 3 7 6" xfId="33429"/>
    <cellStyle name="Notas 2 3 7 6 2" xfId="33430"/>
    <cellStyle name="Notas 2 3 7 7" xfId="33431"/>
    <cellStyle name="Notas 2 3 7 7 2" xfId="33432"/>
    <cellStyle name="Notas 2 3 7 8" xfId="33433"/>
    <cellStyle name="Notas 2 3 7 8 2" xfId="33434"/>
    <cellStyle name="Notas 2 3 7 9" xfId="33435"/>
    <cellStyle name="Notas 2 3 7 9 2" xfId="33436"/>
    <cellStyle name="Notas 2 3 8" xfId="33437"/>
    <cellStyle name="Notas 2 3 8 2" xfId="33438"/>
    <cellStyle name="Notas 2 3 9" xfId="33439"/>
    <cellStyle name="Notas 2 3 9 2" xfId="33440"/>
    <cellStyle name="Notas 2 4" xfId="33441"/>
    <cellStyle name="Notas 2 4 10" xfId="33442"/>
    <cellStyle name="Notas 2 4 10 2" xfId="33443"/>
    <cellStyle name="Notas 2 4 11" xfId="33444"/>
    <cellStyle name="Notas 2 4 11 2" xfId="33445"/>
    <cellStyle name="Notas 2 4 12" xfId="33446"/>
    <cellStyle name="Notas 2 4 12 2" xfId="33447"/>
    <cellStyle name="Notas 2 4 13" xfId="33448"/>
    <cellStyle name="Notas 2 4 13 2" xfId="33449"/>
    <cellStyle name="Notas 2 4 14" xfId="33450"/>
    <cellStyle name="Notas 2 4 14 2" xfId="33451"/>
    <cellStyle name="Notas 2 4 15" xfId="33452"/>
    <cellStyle name="Notas 2 4 2" xfId="33453"/>
    <cellStyle name="Notas 2 4 2 10" xfId="33454"/>
    <cellStyle name="Notas 2 4 2 10 2" xfId="33455"/>
    <cellStyle name="Notas 2 4 2 11" xfId="33456"/>
    <cellStyle name="Notas 2 4 2 11 2" xfId="33457"/>
    <cellStyle name="Notas 2 4 2 12" xfId="33458"/>
    <cellStyle name="Notas 2 4 2 12 2" xfId="33459"/>
    <cellStyle name="Notas 2 4 2 13" xfId="33460"/>
    <cellStyle name="Notas 2 4 2 2" xfId="33461"/>
    <cellStyle name="Notas 2 4 2 2 10" xfId="33462"/>
    <cellStyle name="Notas 2 4 2 2 10 2" xfId="33463"/>
    <cellStyle name="Notas 2 4 2 2 11" xfId="33464"/>
    <cellStyle name="Notas 2 4 2 2 2" xfId="33465"/>
    <cellStyle name="Notas 2 4 2 2 2 2" xfId="33466"/>
    <cellStyle name="Notas 2 4 2 2 3" xfId="33467"/>
    <cellStyle name="Notas 2 4 2 2 3 2" xfId="33468"/>
    <cellStyle name="Notas 2 4 2 2 4" xfId="33469"/>
    <cellStyle name="Notas 2 4 2 2 4 2" xfId="33470"/>
    <cellStyle name="Notas 2 4 2 2 5" xfId="33471"/>
    <cellStyle name="Notas 2 4 2 2 5 2" xfId="33472"/>
    <cellStyle name="Notas 2 4 2 2 6" xfId="33473"/>
    <cellStyle name="Notas 2 4 2 2 6 2" xfId="33474"/>
    <cellStyle name="Notas 2 4 2 2 7" xfId="33475"/>
    <cellStyle name="Notas 2 4 2 2 7 2" xfId="33476"/>
    <cellStyle name="Notas 2 4 2 2 8" xfId="33477"/>
    <cellStyle name="Notas 2 4 2 2 8 2" xfId="33478"/>
    <cellStyle name="Notas 2 4 2 2 9" xfId="33479"/>
    <cellStyle name="Notas 2 4 2 2 9 2" xfId="33480"/>
    <cellStyle name="Notas 2 4 2 3" xfId="33481"/>
    <cellStyle name="Notas 2 4 2 3 10" xfId="33482"/>
    <cellStyle name="Notas 2 4 2 3 10 2" xfId="33483"/>
    <cellStyle name="Notas 2 4 2 3 11" xfId="33484"/>
    <cellStyle name="Notas 2 4 2 3 2" xfId="33485"/>
    <cellStyle name="Notas 2 4 2 3 2 2" xfId="33486"/>
    <cellStyle name="Notas 2 4 2 3 3" xfId="33487"/>
    <cellStyle name="Notas 2 4 2 3 3 2" xfId="33488"/>
    <cellStyle name="Notas 2 4 2 3 4" xfId="33489"/>
    <cellStyle name="Notas 2 4 2 3 4 2" xfId="33490"/>
    <cellStyle name="Notas 2 4 2 3 5" xfId="33491"/>
    <cellStyle name="Notas 2 4 2 3 5 2" xfId="33492"/>
    <cellStyle name="Notas 2 4 2 3 6" xfId="33493"/>
    <cellStyle name="Notas 2 4 2 3 6 2" xfId="33494"/>
    <cellStyle name="Notas 2 4 2 3 7" xfId="33495"/>
    <cellStyle name="Notas 2 4 2 3 7 2" xfId="33496"/>
    <cellStyle name="Notas 2 4 2 3 8" xfId="33497"/>
    <cellStyle name="Notas 2 4 2 3 8 2" xfId="33498"/>
    <cellStyle name="Notas 2 4 2 3 9" xfId="33499"/>
    <cellStyle name="Notas 2 4 2 3 9 2" xfId="33500"/>
    <cellStyle name="Notas 2 4 2 4" xfId="33501"/>
    <cellStyle name="Notas 2 4 2 4 2" xfId="33502"/>
    <cellStyle name="Notas 2 4 2 5" xfId="33503"/>
    <cellStyle name="Notas 2 4 2 5 2" xfId="33504"/>
    <cellStyle name="Notas 2 4 2 6" xfId="33505"/>
    <cellStyle name="Notas 2 4 2 6 2" xfId="33506"/>
    <cellStyle name="Notas 2 4 2 7" xfId="33507"/>
    <cellStyle name="Notas 2 4 2 7 2" xfId="33508"/>
    <cellStyle name="Notas 2 4 2 8" xfId="33509"/>
    <cellStyle name="Notas 2 4 2 8 2" xfId="33510"/>
    <cellStyle name="Notas 2 4 2 9" xfId="33511"/>
    <cellStyle name="Notas 2 4 2 9 2" xfId="33512"/>
    <cellStyle name="Notas 2 4 3" xfId="33513"/>
    <cellStyle name="Notas 2 4 3 10" xfId="33514"/>
    <cellStyle name="Notas 2 4 3 10 2" xfId="33515"/>
    <cellStyle name="Notas 2 4 3 11" xfId="33516"/>
    <cellStyle name="Notas 2 4 3 11 2" xfId="33517"/>
    <cellStyle name="Notas 2 4 3 12" xfId="33518"/>
    <cellStyle name="Notas 2 4 3 12 2" xfId="33519"/>
    <cellStyle name="Notas 2 4 3 13" xfId="33520"/>
    <cellStyle name="Notas 2 4 3 2" xfId="33521"/>
    <cellStyle name="Notas 2 4 3 2 10" xfId="33522"/>
    <cellStyle name="Notas 2 4 3 2 10 2" xfId="33523"/>
    <cellStyle name="Notas 2 4 3 2 11" xfId="33524"/>
    <cellStyle name="Notas 2 4 3 2 2" xfId="33525"/>
    <cellStyle name="Notas 2 4 3 2 2 2" xfId="33526"/>
    <cellStyle name="Notas 2 4 3 2 3" xfId="33527"/>
    <cellStyle name="Notas 2 4 3 2 3 2" xfId="33528"/>
    <cellStyle name="Notas 2 4 3 2 4" xfId="33529"/>
    <cellStyle name="Notas 2 4 3 2 4 2" xfId="33530"/>
    <cellStyle name="Notas 2 4 3 2 5" xfId="33531"/>
    <cellStyle name="Notas 2 4 3 2 5 2" xfId="33532"/>
    <cellStyle name="Notas 2 4 3 2 6" xfId="33533"/>
    <cellStyle name="Notas 2 4 3 2 6 2" xfId="33534"/>
    <cellStyle name="Notas 2 4 3 2 7" xfId="33535"/>
    <cellStyle name="Notas 2 4 3 2 7 2" xfId="33536"/>
    <cellStyle name="Notas 2 4 3 2 8" xfId="33537"/>
    <cellStyle name="Notas 2 4 3 2 8 2" xfId="33538"/>
    <cellStyle name="Notas 2 4 3 2 9" xfId="33539"/>
    <cellStyle name="Notas 2 4 3 2 9 2" xfId="33540"/>
    <cellStyle name="Notas 2 4 3 3" xfId="33541"/>
    <cellStyle name="Notas 2 4 3 3 10" xfId="33542"/>
    <cellStyle name="Notas 2 4 3 3 10 2" xfId="33543"/>
    <cellStyle name="Notas 2 4 3 3 11" xfId="33544"/>
    <cellStyle name="Notas 2 4 3 3 2" xfId="33545"/>
    <cellStyle name="Notas 2 4 3 3 2 2" xfId="33546"/>
    <cellStyle name="Notas 2 4 3 3 3" xfId="33547"/>
    <cellStyle name="Notas 2 4 3 3 3 2" xfId="33548"/>
    <cellStyle name="Notas 2 4 3 3 4" xfId="33549"/>
    <cellStyle name="Notas 2 4 3 3 4 2" xfId="33550"/>
    <cellStyle name="Notas 2 4 3 3 5" xfId="33551"/>
    <cellStyle name="Notas 2 4 3 3 5 2" xfId="33552"/>
    <cellStyle name="Notas 2 4 3 3 6" xfId="33553"/>
    <cellStyle name="Notas 2 4 3 3 6 2" xfId="33554"/>
    <cellStyle name="Notas 2 4 3 3 7" xfId="33555"/>
    <cellStyle name="Notas 2 4 3 3 7 2" xfId="33556"/>
    <cellStyle name="Notas 2 4 3 3 8" xfId="33557"/>
    <cellStyle name="Notas 2 4 3 3 8 2" xfId="33558"/>
    <cellStyle name="Notas 2 4 3 3 9" xfId="33559"/>
    <cellStyle name="Notas 2 4 3 3 9 2" xfId="33560"/>
    <cellStyle name="Notas 2 4 3 4" xfId="33561"/>
    <cellStyle name="Notas 2 4 3 4 2" xfId="33562"/>
    <cellStyle name="Notas 2 4 3 5" xfId="33563"/>
    <cellStyle name="Notas 2 4 3 5 2" xfId="33564"/>
    <cellStyle name="Notas 2 4 3 6" xfId="33565"/>
    <cellStyle name="Notas 2 4 3 6 2" xfId="33566"/>
    <cellStyle name="Notas 2 4 3 7" xfId="33567"/>
    <cellStyle name="Notas 2 4 3 7 2" xfId="33568"/>
    <cellStyle name="Notas 2 4 3 8" xfId="33569"/>
    <cellStyle name="Notas 2 4 3 8 2" xfId="33570"/>
    <cellStyle name="Notas 2 4 3 9" xfId="33571"/>
    <cellStyle name="Notas 2 4 3 9 2" xfId="33572"/>
    <cellStyle name="Notas 2 4 4" xfId="33573"/>
    <cellStyle name="Notas 2 4 4 10" xfId="33574"/>
    <cellStyle name="Notas 2 4 4 10 2" xfId="33575"/>
    <cellStyle name="Notas 2 4 4 11" xfId="33576"/>
    <cellStyle name="Notas 2 4 4 2" xfId="33577"/>
    <cellStyle name="Notas 2 4 4 2 2" xfId="33578"/>
    <cellStyle name="Notas 2 4 4 3" xfId="33579"/>
    <cellStyle name="Notas 2 4 4 3 2" xfId="33580"/>
    <cellStyle name="Notas 2 4 4 4" xfId="33581"/>
    <cellStyle name="Notas 2 4 4 4 2" xfId="33582"/>
    <cellStyle name="Notas 2 4 4 5" xfId="33583"/>
    <cellStyle name="Notas 2 4 4 5 2" xfId="33584"/>
    <cellStyle name="Notas 2 4 4 6" xfId="33585"/>
    <cellStyle name="Notas 2 4 4 6 2" xfId="33586"/>
    <cellStyle name="Notas 2 4 4 7" xfId="33587"/>
    <cellStyle name="Notas 2 4 4 7 2" xfId="33588"/>
    <cellStyle name="Notas 2 4 4 8" xfId="33589"/>
    <cellStyle name="Notas 2 4 4 8 2" xfId="33590"/>
    <cellStyle name="Notas 2 4 4 9" xfId="33591"/>
    <cellStyle name="Notas 2 4 4 9 2" xfId="33592"/>
    <cellStyle name="Notas 2 4 5" xfId="33593"/>
    <cellStyle name="Notas 2 4 5 10" xfId="33594"/>
    <cellStyle name="Notas 2 4 5 10 2" xfId="33595"/>
    <cellStyle name="Notas 2 4 5 11" xfId="33596"/>
    <cellStyle name="Notas 2 4 5 2" xfId="33597"/>
    <cellStyle name="Notas 2 4 5 2 2" xfId="33598"/>
    <cellStyle name="Notas 2 4 5 3" xfId="33599"/>
    <cellStyle name="Notas 2 4 5 3 2" xfId="33600"/>
    <cellStyle name="Notas 2 4 5 4" xfId="33601"/>
    <cellStyle name="Notas 2 4 5 4 2" xfId="33602"/>
    <cellStyle name="Notas 2 4 5 5" xfId="33603"/>
    <cellStyle name="Notas 2 4 5 5 2" xfId="33604"/>
    <cellStyle name="Notas 2 4 5 6" xfId="33605"/>
    <cellStyle name="Notas 2 4 5 6 2" xfId="33606"/>
    <cellStyle name="Notas 2 4 5 7" xfId="33607"/>
    <cellStyle name="Notas 2 4 5 7 2" xfId="33608"/>
    <cellStyle name="Notas 2 4 5 8" xfId="33609"/>
    <cellStyle name="Notas 2 4 5 8 2" xfId="33610"/>
    <cellStyle name="Notas 2 4 5 9" xfId="33611"/>
    <cellStyle name="Notas 2 4 5 9 2" xfId="33612"/>
    <cellStyle name="Notas 2 4 6" xfId="33613"/>
    <cellStyle name="Notas 2 4 6 2" xfId="33614"/>
    <cellStyle name="Notas 2 4 7" xfId="33615"/>
    <cellStyle name="Notas 2 4 7 2" xfId="33616"/>
    <cellStyle name="Notas 2 4 8" xfId="33617"/>
    <cellStyle name="Notas 2 4 8 2" xfId="33618"/>
    <cellStyle name="Notas 2 4 9" xfId="33619"/>
    <cellStyle name="Notas 2 4 9 2" xfId="33620"/>
    <cellStyle name="Notas 2 5" xfId="33621"/>
    <cellStyle name="Notas 2 5 10" xfId="33622"/>
    <cellStyle name="Notas 2 5 10 2" xfId="33623"/>
    <cellStyle name="Notas 2 5 11" xfId="33624"/>
    <cellStyle name="Notas 2 5 11 2" xfId="33625"/>
    <cellStyle name="Notas 2 5 12" xfId="33626"/>
    <cellStyle name="Notas 2 5 12 2" xfId="33627"/>
    <cellStyle name="Notas 2 5 13" xfId="33628"/>
    <cellStyle name="Notas 2 5 13 2" xfId="33629"/>
    <cellStyle name="Notas 2 5 14" xfId="33630"/>
    <cellStyle name="Notas 2 5 14 2" xfId="33631"/>
    <cellStyle name="Notas 2 5 15" xfId="33632"/>
    <cellStyle name="Notas 2 5 2" xfId="33633"/>
    <cellStyle name="Notas 2 5 2 10" xfId="33634"/>
    <cellStyle name="Notas 2 5 2 10 2" xfId="33635"/>
    <cellStyle name="Notas 2 5 2 11" xfId="33636"/>
    <cellStyle name="Notas 2 5 2 11 2" xfId="33637"/>
    <cellStyle name="Notas 2 5 2 12" xfId="33638"/>
    <cellStyle name="Notas 2 5 2 12 2" xfId="33639"/>
    <cellStyle name="Notas 2 5 2 13" xfId="33640"/>
    <cellStyle name="Notas 2 5 2 2" xfId="33641"/>
    <cellStyle name="Notas 2 5 2 2 10" xfId="33642"/>
    <cellStyle name="Notas 2 5 2 2 10 2" xfId="33643"/>
    <cellStyle name="Notas 2 5 2 2 11" xfId="33644"/>
    <cellStyle name="Notas 2 5 2 2 2" xfId="33645"/>
    <cellStyle name="Notas 2 5 2 2 2 2" xfId="33646"/>
    <cellStyle name="Notas 2 5 2 2 3" xfId="33647"/>
    <cellStyle name="Notas 2 5 2 2 3 2" xfId="33648"/>
    <cellStyle name="Notas 2 5 2 2 4" xfId="33649"/>
    <cellStyle name="Notas 2 5 2 2 4 2" xfId="33650"/>
    <cellStyle name="Notas 2 5 2 2 5" xfId="33651"/>
    <cellStyle name="Notas 2 5 2 2 5 2" xfId="33652"/>
    <cellStyle name="Notas 2 5 2 2 6" xfId="33653"/>
    <cellStyle name="Notas 2 5 2 2 6 2" xfId="33654"/>
    <cellStyle name="Notas 2 5 2 2 7" xfId="33655"/>
    <cellStyle name="Notas 2 5 2 2 7 2" xfId="33656"/>
    <cellStyle name="Notas 2 5 2 2 8" xfId="33657"/>
    <cellStyle name="Notas 2 5 2 2 8 2" xfId="33658"/>
    <cellStyle name="Notas 2 5 2 2 9" xfId="33659"/>
    <cellStyle name="Notas 2 5 2 2 9 2" xfId="33660"/>
    <cellStyle name="Notas 2 5 2 3" xfId="33661"/>
    <cellStyle name="Notas 2 5 2 3 10" xfId="33662"/>
    <cellStyle name="Notas 2 5 2 3 10 2" xfId="33663"/>
    <cellStyle name="Notas 2 5 2 3 11" xfId="33664"/>
    <cellStyle name="Notas 2 5 2 3 2" xfId="33665"/>
    <cellStyle name="Notas 2 5 2 3 2 2" xfId="33666"/>
    <cellStyle name="Notas 2 5 2 3 3" xfId="33667"/>
    <cellStyle name="Notas 2 5 2 3 3 2" xfId="33668"/>
    <cellStyle name="Notas 2 5 2 3 4" xfId="33669"/>
    <cellStyle name="Notas 2 5 2 3 4 2" xfId="33670"/>
    <cellStyle name="Notas 2 5 2 3 5" xfId="33671"/>
    <cellStyle name="Notas 2 5 2 3 5 2" xfId="33672"/>
    <cellStyle name="Notas 2 5 2 3 6" xfId="33673"/>
    <cellStyle name="Notas 2 5 2 3 6 2" xfId="33674"/>
    <cellStyle name="Notas 2 5 2 3 7" xfId="33675"/>
    <cellStyle name="Notas 2 5 2 3 7 2" xfId="33676"/>
    <cellStyle name="Notas 2 5 2 3 8" xfId="33677"/>
    <cellStyle name="Notas 2 5 2 3 8 2" xfId="33678"/>
    <cellStyle name="Notas 2 5 2 3 9" xfId="33679"/>
    <cellStyle name="Notas 2 5 2 3 9 2" xfId="33680"/>
    <cellStyle name="Notas 2 5 2 4" xfId="33681"/>
    <cellStyle name="Notas 2 5 2 4 2" xfId="33682"/>
    <cellStyle name="Notas 2 5 2 5" xfId="33683"/>
    <cellStyle name="Notas 2 5 2 5 2" xfId="33684"/>
    <cellStyle name="Notas 2 5 2 6" xfId="33685"/>
    <cellStyle name="Notas 2 5 2 6 2" xfId="33686"/>
    <cellStyle name="Notas 2 5 2 7" xfId="33687"/>
    <cellStyle name="Notas 2 5 2 7 2" xfId="33688"/>
    <cellStyle name="Notas 2 5 2 8" xfId="33689"/>
    <cellStyle name="Notas 2 5 2 8 2" xfId="33690"/>
    <cellStyle name="Notas 2 5 2 9" xfId="33691"/>
    <cellStyle name="Notas 2 5 2 9 2" xfId="33692"/>
    <cellStyle name="Notas 2 5 3" xfId="33693"/>
    <cellStyle name="Notas 2 5 3 10" xfId="33694"/>
    <cellStyle name="Notas 2 5 3 10 2" xfId="33695"/>
    <cellStyle name="Notas 2 5 3 11" xfId="33696"/>
    <cellStyle name="Notas 2 5 3 11 2" xfId="33697"/>
    <cellStyle name="Notas 2 5 3 12" xfId="33698"/>
    <cellStyle name="Notas 2 5 3 12 2" xfId="33699"/>
    <cellStyle name="Notas 2 5 3 13" xfId="33700"/>
    <cellStyle name="Notas 2 5 3 2" xfId="33701"/>
    <cellStyle name="Notas 2 5 3 2 10" xfId="33702"/>
    <cellStyle name="Notas 2 5 3 2 10 2" xfId="33703"/>
    <cellStyle name="Notas 2 5 3 2 11" xfId="33704"/>
    <cellStyle name="Notas 2 5 3 2 2" xfId="33705"/>
    <cellStyle name="Notas 2 5 3 2 2 2" xfId="33706"/>
    <cellStyle name="Notas 2 5 3 2 3" xfId="33707"/>
    <cellStyle name="Notas 2 5 3 2 3 2" xfId="33708"/>
    <cellStyle name="Notas 2 5 3 2 4" xfId="33709"/>
    <cellStyle name="Notas 2 5 3 2 4 2" xfId="33710"/>
    <cellStyle name="Notas 2 5 3 2 5" xfId="33711"/>
    <cellStyle name="Notas 2 5 3 2 5 2" xfId="33712"/>
    <cellStyle name="Notas 2 5 3 2 6" xfId="33713"/>
    <cellStyle name="Notas 2 5 3 2 6 2" xfId="33714"/>
    <cellStyle name="Notas 2 5 3 2 7" xfId="33715"/>
    <cellStyle name="Notas 2 5 3 2 7 2" xfId="33716"/>
    <cellStyle name="Notas 2 5 3 2 8" xfId="33717"/>
    <cellStyle name="Notas 2 5 3 2 8 2" xfId="33718"/>
    <cellStyle name="Notas 2 5 3 2 9" xfId="33719"/>
    <cellStyle name="Notas 2 5 3 2 9 2" xfId="33720"/>
    <cellStyle name="Notas 2 5 3 3" xfId="33721"/>
    <cellStyle name="Notas 2 5 3 3 10" xfId="33722"/>
    <cellStyle name="Notas 2 5 3 3 10 2" xfId="33723"/>
    <cellStyle name="Notas 2 5 3 3 11" xfId="33724"/>
    <cellStyle name="Notas 2 5 3 3 2" xfId="33725"/>
    <cellStyle name="Notas 2 5 3 3 2 2" xfId="33726"/>
    <cellStyle name="Notas 2 5 3 3 3" xfId="33727"/>
    <cellStyle name="Notas 2 5 3 3 3 2" xfId="33728"/>
    <cellStyle name="Notas 2 5 3 3 4" xfId="33729"/>
    <cellStyle name="Notas 2 5 3 3 4 2" xfId="33730"/>
    <cellStyle name="Notas 2 5 3 3 5" xfId="33731"/>
    <cellStyle name="Notas 2 5 3 3 5 2" xfId="33732"/>
    <cellStyle name="Notas 2 5 3 3 6" xfId="33733"/>
    <cellStyle name="Notas 2 5 3 3 6 2" xfId="33734"/>
    <cellStyle name="Notas 2 5 3 3 7" xfId="33735"/>
    <cellStyle name="Notas 2 5 3 3 7 2" xfId="33736"/>
    <cellStyle name="Notas 2 5 3 3 8" xfId="33737"/>
    <cellStyle name="Notas 2 5 3 3 8 2" xfId="33738"/>
    <cellStyle name="Notas 2 5 3 3 9" xfId="33739"/>
    <cellStyle name="Notas 2 5 3 3 9 2" xfId="33740"/>
    <cellStyle name="Notas 2 5 3 4" xfId="33741"/>
    <cellStyle name="Notas 2 5 3 4 2" xfId="33742"/>
    <cellStyle name="Notas 2 5 3 5" xfId="33743"/>
    <cellStyle name="Notas 2 5 3 5 2" xfId="33744"/>
    <cellStyle name="Notas 2 5 3 6" xfId="33745"/>
    <cellStyle name="Notas 2 5 3 6 2" xfId="33746"/>
    <cellStyle name="Notas 2 5 3 7" xfId="33747"/>
    <cellStyle name="Notas 2 5 3 7 2" xfId="33748"/>
    <cellStyle name="Notas 2 5 3 8" xfId="33749"/>
    <cellStyle name="Notas 2 5 3 8 2" xfId="33750"/>
    <cellStyle name="Notas 2 5 3 9" xfId="33751"/>
    <cellStyle name="Notas 2 5 3 9 2" xfId="33752"/>
    <cellStyle name="Notas 2 5 4" xfId="33753"/>
    <cellStyle name="Notas 2 5 4 10" xfId="33754"/>
    <cellStyle name="Notas 2 5 4 10 2" xfId="33755"/>
    <cellStyle name="Notas 2 5 4 11" xfId="33756"/>
    <cellStyle name="Notas 2 5 4 2" xfId="33757"/>
    <cellStyle name="Notas 2 5 4 2 2" xfId="33758"/>
    <cellStyle name="Notas 2 5 4 3" xfId="33759"/>
    <cellStyle name="Notas 2 5 4 3 2" xfId="33760"/>
    <cellStyle name="Notas 2 5 4 4" xfId="33761"/>
    <cellStyle name="Notas 2 5 4 4 2" xfId="33762"/>
    <cellStyle name="Notas 2 5 4 5" xfId="33763"/>
    <cellStyle name="Notas 2 5 4 5 2" xfId="33764"/>
    <cellStyle name="Notas 2 5 4 6" xfId="33765"/>
    <cellStyle name="Notas 2 5 4 6 2" xfId="33766"/>
    <cellStyle name="Notas 2 5 4 7" xfId="33767"/>
    <cellStyle name="Notas 2 5 4 7 2" xfId="33768"/>
    <cellStyle name="Notas 2 5 4 8" xfId="33769"/>
    <cellStyle name="Notas 2 5 4 8 2" xfId="33770"/>
    <cellStyle name="Notas 2 5 4 9" xfId="33771"/>
    <cellStyle name="Notas 2 5 4 9 2" xfId="33772"/>
    <cellStyle name="Notas 2 5 5" xfId="33773"/>
    <cellStyle name="Notas 2 5 5 10" xfId="33774"/>
    <cellStyle name="Notas 2 5 5 10 2" xfId="33775"/>
    <cellStyle name="Notas 2 5 5 11" xfId="33776"/>
    <cellStyle name="Notas 2 5 5 2" xfId="33777"/>
    <cellStyle name="Notas 2 5 5 2 2" xfId="33778"/>
    <cellStyle name="Notas 2 5 5 3" xfId="33779"/>
    <cellStyle name="Notas 2 5 5 3 2" xfId="33780"/>
    <cellStyle name="Notas 2 5 5 4" xfId="33781"/>
    <cellStyle name="Notas 2 5 5 4 2" xfId="33782"/>
    <cellStyle name="Notas 2 5 5 5" xfId="33783"/>
    <cellStyle name="Notas 2 5 5 5 2" xfId="33784"/>
    <cellStyle name="Notas 2 5 5 6" xfId="33785"/>
    <cellStyle name="Notas 2 5 5 6 2" xfId="33786"/>
    <cellStyle name="Notas 2 5 5 7" xfId="33787"/>
    <cellStyle name="Notas 2 5 5 7 2" xfId="33788"/>
    <cellStyle name="Notas 2 5 5 8" xfId="33789"/>
    <cellStyle name="Notas 2 5 5 8 2" xfId="33790"/>
    <cellStyle name="Notas 2 5 5 9" xfId="33791"/>
    <cellStyle name="Notas 2 5 5 9 2" xfId="33792"/>
    <cellStyle name="Notas 2 5 6" xfId="33793"/>
    <cellStyle name="Notas 2 5 6 2" xfId="33794"/>
    <cellStyle name="Notas 2 5 7" xfId="33795"/>
    <cellStyle name="Notas 2 5 7 2" xfId="33796"/>
    <cellStyle name="Notas 2 5 8" xfId="33797"/>
    <cellStyle name="Notas 2 5 8 2" xfId="33798"/>
    <cellStyle name="Notas 2 5 9" xfId="33799"/>
    <cellStyle name="Notas 2 5 9 2" xfId="33800"/>
    <cellStyle name="Notas 2 6" xfId="33801"/>
    <cellStyle name="Notas 2 6 10" xfId="33802"/>
    <cellStyle name="Notas 2 6 10 2" xfId="33803"/>
    <cellStyle name="Notas 2 6 11" xfId="33804"/>
    <cellStyle name="Notas 2 6 11 2" xfId="33805"/>
    <cellStyle name="Notas 2 6 12" xfId="33806"/>
    <cellStyle name="Notas 2 6 12 2" xfId="33807"/>
    <cellStyle name="Notas 2 6 13" xfId="33808"/>
    <cellStyle name="Notas 2 6 13 2" xfId="33809"/>
    <cellStyle name="Notas 2 6 14" xfId="33810"/>
    <cellStyle name="Notas 2 6 14 2" xfId="33811"/>
    <cellStyle name="Notas 2 6 15" xfId="33812"/>
    <cellStyle name="Notas 2 6 2" xfId="33813"/>
    <cellStyle name="Notas 2 6 2 10" xfId="33814"/>
    <cellStyle name="Notas 2 6 2 10 2" xfId="33815"/>
    <cellStyle name="Notas 2 6 2 11" xfId="33816"/>
    <cellStyle name="Notas 2 6 2 11 2" xfId="33817"/>
    <cellStyle name="Notas 2 6 2 12" xfId="33818"/>
    <cellStyle name="Notas 2 6 2 12 2" xfId="33819"/>
    <cellStyle name="Notas 2 6 2 13" xfId="33820"/>
    <cellStyle name="Notas 2 6 2 2" xfId="33821"/>
    <cellStyle name="Notas 2 6 2 2 10" xfId="33822"/>
    <cellStyle name="Notas 2 6 2 2 10 2" xfId="33823"/>
    <cellStyle name="Notas 2 6 2 2 11" xfId="33824"/>
    <cellStyle name="Notas 2 6 2 2 2" xfId="33825"/>
    <cellStyle name="Notas 2 6 2 2 2 2" xfId="33826"/>
    <cellStyle name="Notas 2 6 2 2 3" xfId="33827"/>
    <cellStyle name="Notas 2 6 2 2 3 2" xfId="33828"/>
    <cellStyle name="Notas 2 6 2 2 4" xfId="33829"/>
    <cellStyle name="Notas 2 6 2 2 4 2" xfId="33830"/>
    <cellStyle name="Notas 2 6 2 2 5" xfId="33831"/>
    <cellStyle name="Notas 2 6 2 2 5 2" xfId="33832"/>
    <cellStyle name="Notas 2 6 2 2 6" xfId="33833"/>
    <cellStyle name="Notas 2 6 2 2 6 2" xfId="33834"/>
    <cellStyle name="Notas 2 6 2 2 7" xfId="33835"/>
    <cellStyle name="Notas 2 6 2 2 7 2" xfId="33836"/>
    <cellStyle name="Notas 2 6 2 2 8" xfId="33837"/>
    <cellStyle name="Notas 2 6 2 2 8 2" xfId="33838"/>
    <cellStyle name="Notas 2 6 2 2 9" xfId="33839"/>
    <cellStyle name="Notas 2 6 2 2 9 2" xfId="33840"/>
    <cellStyle name="Notas 2 6 2 3" xfId="33841"/>
    <cellStyle name="Notas 2 6 2 3 10" xfId="33842"/>
    <cellStyle name="Notas 2 6 2 3 10 2" xfId="33843"/>
    <cellStyle name="Notas 2 6 2 3 11" xfId="33844"/>
    <cellStyle name="Notas 2 6 2 3 2" xfId="33845"/>
    <cellStyle name="Notas 2 6 2 3 2 2" xfId="33846"/>
    <cellStyle name="Notas 2 6 2 3 3" xfId="33847"/>
    <cellStyle name="Notas 2 6 2 3 3 2" xfId="33848"/>
    <cellStyle name="Notas 2 6 2 3 4" xfId="33849"/>
    <cellStyle name="Notas 2 6 2 3 4 2" xfId="33850"/>
    <cellStyle name="Notas 2 6 2 3 5" xfId="33851"/>
    <cellStyle name="Notas 2 6 2 3 5 2" xfId="33852"/>
    <cellStyle name="Notas 2 6 2 3 6" xfId="33853"/>
    <cellStyle name="Notas 2 6 2 3 6 2" xfId="33854"/>
    <cellStyle name="Notas 2 6 2 3 7" xfId="33855"/>
    <cellStyle name="Notas 2 6 2 3 7 2" xfId="33856"/>
    <cellStyle name="Notas 2 6 2 3 8" xfId="33857"/>
    <cellStyle name="Notas 2 6 2 3 8 2" xfId="33858"/>
    <cellStyle name="Notas 2 6 2 3 9" xfId="33859"/>
    <cellStyle name="Notas 2 6 2 3 9 2" xfId="33860"/>
    <cellStyle name="Notas 2 6 2 4" xfId="33861"/>
    <cellStyle name="Notas 2 6 2 4 2" xfId="33862"/>
    <cellStyle name="Notas 2 6 2 5" xfId="33863"/>
    <cellStyle name="Notas 2 6 2 5 2" xfId="33864"/>
    <cellStyle name="Notas 2 6 2 6" xfId="33865"/>
    <cellStyle name="Notas 2 6 2 6 2" xfId="33866"/>
    <cellStyle name="Notas 2 6 2 7" xfId="33867"/>
    <cellStyle name="Notas 2 6 2 7 2" xfId="33868"/>
    <cellStyle name="Notas 2 6 2 8" xfId="33869"/>
    <cellStyle name="Notas 2 6 2 8 2" xfId="33870"/>
    <cellStyle name="Notas 2 6 2 9" xfId="33871"/>
    <cellStyle name="Notas 2 6 2 9 2" xfId="33872"/>
    <cellStyle name="Notas 2 6 3" xfId="33873"/>
    <cellStyle name="Notas 2 6 3 10" xfId="33874"/>
    <cellStyle name="Notas 2 6 3 10 2" xfId="33875"/>
    <cellStyle name="Notas 2 6 3 11" xfId="33876"/>
    <cellStyle name="Notas 2 6 3 11 2" xfId="33877"/>
    <cellStyle name="Notas 2 6 3 12" xfId="33878"/>
    <cellStyle name="Notas 2 6 3 12 2" xfId="33879"/>
    <cellStyle name="Notas 2 6 3 13" xfId="33880"/>
    <cellStyle name="Notas 2 6 3 2" xfId="33881"/>
    <cellStyle name="Notas 2 6 3 2 10" xfId="33882"/>
    <cellStyle name="Notas 2 6 3 2 10 2" xfId="33883"/>
    <cellStyle name="Notas 2 6 3 2 11" xfId="33884"/>
    <cellStyle name="Notas 2 6 3 2 2" xfId="33885"/>
    <cellStyle name="Notas 2 6 3 2 2 2" xfId="33886"/>
    <cellStyle name="Notas 2 6 3 2 3" xfId="33887"/>
    <cellStyle name="Notas 2 6 3 2 3 2" xfId="33888"/>
    <cellStyle name="Notas 2 6 3 2 4" xfId="33889"/>
    <cellStyle name="Notas 2 6 3 2 4 2" xfId="33890"/>
    <cellStyle name="Notas 2 6 3 2 5" xfId="33891"/>
    <cellStyle name="Notas 2 6 3 2 5 2" xfId="33892"/>
    <cellStyle name="Notas 2 6 3 2 6" xfId="33893"/>
    <cellStyle name="Notas 2 6 3 2 6 2" xfId="33894"/>
    <cellStyle name="Notas 2 6 3 2 7" xfId="33895"/>
    <cellStyle name="Notas 2 6 3 2 7 2" xfId="33896"/>
    <cellStyle name="Notas 2 6 3 2 8" xfId="33897"/>
    <cellStyle name="Notas 2 6 3 2 8 2" xfId="33898"/>
    <cellStyle name="Notas 2 6 3 2 9" xfId="33899"/>
    <cellStyle name="Notas 2 6 3 2 9 2" xfId="33900"/>
    <cellStyle name="Notas 2 6 3 3" xfId="33901"/>
    <cellStyle name="Notas 2 6 3 3 10" xfId="33902"/>
    <cellStyle name="Notas 2 6 3 3 10 2" xfId="33903"/>
    <cellStyle name="Notas 2 6 3 3 11" xfId="33904"/>
    <cellStyle name="Notas 2 6 3 3 2" xfId="33905"/>
    <cellStyle name="Notas 2 6 3 3 2 2" xfId="33906"/>
    <cellStyle name="Notas 2 6 3 3 3" xfId="33907"/>
    <cellStyle name="Notas 2 6 3 3 3 2" xfId="33908"/>
    <cellStyle name="Notas 2 6 3 3 4" xfId="33909"/>
    <cellStyle name="Notas 2 6 3 3 4 2" xfId="33910"/>
    <cellStyle name="Notas 2 6 3 3 5" xfId="33911"/>
    <cellStyle name="Notas 2 6 3 3 5 2" xfId="33912"/>
    <cellStyle name="Notas 2 6 3 3 6" xfId="33913"/>
    <cellStyle name="Notas 2 6 3 3 6 2" xfId="33914"/>
    <cellStyle name="Notas 2 6 3 3 7" xfId="33915"/>
    <cellStyle name="Notas 2 6 3 3 7 2" xfId="33916"/>
    <cellStyle name="Notas 2 6 3 3 8" xfId="33917"/>
    <cellStyle name="Notas 2 6 3 3 8 2" xfId="33918"/>
    <cellStyle name="Notas 2 6 3 3 9" xfId="33919"/>
    <cellStyle name="Notas 2 6 3 3 9 2" xfId="33920"/>
    <cellStyle name="Notas 2 6 3 4" xfId="33921"/>
    <cellStyle name="Notas 2 6 3 4 2" xfId="33922"/>
    <cellStyle name="Notas 2 6 3 5" xfId="33923"/>
    <cellStyle name="Notas 2 6 3 5 2" xfId="33924"/>
    <cellStyle name="Notas 2 6 3 6" xfId="33925"/>
    <cellStyle name="Notas 2 6 3 6 2" xfId="33926"/>
    <cellStyle name="Notas 2 6 3 7" xfId="33927"/>
    <cellStyle name="Notas 2 6 3 7 2" xfId="33928"/>
    <cellStyle name="Notas 2 6 3 8" xfId="33929"/>
    <cellStyle name="Notas 2 6 3 8 2" xfId="33930"/>
    <cellStyle name="Notas 2 6 3 9" xfId="33931"/>
    <cellStyle name="Notas 2 6 3 9 2" xfId="33932"/>
    <cellStyle name="Notas 2 6 4" xfId="33933"/>
    <cellStyle name="Notas 2 6 4 10" xfId="33934"/>
    <cellStyle name="Notas 2 6 4 10 2" xfId="33935"/>
    <cellStyle name="Notas 2 6 4 11" xfId="33936"/>
    <cellStyle name="Notas 2 6 4 2" xfId="33937"/>
    <cellStyle name="Notas 2 6 4 2 2" xfId="33938"/>
    <cellStyle name="Notas 2 6 4 3" xfId="33939"/>
    <cellStyle name="Notas 2 6 4 3 2" xfId="33940"/>
    <cellStyle name="Notas 2 6 4 4" xfId="33941"/>
    <cellStyle name="Notas 2 6 4 4 2" xfId="33942"/>
    <cellStyle name="Notas 2 6 4 5" xfId="33943"/>
    <cellStyle name="Notas 2 6 4 5 2" xfId="33944"/>
    <cellStyle name="Notas 2 6 4 6" xfId="33945"/>
    <cellStyle name="Notas 2 6 4 6 2" xfId="33946"/>
    <cellStyle name="Notas 2 6 4 7" xfId="33947"/>
    <cellStyle name="Notas 2 6 4 7 2" xfId="33948"/>
    <cellStyle name="Notas 2 6 4 8" xfId="33949"/>
    <cellStyle name="Notas 2 6 4 8 2" xfId="33950"/>
    <cellStyle name="Notas 2 6 4 9" xfId="33951"/>
    <cellStyle name="Notas 2 6 4 9 2" xfId="33952"/>
    <cellStyle name="Notas 2 6 5" xfId="33953"/>
    <cellStyle name="Notas 2 6 5 10" xfId="33954"/>
    <cellStyle name="Notas 2 6 5 10 2" xfId="33955"/>
    <cellStyle name="Notas 2 6 5 11" xfId="33956"/>
    <cellStyle name="Notas 2 6 5 2" xfId="33957"/>
    <cellStyle name="Notas 2 6 5 2 2" xfId="33958"/>
    <cellStyle name="Notas 2 6 5 3" xfId="33959"/>
    <cellStyle name="Notas 2 6 5 3 2" xfId="33960"/>
    <cellStyle name="Notas 2 6 5 4" xfId="33961"/>
    <cellStyle name="Notas 2 6 5 4 2" xfId="33962"/>
    <cellStyle name="Notas 2 6 5 5" xfId="33963"/>
    <cellStyle name="Notas 2 6 5 5 2" xfId="33964"/>
    <cellStyle name="Notas 2 6 5 6" xfId="33965"/>
    <cellStyle name="Notas 2 6 5 6 2" xfId="33966"/>
    <cellStyle name="Notas 2 6 5 7" xfId="33967"/>
    <cellStyle name="Notas 2 6 5 7 2" xfId="33968"/>
    <cellStyle name="Notas 2 6 5 8" xfId="33969"/>
    <cellStyle name="Notas 2 6 5 8 2" xfId="33970"/>
    <cellStyle name="Notas 2 6 5 9" xfId="33971"/>
    <cellStyle name="Notas 2 6 5 9 2" xfId="33972"/>
    <cellStyle name="Notas 2 6 6" xfId="33973"/>
    <cellStyle name="Notas 2 6 6 2" xfId="33974"/>
    <cellStyle name="Notas 2 6 7" xfId="33975"/>
    <cellStyle name="Notas 2 6 7 2" xfId="33976"/>
    <cellStyle name="Notas 2 6 8" xfId="33977"/>
    <cellStyle name="Notas 2 6 8 2" xfId="33978"/>
    <cellStyle name="Notas 2 6 9" xfId="33979"/>
    <cellStyle name="Notas 2 6 9 2" xfId="33980"/>
    <cellStyle name="Notas 2 7" xfId="33981"/>
    <cellStyle name="Notas 2 7 10" xfId="33982"/>
    <cellStyle name="Notas 2 7 10 2" xfId="33983"/>
    <cellStyle name="Notas 2 7 11" xfId="33984"/>
    <cellStyle name="Notas 2 7 11 2" xfId="33985"/>
    <cellStyle name="Notas 2 7 12" xfId="33986"/>
    <cellStyle name="Notas 2 7 12 2" xfId="33987"/>
    <cellStyle name="Notas 2 7 13" xfId="33988"/>
    <cellStyle name="Notas 2 7 13 2" xfId="33989"/>
    <cellStyle name="Notas 2 7 14" xfId="33990"/>
    <cellStyle name="Notas 2 7 14 2" xfId="33991"/>
    <cellStyle name="Notas 2 7 15" xfId="33992"/>
    <cellStyle name="Notas 2 7 2" xfId="33993"/>
    <cellStyle name="Notas 2 7 2 10" xfId="33994"/>
    <cellStyle name="Notas 2 7 2 10 2" xfId="33995"/>
    <cellStyle name="Notas 2 7 2 11" xfId="33996"/>
    <cellStyle name="Notas 2 7 2 11 2" xfId="33997"/>
    <cellStyle name="Notas 2 7 2 12" xfId="33998"/>
    <cellStyle name="Notas 2 7 2 12 2" xfId="33999"/>
    <cellStyle name="Notas 2 7 2 13" xfId="34000"/>
    <cellStyle name="Notas 2 7 2 2" xfId="34001"/>
    <cellStyle name="Notas 2 7 2 2 10" xfId="34002"/>
    <cellStyle name="Notas 2 7 2 2 10 2" xfId="34003"/>
    <cellStyle name="Notas 2 7 2 2 11" xfId="34004"/>
    <cellStyle name="Notas 2 7 2 2 2" xfId="34005"/>
    <cellStyle name="Notas 2 7 2 2 2 2" xfId="34006"/>
    <cellStyle name="Notas 2 7 2 2 3" xfId="34007"/>
    <cellStyle name="Notas 2 7 2 2 3 2" xfId="34008"/>
    <cellStyle name="Notas 2 7 2 2 4" xfId="34009"/>
    <cellStyle name="Notas 2 7 2 2 4 2" xfId="34010"/>
    <cellStyle name="Notas 2 7 2 2 5" xfId="34011"/>
    <cellStyle name="Notas 2 7 2 2 5 2" xfId="34012"/>
    <cellStyle name="Notas 2 7 2 2 6" xfId="34013"/>
    <cellStyle name="Notas 2 7 2 2 6 2" xfId="34014"/>
    <cellStyle name="Notas 2 7 2 2 7" xfId="34015"/>
    <cellStyle name="Notas 2 7 2 2 7 2" xfId="34016"/>
    <cellStyle name="Notas 2 7 2 2 8" xfId="34017"/>
    <cellStyle name="Notas 2 7 2 2 8 2" xfId="34018"/>
    <cellStyle name="Notas 2 7 2 2 9" xfId="34019"/>
    <cellStyle name="Notas 2 7 2 2 9 2" xfId="34020"/>
    <cellStyle name="Notas 2 7 2 3" xfId="34021"/>
    <cellStyle name="Notas 2 7 2 3 10" xfId="34022"/>
    <cellStyle name="Notas 2 7 2 3 10 2" xfId="34023"/>
    <cellStyle name="Notas 2 7 2 3 11" xfId="34024"/>
    <cellStyle name="Notas 2 7 2 3 2" xfId="34025"/>
    <cellStyle name="Notas 2 7 2 3 2 2" xfId="34026"/>
    <cellStyle name="Notas 2 7 2 3 3" xfId="34027"/>
    <cellStyle name="Notas 2 7 2 3 3 2" xfId="34028"/>
    <cellStyle name="Notas 2 7 2 3 4" xfId="34029"/>
    <cellStyle name="Notas 2 7 2 3 4 2" xfId="34030"/>
    <cellStyle name="Notas 2 7 2 3 5" xfId="34031"/>
    <cellStyle name="Notas 2 7 2 3 5 2" xfId="34032"/>
    <cellStyle name="Notas 2 7 2 3 6" xfId="34033"/>
    <cellStyle name="Notas 2 7 2 3 6 2" xfId="34034"/>
    <cellStyle name="Notas 2 7 2 3 7" xfId="34035"/>
    <cellStyle name="Notas 2 7 2 3 7 2" xfId="34036"/>
    <cellStyle name="Notas 2 7 2 3 8" xfId="34037"/>
    <cellStyle name="Notas 2 7 2 3 8 2" xfId="34038"/>
    <cellStyle name="Notas 2 7 2 3 9" xfId="34039"/>
    <cellStyle name="Notas 2 7 2 3 9 2" xfId="34040"/>
    <cellStyle name="Notas 2 7 2 4" xfId="34041"/>
    <cellStyle name="Notas 2 7 2 4 2" xfId="34042"/>
    <cellStyle name="Notas 2 7 2 5" xfId="34043"/>
    <cellStyle name="Notas 2 7 2 5 2" xfId="34044"/>
    <cellStyle name="Notas 2 7 2 6" xfId="34045"/>
    <cellStyle name="Notas 2 7 2 6 2" xfId="34046"/>
    <cellStyle name="Notas 2 7 2 7" xfId="34047"/>
    <cellStyle name="Notas 2 7 2 7 2" xfId="34048"/>
    <cellStyle name="Notas 2 7 2 8" xfId="34049"/>
    <cellStyle name="Notas 2 7 2 8 2" xfId="34050"/>
    <cellStyle name="Notas 2 7 2 9" xfId="34051"/>
    <cellStyle name="Notas 2 7 2 9 2" xfId="34052"/>
    <cellStyle name="Notas 2 7 3" xfId="34053"/>
    <cellStyle name="Notas 2 7 3 10" xfId="34054"/>
    <cellStyle name="Notas 2 7 3 10 2" xfId="34055"/>
    <cellStyle name="Notas 2 7 3 11" xfId="34056"/>
    <cellStyle name="Notas 2 7 3 11 2" xfId="34057"/>
    <cellStyle name="Notas 2 7 3 12" xfId="34058"/>
    <cellStyle name="Notas 2 7 3 12 2" xfId="34059"/>
    <cellStyle name="Notas 2 7 3 13" xfId="34060"/>
    <cellStyle name="Notas 2 7 3 2" xfId="34061"/>
    <cellStyle name="Notas 2 7 3 2 10" xfId="34062"/>
    <cellStyle name="Notas 2 7 3 2 10 2" xfId="34063"/>
    <cellStyle name="Notas 2 7 3 2 11" xfId="34064"/>
    <cellStyle name="Notas 2 7 3 2 2" xfId="34065"/>
    <cellStyle name="Notas 2 7 3 2 2 2" xfId="34066"/>
    <cellStyle name="Notas 2 7 3 2 3" xfId="34067"/>
    <cellStyle name="Notas 2 7 3 2 3 2" xfId="34068"/>
    <cellStyle name="Notas 2 7 3 2 4" xfId="34069"/>
    <cellStyle name="Notas 2 7 3 2 4 2" xfId="34070"/>
    <cellStyle name="Notas 2 7 3 2 5" xfId="34071"/>
    <cellStyle name="Notas 2 7 3 2 5 2" xfId="34072"/>
    <cellStyle name="Notas 2 7 3 2 6" xfId="34073"/>
    <cellStyle name="Notas 2 7 3 2 6 2" xfId="34074"/>
    <cellStyle name="Notas 2 7 3 2 7" xfId="34075"/>
    <cellStyle name="Notas 2 7 3 2 7 2" xfId="34076"/>
    <cellStyle name="Notas 2 7 3 2 8" xfId="34077"/>
    <cellStyle name="Notas 2 7 3 2 8 2" xfId="34078"/>
    <cellStyle name="Notas 2 7 3 2 9" xfId="34079"/>
    <cellStyle name="Notas 2 7 3 2 9 2" xfId="34080"/>
    <cellStyle name="Notas 2 7 3 3" xfId="34081"/>
    <cellStyle name="Notas 2 7 3 3 10" xfId="34082"/>
    <cellStyle name="Notas 2 7 3 3 10 2" xfId="34083"/>
    <cellStyle name="Notas 2 7 3 3 11" xfId="34084"/>
    <cellStyle name="Notas 2 7 3 3 2" xfId="34085"/>
    <cellStyle name="Notas 2 7 3 3 2 2" xfId="34086"/>
    <cellStyle name="Notas 2 7 3 3 3" xfId="34087"/>
    <cellStyle name="Notas 2 7 3 3 3 2" xfId="34088"/>
    <cellStyle name="Notas 2 7 3 3 4" xfId="34089"/>
    <cellStyle name="Notas 2 7 3 3 4 2" xfId="34090"/>
    <cellStyle name="Notas 2 7 3 3 5" xfId="34091"/>
    <cellStyle name="Notas 2 7 3 3 5 2" xfId="34092"/>
    <cellStyle name="Notas 2 7 3 3 6" xfId="34093"/>
    <cellStyle name="Notas 2 7 3 3 6 2" xfId="34094"/>
    <cellStyle name="Notas 2 7 3 3 7" xfId="34095"/>
    <cellStyle name="Notas 2 7 3 3 7 2" xfId="34096"/>
    <cellStyle name="Notas 2 7 3 3 8" xfId="34097"/>
    <cellStyle name="Notas 2 7 3 3 8 2" xfId="34098"/>
    <cellStyle name="Notas 2 7 3 3 9" xfId="34099"/>
    <cellStyle name="Notas 2 7 3 3 9 2" xfId="34100"/>
    <cellStyle name="Notas 2 7 3 4" xfId="34101"/>
    <cellStyle name="Notas 2 7 3 4 2" xfId="34102"/>
    <cellStyle name="Notas 2 7 3 5" xfId="34103"/>
    <cellStyle name="Notas 2 7 3 5 2" xfId="34104"/>
    <cellStyle name="Notas 2 7 3 6" xfId="34105"/>
    <cellStyle name="Notas 2 7 3 6 2" xfId="34106"/>
    <cellStyle name="Notas 2 7 3 7" xfId="34107"/>
    <cellStyle name="Notas 2 7 3 7 2" xfId="34108"/>
    <cellStyle name="Notas 2 7 3 8" xfId="34109"/>
    <cellStyle name="Notas 2 7 3 8 2" xfId="34110"/>
    <cellStyle name="Notas 2 7 3 9" xfId="34111"/>
    <cellStyle name="Notas 2 7 3 9 2" xfId="34112"/>
    <cellStyle name="Notas 2 7 4" xfId="34113"/>
    <cellStyle name="Notas 2 7 4 10" xfId="34114"/>
    <cellStyle name="Notas 2 7 4 10 2" xfId="34115"/>
    <cellStyle name="Notas 2 7 4 11" xfId="34116"/>
    <cellStyle name="Notas 2 7 4 2" xfId="34117"/>
    <cellStyle name="Notas 2 7 4 2 2" xfId="34118"/>
    <cellStyle name="Notas 2 7 4 3" xfId="34119"/>
    <cellStyle name="Notas 2 7 4 3 2" xfId="34120"/>
    <cellStyle name="Notas 2 7 4 4" xfId="34121"/>
    <cellStyle name="Notas 2 7 4 4 2" xfId="34122"/>
    <cellStyle name="Notas 2 7 4 5" xfId="34123"/>
    <cellStyle name="Notas 2 7 4 5 2" xfId="34124"/>
    <cellStyle name="Notas 2 7 4 6" xfId="34125"/>
    <cellStyle name="Notas 2 7 4 6 2" xfId="34126"/>
    <cellStyle name="Notas 2 7 4 7" xfId="34127"/>
    <cellStyle name="Notas 2 7 4 7 2" xfId="34128"/>
    <cellStyle name="Notas 2 7 4 8" xfId="34129"/>
    <cellStyle name="Notas 2 7 4 8 2" xfId="34130"/>
    <cellStyle name="Notas 2 7 4 9" xfId="34131"/>
    <cellStyle name="Notas 2 7 4 9 2" xfId="34132"/>
    <cellStyle name="Notas 2 7 5" xfId="34133"/>
    <cellStyle name="Notas 2 7 5 10" xfId="34134"/>
    <cellStyle name="Notas 2 7 5 10 2" xfId="34135"/>
    <cellStyle name="Notas 2 7 5 11" xfId="34136"/>
    <cellStyle name="Notas 2 7 5 2" xfId="34137"/>
    <cellStyle name="Notas 2 7 5 2 2" xfId="34138"/>
    <cellStyle name="Notas 2 7 5 3" xfId="34139"/>
    <cellStyle name="Notas 2 7 5 3 2" xfId="34140"/>
    <cellStyle name="Notas 2 7 5 4" xfId="34141"/>
    <cellStyle name="Notas 2 7 5 4 2" xfId="34142"/>
    <cellStyle name="Notas 2 7 5 5" xfId="34143"/>
    <cellStyle name="Notas 2 7 5 5 2" xfId="34144"/>
    <cellStyle name="Notas 2 7 5 6" xfId="34145"/>
    <cellStyle name="Notas 2 7 5 6 2" xfId="34146"/>
    <cellStyle name="Notas 2 7 5 7" xfId="34147"/>
    <cellStyle name="Notas 2 7 5 7 2" xfId="34148"/>
    <cellStyle name="Notas 2 7 5 8" xfId="34149"/>
    <cellStyle name="Notas 2 7 5 8 2" xfId="34150"/>
    <cellStyle name="Notas 2 7 5 9" xfId="34151"/>
    <cellStyle name="Notas 2 7 5 9 2" xfId="34152"/>
    <cellStyle name="Notas 2 7 6" xfId="34153"/>
    <cellStyle name="Notas 2 7 6 2" xfId="34154"/>
    <cellStyle name="Notas 2 7 7" xfId="34155"/>
    <cellStyle name="Notas 2 7 7 2" xfId="34156"/>
    <cellStyle name="Notas 2 7 8" xfId="34157"/>
    <cellStyle name="Notas 2 7 8 2" xfId="34158"/>
    <cellStyle name="Notas 2 7 9" xfId="34159"/>
    <cellStyle name="Notas 2 7 9 2" xfId="34160"/>
    <cellStyle name="Notas 2 8" xfId="34161"/>
    <cellStyle name="Notas 2 8 10" xfId="34162"/>
    <cellStyle name="Notas 2 8 10 2" xfId="34163"/>
    <cellStyle name="Notas 2 8 11" xfId="34164"/>
    <cellStyle name="Notas 2 8 11 2" xfId="34165"/>
    <cellStyle name="Notas 2 8 12" xfId="34166"/>
    <cellStyle name="Notas 2 8 12 2" xfId="34167"/>
    <cellStyle name="Notas 2 8 13" xfId="34168"/>
    <cellStyle name="Notas 2 8 13 2" xfId="34169"/>
    <cellStyle name="Notas 2 8 14" xfId="34170"/>
    <cellStyle name="Notas 2 8 14 2" xfId="34171"/>
    <cellStyle name="Notas 2 8 15" xfId="34172"/>
    <cellStyle name="Notas 2 8 2" xfId="34173"/>
    <cellStyle name="Notas 2 8 2 10" xfId="34174"/>
    <cellStyle name="Notas 2 8 2 10 2" xfId="34175"/>
    <cellStyle name="Notas 2 8 2 11" xfId="34176"/>
    <cellStyle name="Notas 2 8 2 11 2" xfId="34177"/>
    <cellStyle name="Notas 2 8 2 12" xfId="34178"/>
    <cellStyle name="Notas 2 8 2 12 2" xfId="34179"/>
    <cellStyle name="Notas 2 8 2 13" xfId="34180"/>
    <cellStyle name="Notas 2 8 2 2" xfId="34181"/>
    <cellStyle name="Notas 2 8 2 2 10" xfId="34182"/>
    <cellStyle name="Notas 2 8 2 2 10 2" xfId="34183"/>
    <cellStyle name="Notas 2 8 2 2 11" xfId="34184"/>
    <cellStyle name="Notas 2 8 2 2 2" xfId="34185"/>
    <cellStyle name="Notas 2 8 2 2 2 2" xfId="34186"/>
    <cellStyle name="Notas 2 8 2 2 3" xfId="34187"/>
    <cellStyle name="Notas 2 8 2 2 3 2" xfId="34188"/>
    <cellStyle name="Notas 2 8 2 2 4" xfId="34189"/>
    <cellStyle name="Notas 2 8 2 2 4 2" xfId="34190"/>
    <cellStyle name="Notas 2 8 2 2 5" xfId="34191"/>
    <cellStyle name="Notas 2 8 2 2 5 2" xfId="34192"/>
    <cellStyle name="Notas 2 8 2 2 6" xfId="34193"/>
    <cellStyle name="Notas 2 8 2 2 6 2" xfId="34194"/>
    <cellStyle name="Notas 2 8 2 2 7" xfId="34195"/>
    <cellStyle name="Notas 2 8 2 2 7 2" xfId="34196"/>
    <cellStyle name="Notas 2 8 2 2 8" xfId="34197"/>
    <cellStyle name="Notas 2 8 2 2 8 2" xfId="34198"/>
    <cellStyle name="Notas 2 8 2 2 9" xfId="34199"/>
    <cellStyle name="Notas 2 8 2 2 9 2" xfId="34200"/>
    <cellStyle name="Notas 2 8 2 3" xfId="34201"/>
    <cellStyle name="Notas 2 8 2 3 10" xfId="34202"/>
    <cellStyle name="Notas 2 8 2 3 10 2" xfId="34203"/>
    <cellStyle name="Notas 2 8 2 3 11" xfId="34204"/>
    <cellStyle name="Notas 2 8 2 3 2" xfId="34205"/>
    <cellStyle name="Notas 2 8 2 3 2 2" xfId="34206"/>
    <cellStyle name="Notas 2 8 2 3 3" xfId="34207"/>
    <cellStyle name="Notas 2 8 2 3 3 2" xfId="34208"/>
    <cellStyle name="Notas 2 8 2 3 4" xfId="34209"/>
    <cellStyle name="Notas 2 8 2 3 4 2" xfId="34210"/>
    <cellStyle name="Notas 2 8 2 3 5" xfId="34211"/>
    <cellStyle name="Notas 2 8 2 3 5 2" xfId="34212"/>
    <cellStyle name="Notas 2 8 2 3 6" xfId="34213"/>
    <cellStyle name="Notas 2 8 2 3 6 2" xfId="34214"/>
    <cellStyle name="Notas 2 8 2 3 7" xfId="34215"/>
    <cellStyle name="Notas 2 8 2 3 7 2" xfId="34216"/>
    <cellStyle name="Notas 2 8 2 3 8" xfId="34217"/>
    <cellStyle name="Notas 2 8 2 3 8 2" xfId="34218"/>
    <cellStyle name="Notas 2 8 2 3 9" xfId="34219"/>
    <cellStyle name="Notas 2 8 2 3 9 2" xfId="34220"/>
    <cellStyle name="Notas 2 8 2 4" xfId="34221"/>
    <cellStyle name="Notas 2 8 2 4 2" xfId="34222"/>
    <cellStyle name="Notas 2 8 2 5" xfId="34223"/>
    <cellStyle name="Notas 2 8 2 5 2" xfId="34224"/>
    <cellStyle name="Notas 2 8 2 6" xfId="34225"/>
    <cellStyle name="Notas 2 8 2 6 2" xfId="34226"/>
    <cellStyle name="Notas 2 8 2 7" xfId="34227"/>
    <cellStyle name="Notas 2 8 2 7 2" xfId="34228"/>
    <cellStyle name="Notas 2 8 2 8" xfId="34229"/>
    <cellStyle name="Notas 2 8 2 8 2" xfId="34230"/>
    <cellStyle name="Notas 2 8 2 9" xfId="34231"/>
    <cellStyle name="Notas 2 8 2 9 2" xfId="34232"/>
    <cellStyle name="Notas 2 8 3" xfId="34233"/>
    <cellStyle name="Notas 2 8 3 10" xfId="34234"/>
    <cellStyle name="Notas 2 8 3 10 2" xfId="34235"/>
    <cellStyle name="Notas 2 8 3 11" xfId="34236"/>
    <cellStyle name="Notas 2 8 3 11 2" xfId="34237"/>
    <cellStyle name="Notas 2 8 3 12" xfId="34238"/>
    <cellStyle name="Notas 2 8 3 12 2" xfId="34239"/>
    <cellStyle name="Notas 2 8 3 13" xfId="34240"/>
    <cellStyle name="Notas 2 8 3 2" xfId="34241"/>
    <cellStyle name="Notas 2 8 3 2 10" xfId="34242"/>
    <cellStyle name="Notas 2 8 3 2 10 2" xfId="34243"/>
    <cellStyle name="Notas 2 8 3 2 11" xfId="34244"/>
    <cellStyle name="Notas 2 8 3 2 2" xfId="34245"/>
    <cellStyle name="Notas 2 8 3 2 2 2" xfId="34246"/>
    <cellStyle name="Notas 2 8 3 2 3" xfId="34247"/>
    <cellStyle name="Notas 2 8 3 2 3 2" xfId="34248"/>
    <cellStyle name="Notas 2 8 3 2 4" xfId="34249"/>
    <cellStyle name="Notas 2 8 3 2 4 2" xfId="34250"/>
    <cellStyle name="Notas 2 8 3 2 5" xfId="34251"/>
    <cellStyle name="Notas 2 8 3 2 5 2" xfId="34252"/>
    <cellStyle name="Notas 2 8 3 2 6" xfId="34253"/>
    <cellStyle name="Notas 2 8 3 2 6 2" xfId="34254"/>
    <cellStyle name="Notas 2 8 3 2 7" xfId="34255"/>
    <cellStyle name="Notas 2 8 3 2 7 2" xfId="34256"/>
    <cellStyle name="Notas 2 8 3 2 8" xfId="34257"/>
    <cellStyle name="Notas 2 8 3 2 8 2" xfId="34258"/>
    <cellStyle name="Notas 2 8 3 2 9" xfId="34259"/>
    <cellStyle name="Notas 2 8 3 2 9 2" xfId="34260"/>
    <cellStyle name="Notas 2 8 3 3" xfId="34261"/>
    <cellStyle name="Notas 2 8 3 3 10" xfId="34262"/>
    <cellStyle name="Notas 2 8 3 3 10 2" xfId="34263"/>
    <cellStyle name="Notas 2 8 3 3 11" xfId="34264"/>
    <cellStyle name="Notas 2 8 3 3 2" xfId="34265"/>
    <cellStyle name="Notas 2 8 3 3 2 2" xfId="34266"/>
    <cellStyle name="Notas 2 8 3 3 3" xfId="34267"/>
    <cellStyle name="Notas 2 8 3 3 3 2" xfId="34268"/>
    <cellStyle name="Notas 2 8 3 3 4" xfId="34269"/>
    <cellStyle name="Notas 2 8 3 3 4 2" xfId="34270"/>
    <cellStyle name="Notas 2 8 3 3 5" xfId="34271"/>
    <cellStyle name="Notas 2 8 3 3 5 2" xfId="34272"/>
    <cellStyle name="Notas 2 8 3 3 6" xfId="34273"/>
    <cellStyle name="Notas 2 8 3 3 6 2" xfId="34274"/>
    <cellStyle name="Notas 2 8 3 3 7" xfId="34275"/>
    <cellStyle name="Notas 2 8 3 3 7 2" xfId="34276"/>
    <cellStyle name="Notas 2 8 3 3 8" xfId="34277"/>
    <cellStyle name="Notas 2 8 3 3 8 2" xfId="34278"/>
    <cellStyle name="Notas 2 8 3 3 9" xfId="34279"/>
    <cellStyle name="Notas 2 8 3 3 9 2" xfId="34280"/>
    <cellStyle name="Notas 2 8 3 4" xfId="34281"/>
    <cellStyle name="Notas 2 8 3 4 2" xfId="34282"/>
    <cellStyle name="Notas 2 8 3 5" xfId="34283"/>
    <cellStyle name="Notas 2 8 3 5 2" xfId="34284"/>
    <cellStyle name="Notas 2 8 3 6" xfId="34285"/>
    <cellStyle name="Notas 2 8 3 6 2" xfId="34286"/>
    <cellStyle name="Notas 2 8 3 7" xfId="34287"/>
    <cellStyle name="Notas 2 8 3 7 2" xfId="34288"/>
    <cellStyle name="Notas 2 8 3 8" xfId="34289"/>
    <cellStyle name="Notas 2 8 3 8 2" xfId="34290"/>
    <cellStyle name="Notas 2 8 3 9" xfId="34291"/>
    <cellStyle name="Notas 2 8 3 9 2" xfId="34292"/>
    <cellStyle name="Notas 2 8 4" xfId="34293"/>
    <cellStyle name="Notas 2 8 4 10" xfId="34294"/>
    <cellStyle name="Notas 2 8 4 10 2" xfId="34295"/>
    <cellStyle name="Notas 2 8 4 11" xfId="34296"/>
    <cellStyle name="Notas 2 8 4 2" xfId="34297"/>
    <cellStyle name="Notas 2 8 4 2 2" xfId="34298"/>
    <cellStyle name="Notas 2 8 4 3" xfId="34299"/>
    <cellStyle name="Notas 2 8 4 3 2" xfId="34300"/>
    <cellStyle name="Notas 2 8 4 4" xfId="34301"/>
    <cellStyle name="Notas 2 8 4 4 2" xfId="34302"/>
    <cellStyle name="Notas 2 8 4 5" xfId="34303"/>
    <cellStyle name="Notas 2 8 4 5 2" xfId="34304"/>
    <cellStyle name="Notas 2 8 4 6" xfId="34305"/>
    <cellStyle name="Notas 2 8 4 6 2" xfId="34306"/>
    <cellStyle name="Notas 2 8 4 7" xfId="34307"/>
    <cellStyle name="Notas 2 8 4 7 2" xfId="34308"/>
    <cellStyle name="Notas 2 8 4 8" xfId="34309"/>
    <cellStyle name="Notas 2 8 4 8 2" xfId="34310"/>
    <cellStyle name="Notas 2 8 4 9" xfId="34311"/>
    <cellStyle name="Notas 2 8 4 9 2" xfId="34312"/>
    <cellStyle name="Notas 2 8 5" xfId="34313"/>
    <cellStyle name="Notas 2 8 5 10" xfId="34314"/>
    <cellStyle name="Notas 2 8 5 10 2" xfId="34315"/>
    <cellStyle name="Notas 2 8 5 11" xfId="34316"/>
    <cellStyle name="Notas 2 8 5 2" xfId="34317"/>
    <cellStyle name="Notas 2 8 5 2 2" xfId="34318"/>
    <cellStyle name="Notas 2 8 5 3" xfId="34319"/>
    <cellStyle name="Notas 2 8 5 3 2" xfId="34320"/>
    <cellStyle name="Notas 2 8 5 4" xfId="34321"/>
    <cellStyle name="Notas 2 8 5 4 2" xfId="34322"/>
    <cellStyle name="Notas 2 8 5 5" xfId="34323"/>
    <cellStyle name="Notas 2 8 5 5 2" xfId="34324"/>
    <cellStyle name="Notas 2 8 5 6" xfId="34325"/>
    <cellStyle name="Notas 2 8 5 6 2" xfId="34326"/>
    <cellStyle name="Notas 2 8 5 7" xfId="34327"/>
    <cellStyle name="Notas 2 8 5 7 2" xfId="34328"/>
    <cellStyle name="Notas 2 8 5 8" xfId="34329"/>
    <cellStyle name="Notas 2 8 5 8 2" xfId="34330"/>
    <cellStyle name="Notas 2 8 5 9" xfId="34331"/>
    <cellStyle name="Notas 2 8 5 9 2" xfId="34332"/>
    <cellStyle name="Notas 2 8 6" xfId="34333"/>
    <cellStyle name="Notas 2 8 6 2" xfId="34334"/>
    <cellStyle name="Notas 2 8 7" xfId="34335"/>
    <cellStyle name="Notas 2 8 7 2" xfId="34336"/>
    <cellStyle name="Notas 2 8 8" xfId="34337"/>
    <cellStyle name="Notas 2 8 8 2" xfId="34338"/>
    <cellStyle name="Notas 2 8 9" xfId="34339"/>
    <cellStyle name="Notas 2 8 9 2" xfId="34340"/>
    <cellStyle name="Notas 2 9" xfId="34341"/>
    <cellStyle name="Notas 2 9 10" xfId="34342"/>
    <cellStyle name="Notas 2 9 10 2" xfId="34343"/>
    <cellStyle name="Notas 2 9 11" xfId="34344"/>
    <cellStyle name="Notas 2 9 11 2" xfId="34345"/>
    <cellStyle name="Notas 2 9 12" xfId="34346"/>
    <cellStyle name="Notas 2 9 12 2" xfId="34347"/>
    <cellStyle name="Notas 2 9 13" xfId="34348"/>
    <cellStyle name="Notas 2 9 2" xfId="34349"/>
    <cellStyle name="Notas 2 9 2 10" xfId="34350"/>
    <cellStyle name="Notas 2 9 2 10 2" xfId="34351"/>
    <cellStyle name="Notas 2 9 2 11" xfId="34352"/>
    <cellStyle name="Notas 2 9 2 2" xfId="34353"/>
    <cellStyle name="Notas 2 9 2 2 2" xfId="34354"/>
    <cellStyle name="Notas 2 9 2 3" xfId="34355"/>
    <cellStyle name="Notas 2 9 2 3 2" xfId="34356"/>
    <cellStyle name="Notas 2 9 2 4" xfId="34357"/>
    <cellStyle name="Notas 2 9 2 4 2" xfId="34358"/>
    <cellStyle name="Notas 2 9 2 5" xfId="34359"/>
    <cellStyle name="Notas 2 9 2 5 2" xfId="34360"/>
    <cellStyle name="Notas 2 9 2 6" xfId="34361"/>
    <cellStyle name="Notas 2 9 2 6 2" xfId="34362"/>
    <cellStyle name="Notas 2 9 2 7" xfId="34363"/>
    <cellStyle name="Notas 2 9 2 7 2" xfId="34364"/>
    <cellStyle name="Notas 2 9 2 8" xfId="34365"/>
    <cellStyle name="Notas 2 9 2 8 2" xfId="34366"/>
    <cellStyle name="Notas 2 9 2 9" xfId="34367"/>
    <cellStyle name="Notas 2 9 2 9 2" xfId="34368"/>
    <cellStyle name="Notas 2 9 3" xfId="34369"/>
    <cellStyle name="Notas 2 9 3 10" xfId="34370"/>
    <cellStyle name="Notas 2 9 3 10 2" xfId="34371"/>
    <cellStyle name="Notas 2 9 3 11" xfId="34372"/>
    <cellStyle name="Notas 2 9 3 2" xfId="34373"/>
    <cellStyle name="Notas 2 9 3 2 2" xfId="34374"/>
    <cellStyle name="Notas 2 9 3 3" xfId="34375"/>
    <cellStyle name="Notas 2 9 3 3 2" xfId="34376"/>
    <cellStyle name="Notas 2 9 3 4" xfId="34377"/>
    <cellStyle name="Notas 2 9 3 4 2" xfId="34378"/>
    <cellStyle name="Notas 2 9 3 5" xfId="34379"/>
    <cellStyle name="Notas 2 9 3 5 2" xfId="34380"/>
    <cellStyle name="Notas 2 9 3 6" xfId="34381"/>
    <cellStyle name="Notas 2 9 3 6 2" xfId="34382"/>
    <cellStyle name="Notas 2 9 3 7" xfId="34383"/>
    <cellStyle name="Notas 2 9 3 7 2" xfId="34384"/>
    <cellStyle name="Notas 2 9 3 8" xfId="34385"/>
    <cellStyle name="Notas 2 9 3 8 2" xfId="34386"/>
    <cellStyle name="Notas 2 9 3 9" xfId="34387"/>
    <cellStyle name="Notas 2 9 3 9 2" xfId="34388"/>
    <cellStyle name="Notas 2 9 4" xfId="34389"/>
    <cellStyle name="Notas 2 9 4 2" xfId="34390"/>
    <cellStyle name="Notas 2 9 5" xfId="34391"/>
    <cellStyle name="Notas 2 9 5 2" xfId="34392"/>
    <cellStyle name="Notas 2 9 6" xfId="34393"/>
    <cellStyle name="Notas 2 9 6 2" xfId="34394"/>
    <cellStyle name="Notas 2 9 7" xfId="34395"/>
    <cellStyle name="Notas 2 9 7 2" xfId="34396"/>
    <cellStyle name="Notas 2 9 8" xfId="34397"/>
    <cellStyle name="Notas 2 9 8 2" xfId="34398"/>
    <cellStyle name="Notas 2 9 9" xfId="34399"/>
    <cellStyle name="Notas 2 9 9 2" xfId="34400"/>
    <cellStyle name="Notas 3" xfId="34401"/>
    <cellStyle name="Notas 3 10" xfId="34402"/>
    <cellStyle name="Notas 3 10 2" xfId="34403"/>
    <cellStyle name="Notas 3 11" xfId="34404"/>
    <cellStyle name="Notas 3 11 2" xfId="34405"/>
    <cellStyle name="Notas 3 12" xfId="34406"/>
    <cellStyle name="Notas 3 12 2" xfId="34407"/>
    <cellStyle name="Notas 3 13" xfId="34408"/>
    <cellStyle name="Notas 3 13 2" xfId="34409"/>
    <cellStyle name="Notas 3 14" xfId="34410"/>
    <cellStyle name="Notas 3 14 2" xfId="34411"/>
    <cellStyle name="Notas 3 15" xfId="34412"/>
    <cellStyle name="Notas 3 15 2" xfId="34413"/>
    <cellStyle name="Notas 3 16" xfId="34414"/>
    <cellStyle name="Notas 3 16 2" xfId="34415"/>
    <cellStyle name="Notas 3 17" xfId="34416"/>
    <cellStyle name="Notas 3 18" xfId="34417"/>
    <cellStyle name="Notas 3 19" xfId="34418"/>
    <cellStyle name="Notas 3 2" xfId="34419"/>
    <cellStyle name="Notas 3 2 10" xfId="34420"/>
    <cellStyle name="Notas 3 2 10 2" xfId="34421"/>
    <cellStyle name="Notas 3 2 11" xfId="34422"/>
    <cellStyle name="Notas 3 2 11 2" xfId="34423"/>
    <cellStyle name="Notas 3 2 12" xfId="34424"/>
    <cellStyle name="Notas 3 2 12 2" xfId="34425"/>
    <cellStyle name="Notas 3 2 13" xfId="34426"/>
    <cellStyle name="Notas 3 2 13 2" xfId="34427"/>
    <cellStyle name="Notas 3 2 14" xfId="34428"/>
    <cellStyle name="Notas 3 2 14 2" xfId="34429"/>
    <cellStyle name="Notas 3 2 15" xfId="34430"/>
    <cellStyle name="Notas 3 2 2" xfId="34431"/>
    <cellStyle name="Notas 3 2 2 10" xfId="34432"/>
    <cellStyle name="Notas 3 2 2 10 2" xfId="34433"/>
    <cellStyle name="Notas 3 2 2 11" xfId="34434"/>
    <cellStyle name="Notas 3 2 2 11 2" xfId="34435"/>
    <cellStyle name="Notas 3 2 2 12" xfId="34436"/>
    <cellStyle name="Notas 3 2 2 12 2" xfId="34437"/>
    <cellStyle name="Notas 3 2 2 13" xfId="34438"/>
    <cellStyle name="Notas 3 2 2 2" xfId="34439"/>
    <cellStyle name="Notas 3 2 2 2 10" xfId="34440"/>
    <cellStyle name="Notas 3 2 2 2 10 2" xfId="34441"/>
    <cellStyle name="Notas 3 2 2 2 11" xfId="34442"/>
    <cellStyle name="Notas 3 2 2 2 2" xfId="34443"/>
    <cellStyle name="Notas 3 2 2 2 2 2" xfId="34444"/>
    <cellStyle name="Notas 3 2 2 2 3" xfId="34445"/>
    <cellStyle name="Notas 3 2 2 2 3 2" xfId="34446"/>
    <cellStyle name="Notas 3 2 2 2 4" xfId="34447"/>
    <cellStyle name="Notas 3 2 2 2 4 2" xfId="34448"/>
    <cellStyle name="Notas 3 2 2 2 5" xfId="34449"/>
    <cellStyle name="Notas 3 2 2 2 5 2" xfId="34450"/>
    <cellStyle name="Notas 3 2 2 2 6" xfId="34451"/>
    <cellStyle name="Notas 3 2 2 2 6 2" xfId="34452"/>
    <cellStyle name="Notas 3 2 2 2 7" xfId="34453"/>
    <cellStyle name="Notas 3 2 2 2 7 2" xfId="34454"/>
    <cellStyle name="Notas 3 2 2 2 8" xfId="34455"/>
    <cellStyle name="Notas 3 2 2 2 8 2" xfId="34456"/>
    <cellStyle name="Notas 3 2 2 2 9" xfId="34457"/>
    <cellStyle name="Notas 3 2 2 2 9 2" xfId="34458"/>
    <cellStyle name="Notas 3 2 2 3" xfId="34459"/>
    <cellStyle name="Notas 3 2 2 3 10" xfId="34460"/>
    <cellStyle name="Notas 3 2 2 3 10 2" xfId="34461"/>
    <cellStyle name="Notas 3 2 2 3 11" xfId="34462"/>
    <cellStyle name="Notas 3 2 2 3 2" xfId="34463"/>
    <cellStyle name="Notas 3 2 2 3 2 2" xfId="34464"/>
    <cellStyle name="Notas 3 2 2 3 3" xfId="34465"/>
    <cellStyle name="Notas 3 2 2 3 3 2" xfId="34466"/>
    <cellStyle name="Notas 3 2 2 3 4" xfId="34467"/>
    <cellStyle name="Notas 3 2 2 3 4 2" xfId="34468"/>
    <cellStyle name="Notas 3 2 2 3 5" xfId="34469"/>
    <cellStyle name="Notas 3 2 2 3 5 2" xfId="34470"/>
    <cellStyle name="Notas 3 2 2 3 6" xfId="34471"/>
    <cellStyle name="Notas 3 2 2 3 6 2" xfId="34472"/>
    <cellStyle name="Notas 3 2 2 3 7" xfId="34473"/>
    <cellStyle name="Notas 3 2 2 3 7 2" xfId="34474"/>
    <cellStyle name="Notas 3 2 2 3 8" xfId="34475"/>
    <cellStyle name="Notas 3 2 2 3 8 2" xfId="34476"/>
    <cellStyle name="Notas 3 2 2 3 9" xfId="34477"/>
    <cellStyle name="Notas 3 2 2 3 9 2" xfId="34478"/>
    <cellStyle name="Notas 3 2 2 4" xfId="34479"/>
    <cellStyle name="Notas 3 2 2 4 2" xfId="34480"/>
    <cellStyle name="Notas 3 2 2 5" xfId="34481"/>
    <cellStyle name="Notas 3 2 2 5 2" xfId="34482"/>
    <cellStyle name="Notas 3 2 2 6" xfId="34483"/>
    <cellStyle name="Notas 3 2 2 6 2" xfId="34484"/>
    <cellStyle name="Notas 3 2 2 7" xfId="34485"/>
    <cellStyle name="Notas 3 2 2 7 2" xfId="34486"/>
    <cellStyle name="Notas 3 2 2 8" xfId="34487"/>
    <cellStyle name="Notas 3 2 2 8 2" xfId="34488"/>
    <cellStyle name="Notas 3 2 2 9" xfId="34489"/>
    <cellStyle name="Notas 3 2 2 9 2" xfId="34490"/>
    <cellStyle name="Notas 3 2 3" xfId="34491"/>
    <cellStyle name="Notas 3 2 3 10" xfId="34492"/>
    <cellStyle name="Notas 3 2 3 10 2" xfId="34493"/>
    <cellStyle name="Notas 3 2 3 11" xfId="34494"/>
    <cellStyle name="Notas 3 2 3 11 2" xfId="34495"/>
    <cellStyle name="Notas 3 2 3 12" xfId="34496"/>
    <cellStyle name="Notas 3 2 3 12 2" xfId="34497"/>
    <cellStyle name="Notas 3 2 3 13" xfId="34498"/>
    <cellStyle name="Notas 3 2 3 2" xfId="34499"/>
    <cellStyle name="Notas 3 2 3 2 10" xfId="34500"/>
    <cellStyle name="Notas 3 2 3 2 10 2" xfId="34501"/>
    <cellStyle name="Notas 3 2 3 2 11" xfId="34502"/>
    <cellStyle name="Notas 3 2 3 2 2" xfId="34503"/>
    <cellStyle name="Notas 3 2 3 2 2 2" xfId="34504"/>
    <cellStyle name="Notas 3 2 3 2 3" xfId="34505"/>
    <cellStyle name="Notas 3 2 3 2 3 2" xfId="34506"/>
    <cellStyle name="Notas 3 2 3 2 4" xfId="34507"/>
    <cellStyle name="Notas 3 2 3 2 4 2" xfId="34508"/>
    <cellStyle name="Notas 3 2 3 2 5" xfId="34509"/>
    <cellStyle name="Notas 3 2 3 2 5 2" xfId="34510"/>
    <cellStyle name="Notas 3 2 3 2 6" xfId="34511"/>
    <cellStyle name="Notas 3 2 3 2 6 2" xfId="34512"/>
    <cellStyle name="Notas 3 2 3 2 7" xfId="34513"/>
    <cellStyle name="Notas 3 2 3 2 7 2" xfId="34514"/>
    <cellStyle name="Notas 3 2 3 2 8" xfId="34515"/>
    <cellStyle name="Notas 3 2 3 2 8 2" xfId="34516"/>
    <cellStyle name="Notas 3 2 3 2 9" xfId="34517"/>
    <cellStyle name="Notas 3 2 3 2 9 2" xfId="34518"/>
    <cellStyle name="Notas 3 2 3 3" xfId="34519"/>
    <cellStyle name="Notas 3 2 3 3 10" xfId="34520"/>
    <cellStyle name="Notas 3 2 3 3 10 2" xfId="34521"/>
    <cellStyle name="Notas 3 2 3 3 11" xfId="34522"/>
    <cellStyle name="Notas 3 2 3 3 2" xfId="34523"/>
    <cellStyle name="Notas 3 2 3 3 2 2" xfId="34524"/>
    <cellStyle name="Notas 3 2 3 3 3" xfId="34525"/>
    <cellStyle name="Notas 3 2 3 3 3 2" xfId="34526"/>
    <cellStyle name="Notas 3 2 3 3 4" xfId="34527"/>
    <cellStyle name="Notas 3 2 3 3 4 2" xfId="34528"/>
    <cellStyle name="Notas 3 2 3 3 5" xfId="34529"/>
    <cellStyle name="Notas 3 2 3 3 5 2" xfId="34530"/>
    <cellStyle name="Notas 3 2 3 3 6" xfId="34531"/>
    <cellStyle name="Notas 3 2 3 3 6 2" xfId="34532"/>
    <cellStyle name="Notas 3 2 3 3 7" xfId="34533"/>
    <cellStyle name="Notas 3 2 3 3 7 2" xfId="34534"/>
    <cellStyle name="Notas 3 2 3 3 8" xfId="34535"/>
    <cellStyle name="Notas 3 2 3 3 8 2" xfId="34536"/>
    <cellStyle name="Notas 3 2 3 3 9" xfId="34537"/>
    <cellStyle name="Notas 3 2 3 3 9 2" xfId="34538"/>
    <cellStyle name="Notas 3 2 3 4" xfId="34539"/>
    <cellStyle name="Notas 3 2 3 4 2" xfId="34540"/>
    <cellStyle name="Notas 3 2 3 5" xfId="34541"/>
    <cellStyle name="Notas 3 2 3 5 2" xfId="34542"/>
    <cellStyle name="Notas 3 2 3 6" xfId="34543"/>
    <cellStyle name="Notas 3 2 3 6 2" xfId="34544"/>
    <cellStyle name="Notas 3 2 3 7" xfId="34545"/>
    <cellStyle name="Notas 3 2 3 7 2" xfId="34546"/>
    <cellStyle name="Notas 3 2 3 8" xfId="34547"/>
    <cellStyle name="Notas 3 2 3 8 2" xfId="34548"/>
    <cellStyle name="Notas 3 2 3 9" xfId="34549"/>
    <cellStyle name="Notas 3 2 3 9 2" xfId="34550"/>
    <cellStyle name="Notas 3 2 4" xfId="34551"/>
    <cellStyle name="Notas 3 2 4 10" xfId="34552"/>
    <cellStyle name="Notas 3 2 4 10 2" xfId="34553"/>
    <cellStyle name="Notas 3 2 4 11" xfId="34554"/>
    <cellStyle name="Notas 3 2 4 2" xfId="34555"/>
    <cellStyle name="Notas 3 2 4 2 2" xfId="34556"/>
    <cellStyle name="Notas 3 2 4 3" xfId="34557"/>
    <cellStyle name="Notas 3 2 4 3 2" xfId="34558"/>
    <cellStyle name="Notas 3 2 4 4" xfId="34559"/>
    <cellStyle name="Notas 3 2 4 4 2" xfId="34560"/>
    <cellStyle name="Notas 3 2 4 5" xfId="34561"/>
    <cellStyle name="Notas 3 2 4 5 2" xfId="34562"/>
    <cellStyle name="Notas 3 2 4 6" xfId="34563"/>
    <cellStyle name="Notas 3 2 4 6 2" xfId="34564"/>
    <cellStyle name="Notas 3 2 4 7" xfId="34565"/>
    <cellStyle name="Notas 3 2 4 7 2" xfId="34566"/>
    <cellStyle name="Notas 3 2 4 8" xfId="34567"/>
    <cellStyle name="Notas 3 2 4 8 2" xfId="34568"/>
    <cellStyle name="Notas 3 2 4 9" xfId="34569"/>
    <cellStyle name="Notas 3 2 4 9 2" xfId="34570"/>
    <cellStyle name="Notas 3 2 5" xfId="34571"/>
    <cellStyle name="Notas 3 2 5 10" xfId="34572"/>
    <cellStyle name="Notas 3 2 5 10 2" xfId="34573"/>
    <cellStyle name="Notas 3 2 5 11" xfId="34574"/>
    <cellStyle name="Notas 3 2 5 2" xfId="34575"/>
    <cellStyle name="Notas 3 2 5 2 2" xfId="34576"/>
    <cellStyle name="Notas 3 2 5 3" xfId="34577"/>
    <cellStyle name="Notas 3 2 5 3 2" xfId="34578"/>
    <cellStyle name="Notas 3 2 5 4" xfId="34579"/>
    <cellStyle name="Notas 3 2 5 4 2" xfId="34580"/>
    <cellStyle name="Notas 3 2 5 5" xfId="34581"/>
    <cellStyle name="Notas 3 2 5 5 2" xfId="34582"/>
    <cellStyle name="Notas 3 2 5 6" xfId="34583"/>
    <cellStyle name="Notas 3 2 5 6 2" xfId="34584"/>
    <cellStyle name="Notas 3 2 5 7" xfId="34585"/>
    <cellStyle name="Notas 3 2 5 7 2" xfId="34586"/>
    <cellStyle name="Notas 3 2 5 8" xfId="34587"/>
    <cellStyle name="Notas 3 2 5 8 2" xfId="34588"/>
    <cellStyle name="Notas 3 2 5 9" xfId="34589"/>
    <cellStyle name="Notas 3 2 5 9 2" xfId="34590"/>
    <cellStyle name="Notas 3 2 6" xfId="34591"/>
    <cellStyle name="Notas 3 2 6 2" xfId="34592"/>
    <cellStyle name="Notas 3 2 7" xfId="34593"/>
    <cellStyle name="Notas 3 2 7 2" xfId="34594"/>
    <cellStyle name="Notas 3 2 8" xfId="34595"/>
    <cellStyle name="Notas 3 2 8 2" xfId="34596"/>
    <cellStyle name="Notas 3 2 9" xfId="34597"/>
    <cellStyle name="Notas 3 2 9 2" xfId="34598"/>
    <cellStyle name="Notas 3 3" xfId="34599"/>
    <cellStyle name="Notas 3 3 10" xfId="34600"/>
    <cellStyle name="Notas 3 3 10 2" xfId="34601"/>
    <cellStyle name="Notas 3 3 11" xfId="34602"/>
    <cellStyle name="Notas 3 3 11 2" xfId="34603"/>
    <cellStyle name="Notas 3 3 12" xfId="34604"/>
    <cellStyle name="Notas 3 3 12 2" xfId="34605"/>
    <cellStyle name="Notas 3 3 13" xfId="34606"/>
    <cellStyle name="Notas 3 3 13 2" xfId="34607"/>
    <cellStyle name="Notas 3 3 14" xfId="34608"/>
    <cellStyle name="Notas 3 3 14 2" xfId="34609"/>
    <cellStyle name="Notas 3 3 15" xfId="34610"/>
    <cellStyle name="Notas 3 3 2" xfId="34611"/>
    <cellStyle name="Notas 3 3 2 10" xfId="34612"/>
    <cellStyle name="Notas 3 3 2 10 2" xfId="34613"/>
    <cellStyle name="Notas 3 3 2 11" xfId="34614"/>
    <cellStyle name="Notas 3 3 2 11 2" xfId="34615"/>
    <cellStyle name="Notas 3 3 2 12" xfId="34616"/>
    <cellStyle name="Notas 3 3 2 12 2" xfId="34617"/>
    <cellStyle name="Notas 3 3 2 13" xfId="34618"/>
    <cellStyle name="Notas 3 3 2 2" xfId="34619"/>
    <cellStyle name="Notas 3 3 2 2 10" xfId="34620"/>
    <cellStyle name="Notas 3 3 2 2 10 2" xfId="34621"/>
    <cellStyle name="Notas 3 3 2 2 11" xfId="34622"/>
    <cellStyle name="Notas 3 3 2 2 2" xfId="34623"/>
    <cellStyle name="Notas 3 3 2 2 2 2" xfId="34624"/>
    <cellStyle name="Notas 3 3 2 2 3" xfId="34625"/>
    <cellStyle name="Notas 3 3 2 2 3 2" xfId="34626"/>
    <cellStyle name="Notas 3 3 2 2 4" xfId="34627"/>
    <cellStyle name="Notas 3 3 2 2 4 2" xfId="34628"/>
    <cellStyle name="Notas 3 3 2 2 5" xfId="34629"/>
    <cellStyle name="Notas 3 3 2 2 5 2" xfId="34630"/>
    <cellStyle name="Notas 3 3 2 2 6" xfId="34631"/>
    <cellStyle name="Notas 3 3 2 2 6 2" xfId="34632"/>
    <cellStyle name="Notas 3 3 2 2 7" xfId="34633"/>
    <cellStyle name="Notas 3 3 2 2 7 2" xfId="34634"/>
    <cellStyle name="Notas 3 3 2 2 8" xfId="34635"/>
    <cellStyle name="Notas 3 3 2 2 8 2" xfId="34636"/>
    <cellStyle name="Notas 3 3 2 2 9" xfId="34637"/>
    <cellStyle name="Notas 3 3 2 2 9 2" xfId="34638"/>
    <cellStyle name="Notas 3 3 2 3" xfId="34639"/>
    <cellStyle name="Notas 3 3 2 3 10" xfId="34640"/>
    <cellStyle name="Notas 3 3 2 3 10 2" xfId="34641"/>
    <cellStyle name="Notas 3 3 2 3 11" xfId="34642"/>
    <cellStyle name="Notas 3 3 2 3 2" xfId="34643"/>
    <cellStyle name="Notas 3 3 2 3 2 2" xfId="34644"/>
    <cellStyle name="Notas 3 3 2 3 3" xfId="34645"/>
    <cellStyle name="Notas 3 3 2 3 3 2" xfId="34646"/>
    <cellStyle name="Notas 3 3 2 3 4" xfId="34647"/>
    <cellStyle name="Notas 3 3 2 3 4 2" xfId="34648"/>
    <cellStyle name="Notas 3 3 2 3 5" xfId="34649"/>
    <cellStyle name="Notas 3 3 2 3 5 2" xfId="34650"/>
    <cellStyle name="Notas 3 3 2 3 6" xfId="34651"/>
    <cellStyle name="Notas 3 3 2 3 6 2" xfId="34652"/>
    <cellStyle name="Notas 3 3 2 3 7" xfId="34653"/>
    <cellStyle name="Notas 3 3 2 3 7 2" xfId="34654"/>
    <cellStyle name="Notas 3 3 2 3 8" xfId="34655"/>
    <cellStyle name="Notas 3 3 2 3 8 2" xfId="34656"/>
    <cellStyle name="Notas 3 3 2 3 9" xfId="34657"/>
    <cellStyle name="Notas 3 3 2 3 9 2" xfId="34658"/>
    <cellStyle name="Notas 3 3 2 4" xfId="34659"/>
    <cellStyle name="Notas 3 3 2 4 2" xfId="34660"/>
    <cellStyle name="Notas 3 3 2 5" xfId="34661"/>
    <cellStyle name="Notas 3 3 2 5 2" xfId="34662"/>
    <cellStyle name="Notas 3 3 2 6" xfId="34663"/>
    <cellStyle name="Notas 3 3 2 6 2" xfId="34664"/>
    <cellStyle name="Notas 3 3 2 7" xfId="34665"/>
    <cellStyle name="Notas 3 3 2 7 2" xfId="34666"/>
    <cellStyle name="Notas 3 3 2 8" xfId="34667"/>
    <cellStyle name="Notas 3 3 2 8 2" xfId="34668"/>
    <cellStyle name="Notas 3 3 2 9" xfId="34669"/>
    <cellStyle name="Notas 3 3 2 9 2" xfId="34670"/>
    <cellStyle name="Notas 3 3 3" xfId="34671"/>
    <cellStyle name="Notas 3 3 3 10" xfId="34672"/>
    <cellStyle name="Notas 3 3 3 10 2" xfId="34673"/>
    <cellStyle name="Notas 3 3 3 11" xfId="34674"/>
    <cellStyle name="Notas 3 3 3 11 2" xfId="34675"/>
    <cellStyle name="Notas 3 3 3 12" xfId="34676"/>
    <cellStyle name="Notas 3 3 3 12 2" xfId="34677"/>
    <cellStyle name="Notas 3 3 3 13" xfId="34678"/>
    <cellStyle name="Notas 3 3 3 2" xfId="34679"/>
    <cellStyle name="Notas 3 3 3 2 10" xfId="34680"/>
    <cellStyle name="Notas 3 3 3 2 10 2" xfId="34681"/>
    <cellStyle name="Notas 3 3 3 2 11" xfId="34682"/>
    <cellStyle name="Notas 3 3 3 2 2" xfId="34683"/>
    <cellStyle name="Notas 3 3 3 2 2 2" xfId="34684"/>
    <cellStyle name="Notas 3 3 3 2 3" xfId="34685"/>
    <cellStyle name="Notas 3 3 3 2 3 2" xfId="34686"/>
    <cellStyle name="Notas 3 3 3 2 4" xfId="34687"/>
    <cellStyle name="Notas 3 3 3 2 4 2" xfId="34688"/>
    <cellStyle name="Notas 3 3 3 2 5" xfId="34689"/>
    <cellStyle name="Notas 3 3 3 2 5 2" xfId="34690"/>
    <cellStyle name="Notas 3 3 3 2 6" xfId="34691"/>
    <cellStyle name="Notas 3 3 3 2 6 2" xfId="34692"/>
    <cellStyle name="Notas 3 3 3 2 7" xfId="34693"/>
    <cellStyle name="Notas 3 3 3 2 7 2" xfId="34694"/>
    <cellStyle name="Notas 3 3 3 2 8" xfId="34695"/>
    <cellStyle name="Notas 3 3 3 2 8 2" xfId="34696"/>
    <cellStyle name="Notas 3 3 3 2 9" xfId="34697"/>
    <cellStyle name="Notas 3 3 3 2 9 2" xfId="34698"/>
    <cellStyle name="Notas 3 3 3 3" xfId="34699"/>
    <cellStyle name="Notas 3 3 3 3 10" xfId="34700"/>
    <cellStyle name="Notas 3 3 3 3 10 2" xfId="34701"/>
    <cellStyle name="Notas 3 3 3 3 11" xfId="34702"/>
    <cellStyle name="Notas 3 3 3 3 2" xfId="34703"/>
    <cellStyle name="Notas 3 3 3 3 2 2" xfId="34704"/>
    <cellStyle name="Notas 3 3 3 3 3" xfId="34705"/>
    <cellStyle name="Notas 3 3 3 3 3 2" xfId="34706"/>
    <cellStyle name="Notas 3 3 3 3 4" xfId="34707"/>
    <cellStyle name="Notas 3 3 3 3 4 2" xfId="34708"/>
    <cellStyle name="Notas 3 3 3 3 5" xfId="34709"/>
    <cellStyle name="Notas 3 3 3 3 5 2" xfId="34710"/>
    <cellStyle name="Notas 3 3 3 3 6" xfId="34711"/>
    <cellStyle name="Notas 3 3 3 3 6 2" xfId="34712"/>
    <cellStyle name="Notas 3 3 3 3 7" xfId="34713"/>
    <cellStyle name="Notas 3 3 3 3 7 2" xfId="34714"/>
    <cellStyle name="Notas 3 3 3 3 8" xfId="34715"/>
    <cellStyle name="Notas 3 3 3 3 8 2" xfId="34716"/>
    <cellStyle name="Notas 3 3 3 3 9" xfId="34717"/>
    <cellStyle name="Notas 3 3 3 3 9 2" xfId="34718"/>
    <cellStyle name="Notas 3 3 3 4" xfId="34719"/>
    <cellStyle name="Notas 3 3 3 4 2" xfId="34720"/>
    <cellStyle name="Notas 3 3 3 5" xfId="34721"/>
    <cellStyle name="Notas 3 3 3 5 2" xfId="34722"/>
    <cellStyle name="Notas 3 3 3 6" xfId="34723"/>
    <cellStyle name="Notas 3 3 3 6 2" xfId="34724"/>
    <cellStyle name="Notas 3 3 3 7" xfId="34725"/>
    <cellStyle name="Notas 3 3 3 7 2" xfId="34726"/>
    <cellStyle name="Notas 3 3 3 8" xfId="34727"/>
    <cellStyle name="Notas 3 3 3 8 2" xfId="34728"/>
    <cellStyle name="Notas 3 3 3 9" xfId="34729"/>
    <cellStyle name="Notas 3 3 3 9 2" xfId="34730"/>
    <cellStyle name="Notas 3 3 4" xfId="34731"/>
    <cellStyle name="Notas 3 3 4 10" xfId="34732"/>
    <cellStyle name="Notas 3 3 4 10 2" xfId="34733"/>
    <cellStyle name="Notas 3 3 4 11" xfId="34734"/>
    <cellStyle name="Notas 3 3 4 2" xfId="34735"/>
    <cellStyle name="Notas 3 3 4 2 2" xfId="34736"/>
    <cellStyle name="Notas 3 3 4 3" xfId="34737"/>
    <cellStyle name="Notas 3 3 4 3 2" xfId="34738"/>
    <cellStyle name="Notas 3 3 4 4" xfId="34739"/>
    <cellStyle name="Notas 3 3 4 4 2" xfId="34740"/>
    <cellStyle name="Notas 3 3 4 5" xfId="34741"/>
    <cellStyle name="Notas 3 3 4 5 2" xfId="34742"/>
    <cellStyle name="Notas 3 3 4 6" xfId="34743"/>
    <cellStyle name="Notas 3 3 4 6 2" xfId="34744"/>
    <cellStyle name="Notas 3 3 4 7" xfId="34745"/>
    <cellStyle name="Notas 3 3 4 7 2" xfId="34746"/>
    <cellStyle name="Notas 3 3 4 8" xfId="34747"/>
    <cellStyle name="Notas 3 3 4 8 2" xfId="34748"/>
    <cellStyle name="Notas 3 3 4 9" xfId="34749"/>
    <cellStyle name="Notas 3 3 4 9 2" xfId="34750"/>
    <cellStyle name="Notas 3 3 5" xfId="34751"/>
    <cellStyle name="Notas 3 3 5 10" xfId="34752"/>
    <cellStyle name="Notas 3 3 5 10 2" xfId="34753"/>
    <cellStyle name="Notas 3 3 5 11" xfId="34754"/>
    <cellStyle name="Notas 3 3 5 2" xfId="34755"/>
    <cellStyle name="Notas 3 3 5 2 2" xfId="34756"/>
    <cellStyle name="Notas 3 3 5 3" xfId="34757"/>
    <cellStyle name="Notas 3 3 5 3 2" xfId="34758"/>
    <cellStyle name="Notas 3 3 5 4" xfId="34759"/>
    <cellStyle name="Notas 3 3 5 4 2" xfId="34760"/>
    <cellStyle name="Notas 3 3 5 5" xfId="34761"/>
    <cellStyle name="Notas 3 3 5 5 2" xfId="34762"/>
    <cellStyle name="Notas 3 3 5 6" xfId="34763"/>
    <cellStyle name="Notas 3 3 5 6 2" xfId="34764"/>
    <cellStyle name="Notas 3 3 5 7" xfId="34765"/>
    <cellStyle name="Notas 3 3 5 7 2" xfId="34766"/>
    <cellStyle name="Notas 3 3 5 8" xfId="34767"/>
    <cellStyle name="Notas 3 3 5 8 2" xfId="34768"/>
    <cellStyle name="Notas 3 3 5 9" xfId="34769"/>
    <cellStyle name="Notas 3 3 5 9 2" xfId="34770"/>
    <cellStyle name="Notas 3 3 6" xfId="34771"/>
    <cellStyle name="Notas 3 3 6 2" xfId="34772"/>
    <cellStyle name="Notas 3 3 7" xfId="34773"/>
    <cellStyle name="Notas 3 3 7 2" xfId="34774"/>
    <cellStyle name="Notas 3 3 8" xfId="34775"/>
    <cellStyle name="Notas 3 3 8 2" xfId="34776"/>
    <cellStyle name="Notas 3 3 9" xfId="34777"/>
    <cellStyle name="Notas 3 3 9 2" xfId="34778"/>
    <cellStyle name="Notas 3 4" xfId="34779"/>
    <cellStyle name="Notas 3 4 10" xfId="34780"/>
    <cellStyle name="Notas 3 4 10 2" xfId="34781"/>
    <cellStyle name="Notas 3 4 11" xfId="34782"/>
    <cellStyle name="Notas 3 4 11 2" xfId="34783"/>
    <cellStyle name="Notas 3 4 12" xfId="34784"/>
    <cellStyle name="Notas 3 4 12 2" xfId="34785"/>
    <cellStyle name="Notas 3 4 13" xfId="34786"/>
    <cellStyle name="Notas 3 4 13 2" xfId="34787"/>
    <cellStyle name="Notas 3 4 14" xfId="34788"/>
    <cellStyle name="Notas 3 4 14 2" xfId="34789"/>
    <cellStyle name="Notas 3 4 15" xfId="34790"/>
    <cellStyle name="Notas 3 4 2" xfId="34791"/>
    <cellStyle name="Notas 3 4 2 10" xfId="34792"/>
    <cellStyle name="Notas 3 4 2 10 2" xfId="34793"/>
    <cellStyle name="Notas 3 4 2 11" xfId="34794"/>
    <cellStyle name="Notas 3 4 2 11 2" xfId="34795"/>
    <cellStyle name="Notas 3 4 2 12" xfId="34796"/>
    <cellStyle name="Notas 3 4 2 12 2" xfId="34797"/>
    <cellStyle name="Notas 3 4 2 13" xfId="34798"/>
    <cellStyle name="Notas 3 4 2 2" xfId="34799"/>
    <cellStyle name="Notas 3 4 2 2 10" xfId="34800"/>
    <cellStyle name="Notas 3 4 2 2 10 2" xfId="34801"/>
    <cellStyle name="Notas 3 4 2 2 11" xfId="34802"/>
    <cellStyle name="Notas 3 4 2 2 2" xfId="34803"/>
    <cellStyle name="Notas 3 4 2 2 2 2" xfId="34804"/>
    <cellStyle name="Notas 3 4 2 2 3" xfId="34805"/>
    <cellStyle name="Notas 3 4 2 2 3 2" xfId="34806"/>
    <cellStyle name="Notas 3 4 2 2 4" xfId="34807"/>
    <cellStyle name="Notas 3 4 2 2 4 2" xfId="34808"/>
    <cellStyle name="Notas 3 4 2 2 5" xfId="34809"/>
    <cellStyle name="Notas 3 4 2 2 5 2" xfId="34810"/>
    <cellStyle name="Notas 3 4 2 2 6" xfId="34811"/>
    <cellStyle name="Notas 3 4 2 2 6 2" xfId="34812"/>
    <cellStyle name="Notas 3 4 2 2 7" xfId="34813"/>
    <cellStyle name="Notas 3 4 2 2 7 2" xfId="34814"/>
    <cellStyle name="Notas 3 4 2 2 8" xfId="34815"/>
    <cellStyle name="Notas 3 4 2 2 8 2" xfId="34816"/>
    <cellStyle name="Notas 3 4 2 2 9" xfId="34817"/>
    <cellStyle name="Notas 3 4 2 2 9 2" xfId="34818"/>
    <cellStyle name="Notas 3 4 2 3" xfId="34819"/>
    <cellStyle name="Notas 3 4 2 3 10" xfId="34820"/>
    <cellStyle name="Notas 3 4 2 3 10 2" xfId="34821"/>
    <cellStyle name="Notas 3 4 2 3 11" xfId="34822"/>
    <cellStyle name="Notas 3 4 2 3 2" xfId="34823"/>
    <cellStyle name="Notas 3 4 2 3 2 2" xfId="34824"/>
    <cellStyle name="Notas 3 4 2 3 3" xfId="34825"/>
    <cellStyle name="Notas 3 4 2 3 3 2" xfId="34826"/>
    <cellStyle name="Notas 3 4 2 3 4" xfId="34827"/>
    <cellStyle name="Notas 3 4 2 3 4 2" xfId="34828"/>
    <cellStyle name="Notas 3 4 2 3 5" xfId="34829"/>
    <cellStyle name="Notas 3 4 2 3 5 2" xfId="34830"/>
    <cellStyle name="Notas 3 4 2 3 6" xfId="34831"/>
    <cellStyle name="Notas 3 4 2 3 6 2" xfId="34832"/>
    <cellStyle name="Notas 3 4 2 3 7" xfId="34833"/>
    <cellStyle name="Notas 3 4 2 3 7 2" xfId="34834"/>
    <cellStyle name="Notas 3 4 2 3 8" xfId="34835"/>
    <cellStyle name="Notas 3 4 2 3 8 2" xfId="34836"/>
    <cellStyle name="Notas 3 4 2 3 9" xfId="34837"/>
    <cellStyle name="Notas 3 4 2 3 9 2" xfId="34838"/>
    <cellStyle name="Notas 3 4 2 4" xfId="34839"/>
    <cellStyle name="Notas 3 4 2 4 2" xfId="34840"/>
    <cellStyle name="Notas 3 4 2 5" xfId="34841"/>
    <cellStyle name="Notas 3 4 2 5 2" xfId="34842"/>
    <cellStyle name="Notas 3 4 2 6" xfId="34843"/>
    <cellStyle name="Notas 3 4 2 6 2" xfId="34844"/>
    <cellStyle name="Notas 3 4 2 7" xfId="34845"/>
    <cellStyle name="Notas 3 4 2 7 2" xfId="34846"/>
    <cellStyle name="Notas 3 4 2 8" xfId="34847"/>
    <cellStyle name="Notas 3 4 2 8 2" xfId="34848"/>
    <cellStyle name="Notas 3 4 2 9" xfId="34849"/>
    <cellStyle name="Notas 3 4 2 9 2" xfId="34850"/>
    <cellStyle name="Notas 3 4 3" xfId="34851"/>
    <cellStyle name="Notas 3 4 3 10" xfId="34852"/>
    <cellStyle name="Notas 3 4 3 10 2" xfId="34853"/>
    <cellStyle name="Notas 3 4 3 11" xfId="34854"/>
    <cellStyle name="Notas 3 4 3 11 2" xfId="34855"/>
    <cellStyle name="Notas 3 4 3 12" xfId="34856"/>
    <cellStyle name="Notas 3 4 3 12 2" xfId="34857"/>
    <cellStyle name="Notas 3 4 3 13" xfId="34858"/>
    <cellStyle name="Notas 3 4 3 2" xfId="34859"/>
    <cellStyle name="Notas 3 4 3 2 10" xfId="34860"/>
    <cellStyle name="Notas 3 4 3 2 10 2" xfId="34861"/>
    <cellStyle name="Notas 3 4 3 2 11" xfId="34862"/>
    <cellStyle name="Notas 3 4 3 2 2" xfId="34863"/>
    <cellStyle name="Notas 3 4 3 2 2 2" xfId="34864"/>
    <cellStyle name="Notas 3 4 3 2 3" xfId="34865"/>
    <cellStyle name="Notas 3 4 3 2 3 2" xfId="34866"/>
    <cellStyle name="Notas 3 4 3 2 4" xfId="34867"/>
    <cellStyle name="Notas 3 4 3 2 4 2" xfId="34868"/>
    <cellStyle name="Notas 3 4 3 2 5" xfId="34869"/>
    <cellStyle name="Notas 3 4 3 2 5 2" xfId="34870"/>
    <cellStyle name="Notas 3 4 3 2 6" xfId="34871"/>
    <cellStyle name="Notas 3 4 3 2 6 2" xfId="34872"/>
    <cellStyle name="Notas 3 4 3 2 7" xfId="34873"/>
    <cellStyle name="Notas 3 4 3 2 7 2" xfId="34874"/>
    <cellStyle name="Notas 3 4 3 2 8" xfId="34875"/>
    <cellStyle name="Notas 3 4 3 2 8 2" xfId="34876"/>
    <cellStyle name="Notas 3 4 3 2 9" xfId="34877"/>
    <cellStyle name="Notas 3 4 3 2 9 2" xfId="34878"/>
    <cellStyle name="Notas 3 4 3 3" xfId="34879"/>
    <cellStyle name="Notas 3 4 3 3 10" xfId="34880"/>
    <cellStyle name="Notas 3 4 3 3 10 2" xfId="34881"/>
    <cellStyle name="Notas 3 4 3 3 11" xfId="34882"/>
    <cellStyle name="Notas 3 4 3 3 2" xfId="34883"/>
    <cellStyle name="Notas 3 4 3 3 2 2" xfId="34884"/>
    <cellStyle name="Notas 3 4 3 3 3" xfId="34885"/>
    <cellStyle name="Notas 3 4 3 3 3 2" xfId="34886"/>
    <cellStyle name="Notas 3 4 3 3 4" xfId="34887"/>
    <cellStyle name="Notas 3 4 3 3 4 2" xfId="34888"/>
    <cellStyle name="Notas 3 4 3 3 5" xfId="34889"/>
    <cellStyle name="Notas 3 4 3 3 5 2" xfId="34890"/>
    <cellStyle name="Notas 3 4 3 3 6" xfId="34891"/>
    <cellStyle name="Notas 3 4 3 3 6 2" xfId="34892"/>
    <cellStyle name="Notas 3 4 3 3 7" xfId="34893"/>
    <cellStyle name="Notas 3 4 3 3 7 2" xfId="34894"/>
    <cellStyle name="Notas 3 4 3 3 8" xfId="34895"/>
    <cellStyle name="Notas 3 4 3 3 8 2" xfId="34896"/>
    <cellStyle name="Notas 3 4 3 3 9" xfId="34897"/>
    <cellStyle name="Notas 3 4 3 3 9 2" xfId="34898"/>
    <cellStyle name="Notas 3 4 3 4" xfId="34899"/>
    <cellStyle name="Notas 3 4 3 4 2" xfId="34900"/>
    <cellStyle name="Notas 3 4 3 5" xfId="34901"/>
    <cellStyle name="Notas 3 4 3 5 2" xfId="34902"/>
    <cellStyle name="Notas 3 4 3 6" xfId="34903"/>
    <cellStyle name="Notas 3 4 3 6 2" xfId="34904"/>
    <cellStyle name="Notas 3 4 3 7" xfId="34905"/>
    <cellStyle name="Notas 3 4 3 7 2" xfId="34906"/>
    <cellStyle name="Notas 3 4 3 8" xfId="34907"/>
    <cellStyle name="Notas 3 4 3 8 2" xfId="34908"/>
    <cellStyle name="Notas 3 4 3 9" xfId="34909"/>
    <cellStyle name="Notas 3 4 3 9 2" xfId="34910"/>
    <cellStyle name="Notas 3 4 4" xfId="34911"/>
    <cellStyle name="Notas 3 4 4 10" xfId="34912"/>
    <cellStyle name="Notas 3 4 4 10 2" xfId="34913"/>
    <cellStyle name="Notas 3 4 4 11" xfId="34914"/>
    <cellStyle name="Notas 3 4 4 2" xfId="34915"/>
    <cellStyle name="Notas 3 4 4 2 2" xfId="34916"/>
    <cellStyle name="Notas 3 4 4 3" xfId="34917"/>
    <cellStyle name="Notas 3 4 4 3 2" xfId="34918"/>
    <cellStyle name="Notas 3 4 4 4" xfId="34919"/>
    <cellStyle name="Notas 3 4 4 4 2" xfId="34920"/>
    <cellStyle name="Notas 3 4 4 5" xfId="34921"/>
    <cellStyle name="Notas 3 4 4 5 2" xfId="34922"/>
    <cellStyle name="Notas 3 4 4 6" xfId="34923"/>
    <cellStyle name="Notas 3 4 4 6 2" xfId="34924"/>
    <cellStyle name="Notas 3 4 4 7" xfId="34925"/>
    <cellStyle name="Notas 3 4 4 7 2" xfId="34926"/>
    <cellStyle name="Notas 3 4 4 8" xfId="34927"/>
    <cellStyle name="Notas 3 4 4 8 2" xfId="34928"/>
    <cellStyle name="Notas 3 4 4 9" xfId="34929"/>
    <cellStyle name="Notas 3 4 4 9 2" xfId="34930"/>
    <cellStyle name="Notas 3 4 5" xfId="34931"/>
    <cellStyle name="Notas 3 4 5 10" xfId="34932"/>
    <cellStyle name="Notas 3 4 5 10 2" xfId="34933"/>
    <cellStyle name="Notas 3 4 5 11" xfId="34934"/>
    <cellStyle name="Notas 3 4 5 2" xfId="34935"/>
    <cellStyle name="Notas 3 4 5 2 2" xfId="34936"/>
    <cellStyle name="Notas 3 4 5 3" xfId="34937"/>
    <cellStyle name="Notas 3 4 5 3 2" xfId="34938"/>
    <cellStyle name="Notas 3 4 5 4" xfId="34939"/>
    <cellStyle name="Notas 3 4 5 4 2" xfId="34940"/>
    <cellStyle name="Notas 3 4 5 5" xfId="34941"/>
    <cellStyle name="Notas 3 4 5 5 2" xfId="34942"/>
    <cellStyle name="Notas 3 4 5 6" xfId="34943"/>
    <cellStyle name="Notas 3 4 5 6 2" xfId="34944"/>
    <cellStyle name="Notas 3 4 5 7" xfId="34945"/>
    <cellStyle name="Notas 3 4 5 7 2" xfId="34946"/>
    <cellStyle name="Notas 3 4 5 8" xfId="34947"/>
    <cellStyle name="Notas 3 4 5 8 2" xfId="34948"/>
    <cellStyle name="Notas 3 4 5 9" xfId="34949"/>
    <cellStyle name="Notas 3 4 5 9 2" xfId="34950"/>
    <cellStyle name="Notas 3 4 6" xfId="34951"/>
    <cellStyle name="Notas 3 4 6 2" xfId="34952"/>
    <cellStyle name="Notas 3 4 7" xfId="34953"/>
    <cellStyle name="Notas 3 4 7 2" xfId="34954"/>
    <cellStyle name="Notas 3 4 8" xfId="34955"/>
    <cellStyle name="Notas 3 4 8 2" xfId="34956"/>
    <cellStyle name="Notas 3 4 9" xfId="34957"/>
    <cellStyle name="Notas 3 4 9 2" xfId="34958"/>
    <cellStyle name="Notas 3 5" xfId="34959"/>
    <cellStyle name="Notas 3 5 10" xfId="34960"/>
    <cellStyle name="Notas 3 5 10 2" xfId="34961"/>
    <cellStyle name="Notas 3 5 11" xfId="34962"/>
    <cellStyle name="Notas 3 5 11 2" xfId="34963"/>
    <cellStyle name="Notas 3 5 12" xfId="34964"/>
    <cellStyle name="Notas 3 5 12 2" xfId="34965"/>
    <cellStyle name="Notas 3 5 13" xfId="34966"/>
    <cellStyle name="Notas 3 5 13 2" xfId="34967"/>
    <cellStyle name="Notas 3 5 14" xfId="34968"/>
    <cellStyle name="Notas 3 5 14 2" xfId="34969"/>
    <cellStyle name="Notas 3 5 15" xfId="34970"/>
    <cellStyle name="Notas 3 5 2" xfId="34971"/>
    <cellStyle name="Notas 3 5 2 10" xfId="34972"/>
    <cellStyle name="Notas 3 5 2 10 2" xfId="34973"/>
    <cellStyle name="Notas 3 5 2 11" xfId="34974"/>
    <cellStyle name="Notas 3 5 2 11 2" xfId="34975"/>
    <cellStyle name="Notas 3 5 2 12" xfId="34976"/>
    <cellStyle name="Notas 3 5 2 12 2" xfId="34977"/>
    <cellStyle name="Notas 3 5 2 13" xfId="34978"/>
    <cellStyle name="Notas 3 5 2 2" xfId="34979"/>
    <cellStyle name="Notas 3 5 2 2 10" xfId="34980"/>
    <cellStyle name="Notas 3 5 2 2 10 2" xfId="34981"/>
    <cellStyle name="Notas 3 5 2 2 11" xfId="34982"/>
    <cellStyle name="Notas 3 5 2 2 2" xfId="34983"/>
    <cellStyle name="Notas 3 5 2 2 2 2" xfId="34984"/>
    <cellStyle name="Notas 3 5 2 2 3" xfId="34985"/>
    <cellStyle name="Notas 3 5 2 2 3 2" xfId="34986"/>
    <cellStyle name="Notas 3 5 2 2 4" xfId="34987"/>
    <cellStyle name="Notas 3 5 2 2 4 2" xfId="34988"/>
    <cellStyle name="Notas 3 5 2 2 5" xfId="34989"/>
    <cellStyle name="Notas 3 5 2 2 5 2" xfId="34990"/>
    <cellStyle name="Notas 3 5 2 2 6" xfId="34991"/>
    <cellStyle name="Notas 3 5 2 2 6 2" xfId="34992"/>
    <cellStyle name="Notas 3 5 2 2 7" xfId="34993"/>
    <cellStyle name="Notas 3 5 2 2 7 2" xfId="34994"/>
    <cellStyle name="Notas 3 5 2 2 8" xfId="34995"/>
    <cellStyle name="Notas 3 5 2 2 8 2" xfId="34996"/>
    <cellStyle name="Notas 3 5 2 2 9" xfId="34997"/>
    <cellStyle name="Notas 3 5 2 2 9 2" xfId="34998"/>
    <cellStyle name="Notas 3 5 2 3" xfId="34999"/>
    <cellStyle name="Notas 3 5 2 3 10" xfId="35000"/>
    <cellStyle name="Notas 3 5 2 3 10 2" xfId="35001"/>
    <cellStyle name="Notas 3 5 2 3 11" xfId="35002"/>
    <cellStyle name="Notas 3 5 2 3 2" xfId="35003"/>
    <cellStyle name="Notas 3 5 2 3 2 2" xfId="35004"/>
    <cellStyle name="Notas 3 5 2 3 3" xfId="35005"/>
    <cellStyle name="Notas 3 5 2 3 3 2" xfId="35006"/>
    <cellStyle name="Notas 3 5 2 3 4" xfId="35007"/>
    <cellStyle name="Notas 3 5 2 3 4 2" xfId="35008"/>
    <cellStyle name="Notas 3 5 2 3 5" xfId="35009"/>
    <cellStyle name="Notas 3 5 2 3 5 2" xfId="35010"/>
    <cellStyle name="Notas 3 5 2 3 6" xfId="35011"/>
    <cellStyle name="Notas 3 5 2 3 6 2" xfId="35012"/>
    <cellStyle name="Notas 3 5 2 3 7" xfId="35013"/>
    <cellStyle name="Notas 3 5 2 3 7 2" xfId="35014"/>
    <cellStyle name="Notas 3 5 2 3 8" xfId="35015"/>
    <cellStyle name="Notas 3 5 2 3 8 2" xfId="35016"/>
    <cellStyle name="Notas 3 5 2 3 9" xfId="35017"/>
    <cellStyle name="Notas 3 5 2 3 9 2" xfId="35018"/>
    <cellStyle name="Notas 3 5 2 4" xfId="35019"/>
    <cellStyle name="Notas 3 5 2 4 2" xfId="35020"/>
    <cellStyle name="Notas 3 5 2 5" xfId="35021"/>
    <cellStyle name="Notas 3 5 2 5 2" xfId="35022"/>
    <cellStyle name="Notas 3 5 2 6" xfId="35023"/>
    <cellStyle name="Notas 3 5 2 6 2" xfId="35024"/>
    <cellStyle name="Notas 3 5 2 7" xfId="35025"/>
    <cellStyle name="Notas 3 5 2 7 2" xfId="35026"/>
    <cellStyle name="Notas 3 5 2 8" xfId="35027"/>
    <cellStyle name="Notas 3 5 2 8 2" xfId="35028"/>
    <cellStyle name="Notas 3 5 2 9" xfId="35029"/>
    <cellStyle name="Notas 3 5 2 9 2" xfId="35030"/>
    <cellStyle name="Notas 3 5 3" xfId="35031"/>
    <cellStyle name="Notas 3 5 3 10" xfId="35032"/>
    <cellStyle name="Notas 3 5 3 10 2" xfId="35033"/>
    <cellStyle name="Notas 3 5 3 11" xfId="35034"/>
    <cellStyle name="Notas 3 5 3 11 2" xfId="35035"/>
    <cellStyle name="Notas 3 5 3 12" xfId="35036"/>
    <cellStyle name="Notas 3 5 3 12 2" xfId="35037"/>
    <cellStyle name="Notas 3 5 3 13" xfId="35038"/>
    <cellStyle name="Notas 3 5 3 2" xfId="35039"/>
    <cellStyle name="Notas 3 5 3 2 10" xfId="35040"/>
    <cellStyle name="Notas 3 5 3 2 10 2" xfId="35041"/>
    <cellStyle name="Notas 3 5 3 2 11" xfId="35042"/>
    <cellStyle name="Notas 3 5 3 2 2" xfId="35043"/>
    <cellStyle name="Notas 3 5 3 2 2 2" xfId="35044"/>
    <cellStyle name="Notas 3 5 3 2 3" xfId="35045"/>
    <cellStyle name="Notas 3 5 3 2 3 2" xfId="35046"/>
    <cellStyle name="Notas 3 5 3 2 4" xfId="35047"/>
    <cellStyle name="Notas 3 5 3 2 4 2" xfId="35048"/>
    <cellStyle name="Notas 3 5 3 2 5" xfId="35049"/>
    <cellStyle name="Notas 3 5 3 2 5 2" xfId="35050"/>
    <cellStyle name="Notas 3 5 3 2 6" xfId="35051"/>
    <cellStyle name="Notas 3 5 3 2 6 2" xfId="35052"/>
    <cellStyle name="Notas 3 5 3 2 7" xfId="35053"/>
    <cellStyle name="Notas 3 5 3 2 7 2" xfId="35054"/>
    <cellStyle name="Notas 3 5 3 2 8" xfId="35055"/>
    <cellStyle name="Notas 3 5 3 2 8 2" xfId="35056"/>
    <cellStyle name="Notas 3 5 3 2 9" xfId="35057"/>
    <cellStyle name="Notas 3 5 3 2 9 2" xfId="35058"/>
    <cellStyle name="Notas 3 5 3 3" xfId="35059"/>
    <cellStyle name="Notas 3 5 3 3 10" xfId="35060"/>
    <cellStyle name="Notas 3 5 3 3 10 2" xfId="35061"/>
    <cellStyle name="Notas 3 5 3 3 11" xfId="35062"/>
    <cellStyle name="Notas 3 5 3 3 2" xfId="35063"/>
    <cellStyle name="Notas 3 5 3 3 2 2" xfId="35064"/>
    <cellStyle name="Notas 3 5 3 3 3" xfId="35065"/>
    <cellStyle name="Notas 3 5 3 3 3 2" xfId="35066"/>
    <cellStyle name="Notas 3 5 3 3 4" xfId="35067"/>
    <cellStyle name="Notas 3 5 3 3 4 2" xfId="35068"/>
    <cellStyle name="Notas 3 5 3 3 5" xfId="35069"/>
    <cellStyle name="Notas 3 5 3 3 5 2" xfId="35070"/>
    <cellStyle name="Notas 3 5 3 3 6" xfId="35071"/>
    <cellStyle name="Notas 3 5 3 3 6 2" xfId="35072"/>
    <cellStyle name="Notas 3 5 3 3 7" xfId="35073"/>
    <cellStyle name="Notas 3 5 3 3 7 2" xfId="35074"/>
    <cellStyle name="Notas 3 5 3 3 8" xfId="35075"/>
    <cellStyle name="Notas 3 5 3 3 8 2" xfId="35076"/>
    <cellStyle name="Notas 3 5 3 3 9" xfId="35077"/>
    <cellStyle name="Notas 3 5 3 3 9 2" xfId="35078"/>
    <cellStyle name="Notas 3 5 3 4" xfId="35079"/>
    <cellStyle name="Notas 3 5 3 4 2" xfId="35080"/>
    <cellStyle name="Notas 3 5 3 5" xfId="35081"/>
    <cellStyle name="Notas 3 5 3 5 2" xfId="35082"/>
    <cellStyle name="Notas 3 5 3 6" xfId="35083"/>
    <cellStyle name="Notas 3 5 3 6 2" xfId="35084"/>
    <cellStyle name="Notas 3 5 3 7" xfId="35085"/>
    <cellStyle name="Notas 3 5 3 7 2" xfId="35086"/>
    <cellStyle name="Notas 3 5 3 8" xfId="35087"/>
    <cellStyle name="Notas 3 5 3 8 2" xfId="35088"/>
    <cellStyle name="Notas 3 5 3 9" xfId="35089"/>
    <cellStyle name="Notas 3 5 3 9 2" xfId="35090"/>
    <cellStyle name="Notas 3 5 4" xfId="35091"/>
    <cellStyle name="Notas 3 5 4 10" xfId="35092"/>
    <cellStyle name="Notas 3 5 4 10 2" xfId="35093"/>
    <cellStyle name="Notas 3 5 4 11" xfId="35094"/>
    <cellStyle name="Notas 3 5 4 2" xfId="35095"/>
    <cellStyle name="Notas 3 5 4 2 2" xfId="35096"/>
    <cellStyle name="Notas 3 5 4 3" xfId="35097"/>
    <cellStyle name="Notas 3 5 4 3 2" xfId="35098"/>
    <cellStyle name="Notas 3 5 4 4" xfId="35099"/>
    <cellStyle name="Notas 3 5 4 4 2" xfId="35100"/>
    <cellStyle name="Notas 3 5 4 5" xfId="35101"/>
    <cellStyle name="Notas 3 5 4 5 2" xfId="35102"/>
    <cellStyle name="Notas 3 5 4 6" xfId="35103"/>
    <cellStyle name="Notas 3 5 4 6 2" xfId="35104"/>
    <cellStyle name="Notas 3 5 4 7" xfId="35105"/>
    <cellStyle name="Notas 3 5 4 7 2" xfId="35106"/>
    <cellStyle name="Notas 3 5 4 8" xfId="35107"/>
    <cellStyle name="Notas 3 5 4 8 2" xfId="35108"/>
    <cellStyle name="Notas 3 5 4 9" xfId="35109"/>
    <cellStyle name="Notas 3 5 4 9 2" xfId="35110"/>
    <cellStyle name="Notas 3 5 5" xfId="35111"/>
    <cellStyle name="Notas 3 5 5 10" xfId="35112"/>
    <cellStyle name="Notas 3 5 5 10 2" xfId="35113"/>
    <cellStyle name="Notas 3 5 5 11" xfId="35114"/>
    <cellStyle name="Notas 3 5 5 2" xfId="35115"/>
    <cellStyle name="Notas 3 5 5 2 2" xfId="35116"/>
    <cellStyle name="Notas 3 5 5 3" xfId="35117"/>
    <cellStyle name="Notas 3 5 5 3 2" xfId="35118"/>
    <cellStyle name="Notas 3 5 5 4" xfId="35119"/>
    <cellStyle name="Notas 3 5 5 4 2" xfId="35120"/>
    <cellStyle name="Notas 3 5 5 5" xfId="35121"/>
    <cellStyle name="Notas 3 5 5 5 2" xfId="35122"/>
    <cellStyle name="Notas 3 5 5 6" xfId="35123"/>
    <cellStyle name="Notas 3 5 5 6 2" xfId="35124"/>
    <cellStyle name="Notas 3 5 5 7" xfId="35125"/>
    <cellStyle name="Notas 3 5 5 7 2" xfId="35126"/>
    <cellStyle name="Notas 3 5 5 8" xfId="35127"/>
    <cellStyle name="Notas 3 5 5 8 2" xfId="35128"/>
    <cellStyle name="Notas 3 5 5 9" xfId="35129"/>
    <cellStyle name="Notas 3 5 5 9 2" xfId="35130"/>
    <cellStyle name="Notas 3 5 6" xfId="35131"/>
    <cellStyle name="Notas 3 5 6 2" xfId="35132"/>
    <cellStyle name="Notas 3 5 7" xfId="35133"/>
    <cellStyle name="Notas 3 5 7 2" xfId="35134"/>
    <cellStyle name="Notas 3 5 8" xfId="35135"/>
    <cellStyle name="Notas 3 5 8 2" xfId="35136"/>
    <cellStyle name="Notas 3 5 9" xfId="35137"/>
    <cellStyle name="Notas 3 5 9 2" xfId="35138"/>
    <cellStyle name="Notas 3 6" xfId="35139"/>
    <cellStyle name="Notas 3 6 10" xfId="35140"/>
    <cellStyle name="Notas 3 6 10 2" xfId="35141"/>
    <cellStyle name="Notas 3 6 11" xfId="35142"/>
    <cellStyle name="Notas 3 6 11 2" xfId="35143"/>
    <cellStyle name="Notas 3 6 12" xfId="35144"/>
    <cellStyle name="Notas 3 6 12 2" xfId="35145"/>
    <cellStyle name="Notas 3 6 13" xfId="35146"/>
    <cellStyle name="Notas 3 6 2" xfId="35147"/>
    <cellStyle name="Notas 3 6 2 10" xfId="35148"/>
    <cellStyle name="Notas 3 6 2 10 2" xfId="35149"/>
    <cellStyle name="Notas 3 6 2 11" xfId="35150"/>
    <cellStyle name="Notas 3 6 2 2" xfId="35151"/>
    <cellStyle name="Notas 3 6 2 2 2" xfId="35152"/>
    <cellStyle name="Notas 3 6 2 3" xfId="35153"/>
    <cellStyle name="Notas 3 6 2 3 2" xfId="35154"/>
    <cellStyle name="Notas 3 6 2 4" xfId="35155"/>
    <cellStyle name="Notas 3 6 2 4 2" xfId="35156"/>
    <cellStyle name="Notas 3 6 2 5" xfId="35157"/>
    <cellStyle name="Notas 3 6 2 5 2" xfId="35158"/>
    <cellStyle name="Notas 3 6 2 6" xfId="35159"/>
    <cellStyle name="Notas 3 6 2 6 2" xfId="35160"/>
    <cellStyle name="Notas 3 6 2 7" xfId="35161"/>
    <cellStyle name="Notas 3 6 2 7 2" xfId="35162"/>
    <cellStyle name="Notas 3 6 2 8" xfId="35163"/>
    <cellStyle name="Notas 3 6 2 8 2" xfId="35164"/>
    <cellStyle name="Notas 3 6 2 9" xfId="35165"/>
    <cellStyle name="Notas 3 6 2 9 2" xfId="35166"/>
    <cellStyle name="Notas 3 6 3" xfId="35167"/>
    <cellStyle name="Notas 3 6 3 10" xfId="35168"/>
    <cellStyle name="Notas 3 6 3 10 2" xfId="35169"/>
    <cellStyle name="Notas 3 6 3 11" xfId="35170"/>
    <cellStyle name="Notas 3 6 3 2" xfId="35171"/>
    <cellStyle name="Notas 3 6 3 2 2" xfId="35172"/>
    <cellStyle name="Notas 3 6 3 3" xfId="35173"/>
    <cellStyle name="Notas 3 6 3 3 2" xfId="35174"/>
    <cellStyle name="Notas 3 6 3 4" xfId="35175"/>
    <cellStyle name="Notas 3 6 3 4 2" xfId="35176"/>
    <cellStyle name="Notas 3 6 3 5" xfId="35177"/>
    <cellStyle name="Notas 3 6 3 5 2" xfId="35178"/>
    <cellStyle name="Notas 3 6 3 6" xfId="35179"/>
    <cellStyle name="Notas 3 6 3 6 2" xfId="35180"/>
    <cellStyle name="Notas 3 6 3 7" xfId="35181"/>
    <cellStyle name="Notas 3 6 3 7 2" xfId="35182"/>
    <cellStyle name="Notas 3 6 3 8" xfId="35183"/>
    <cellStyle name="Notas 3 6 3 8 2" xfId="35184"/>
    <cellStyle name="Notas 3 6 3 9" xfId="35185"/>
    <cellStyle name="Notas 3 6 3 9 2" xfId="35186"/>
    <cellStyle name="Notas 3 6 4" xfId="35187"/>
    <cellStyle name="Notas 3 6 4 2" xfId="35188"/>
    <cellStyle name="Notas 3 6 5" xfId="35189"/>
    <cellStyle name="Notas 3 6 5 2" xfId="35190"/>
    <cellStyle name="Notas 3 6 6" xfId="35191"/>
    <cellStyle name="Notas 3 6 6 2" xfId="35192"/>
    <cellStyle name="Notas 3 6 7" xfId="35193"/>
    <cellStyle name="Notas 3 6 7 2" xfId="35194"/>
    <cellStyle name="Notas 3 6 8" xfId="35195"/>
    <cellStyle name="Notas 3 6 8 2" xfId="35196"/>
    <cellStyle name="Notas 3 6 9" xfId="35197"/>
    <cellStyle name="Notas 3 6 9 2" xfId="35198"/>
    <cellStyle name="Notas 3 7" xfId="35199"/>
    <cellStyle name="Notas 3 7 10" xfId="35200"/>
    <cellStyle name="Notas 3 7 10 2" xfId="35201"/>
    <cellStyle name="Notas 3 7 11" xfId="35202"/>
    <cellStyle name="Notas 3 7 11 2" xfId="35203"/>
    <cellStyle name="Notas 3 7 12" xfId="35204"/>
    <cellStyle name="Notas 3 7 12 2" xfId="35205"/>
    <cellStyle name="Notas 3 7 13" xfId="35206"/>
    <cellStyle name="Notas 3 7 2" xfId="35207"/>
    <cellStyle name="Notas 3 7 2 10" xfId="35208"/>
    <cellStyle name="Notas 3 7 2 10 2" xfId="35209"/>
    <cellStyle name="Notas 3 7 2 11" xfId="35210"/>
    <cellStyle name="Notas 3 7 2 2" xfId="35211"/>
    <cellStyle name="Notas 3 7 2 2 2" xfId="35212"/>
    <cellStyle name="Notas 3 7 2 3" xfId="35213"/>
    <cellStyle name="Notas 3 7 2 3 2" xfId="35214"/>
    <cellStyle name="Notas 3 7 2 4" xfId="35215"/>
    <cellStyle name="Notas 3 7 2 4 2" xfId="35216"/>
    <cellStyle name="Notas 3 7 2 5" xfId="35217"/>
    <cellStyle name="Notas 3 7 2 5 2" xfId="35218"/>
    <cellStyle name="Notas 3 7 2 6" xfId="35219"/>
    <cellStyle name="Notas 3 7 2 6 2" xfId="35220"/>
    <cellStyle name="Notas 3 7 2 7" xfId="35221"/>
    <cellStyle name="Notas 3 7 2 7 2" xfId="35222"/>
    <cellStyle name="Notas 3 7 2 8" xfId="35223"/>
    <cellStyle name="Notas 3 7 2 8 2" xfId="35224"/>
    <cellStyle name="Notas 3 7 2 9" xfId="35225"/>
    <cellStyle name="Notas 3 7 2 9 2" xfId="35226"/>
    <cellStyle name="Notas 3 7 3" xfId="35227"/>
    <cellStyle name="Notas 3 7 3 10" xfId="35228"/>
    <cellStyle name="Notas 3 7 3 10 2" xfId="35229"/>
    <cellStyle name="Notas 3 7 3 11" xfId="35230"/>
    <cellStyle name="Notas 3 7 3 2" xfId="35231"/>
    <cellStyle name="Notas 3 7 3 2 2" xfId="35232"/>
    <cellStyle name="Notas 3 7 3 3" xfId="35233"/>
    <cellStyle name="Notas 3 7 3 3 2" xfId="35234"/>
    <cellStyle name="Notas 3 7 3 4" xfId="35235"/>
    <cellStyle name="Notas 3 7 3 4 2" xfId="35236"/>
    <cellStyle name="Notas 3 7 3 5" xfId="35237"/>
    <cellStyle name="Notas 3 7 3 5 2" xfId="35238"/>
    <cellStyle name="Notas 3 7 3 6" xfId="35239"/>
    <cellStyle name="Notas 3 7 3 6 2" xfId="35240"/>
    <cellStyle name="Notas 3 7 3 7" xfId="35241"/>
    <cellStyle name="Notas 3 7 3 7 2" xfId="35242"/>
    <cellStyle name="Notas 3 7 3 8" xfId="35243"/>
    <cellStyle name="Notas 3 7 3 8 2" xfId="35244"/>
    <cellStyle name="Notas 3 7 3 9" xfId="35245"/>
    <cellStyle name="Notas 3 7 3 9 2" xfId="35246"/>
    <cellStyle name="Notas 3 7 4" xfId="35247"/>
    <cellStyle name="Notas 3 7 4 2" xfId="35248"/>
    <cellStyle name="Notas 3 7 5" xfId="35249"/>
    <cellStyle name="Notas 3 7 5 2" xfId="35250"/>
    <cellStyle name="Notas 3 7 6" xfId="35251"/>
    <cellStyle name="Notas 3 7 6 2" xfId="35252"/>
    <cellStyle name="Notas 3 7 7" xfId="35253"/>
    <cellStyle name="Notas 3 7 7 2" xfId="35254"/>
    <cellStyle name="Notas 3 7 8" xfId="35255"/>
    <cellStyle name="Notas 3 7 8 2" xfId="35256"/>
    <cellStyle name="Notas 3 7 9" xfId="35257"/>
    <cellStyle name="Notas 3 7 9 2" xfId="35258"/>
    <cellStyle name="Notas 3 8" xfId="35259"/>
    <cellStyle name="Notas 3 8 2" xfId="35260"/>
    <cellStyle name="Notas 3 9" xfId="35261"/>
    <cellStyle name="Notas 3 9 2" xfId="35262"/>
    <cellStyle name="Notas 4" xfId="35263"/>
    <cellStyle name="Notas 4 10" xfId="35264"/>
    <cellStyle name="Notas 4 10 2" xfId="35265"/>
    <cellStyle name="Notas 4 11" xfId="35266"/>
    <cellStyle name="Notas 4 11 2" xfId="35267"/>
    <cellStyle name="Notas 4 12" xfId="35268"/>
    <cellStyle name="Notas 4 12 2" xfId="35269"/>
    <cellStyle name="Notas 4 13" xfId="35270"/>
    <cellStyle name="Notas 4 13 2" xfId="35271"/>
    <cellStyle name="Notas 4 14" xfId="35272"/>
    <cellStyle name="Notas 4 14 2" xfId="35273"/>
    <cellStyle name="Notas 4 15" xfId="35274"/>
    <cellStyle name="Notas 4 15 2" xfId="35275"/>
    <cellStyle name="Notas 4 16" xfId="35276"/>
    <cellStyle name="Notas 4 16 2" xfId="35277"/>
    <cellStyle name="Notas 4 17" xfId="35278"/>
    <cellStyle name="Notas 4 17 2" xfId="35279"/>
    <cellStyle name="Notas 4 18" xfId="35280"/>
    <cellStyle name="Notas 4 19" xfId="35281"/>
    <cellStyle name="Notas 4 2" xfId="35282"/>
    <cellStyle name="Notas 4 2 10" xfId="35283"/>
    <cellStyle name="Notas 4 2 10 2" xfId="35284"/>
    <cellStyle name="Notas 4 2 11" xfId="35285"/>
    <cellStyle name="Notas 4 2 11 2" xfId="35286"/>
    <cellStyle name="Notas 4 2 12" xfId="35287"/>
    <cellStyle name="Notas 4 2 12 2" xfId="35288"/>
    <cellStyle name="Notas 4 2 13" xfId="35289"/>
    <cellStyle name="Notas 4 2 13 2" xfId="35290"/>
    <cellStyle name="Notas 4 2 14" xfId="35291"/>
    <cellStyle name="Notas 4 2 14 2" xfId="35292"/>
    <cellStyle name="Notas 4 2 15" xfId="35293"/>
    <cellStyle name="Notas 4 2 2" xfId="35294"/>
    <cellStyle name="Notas 4 2 2 10" xfId="35295"/>
    <cellStyle name="Notas 4 2 2 10 2" xfId="35296"/>
    <cellStyle name="Notas 4 2 2 11" xfId="35297"/>
    <cellStyle name="Notas 4 2 2 11 2" xfId="35298"/>
    <cellStyle name="Notas 4 2 2 12" xfId="35299"/>
    <cellStyle name="Notas 4 2 2 12 2" xfId="35300"/>
    <cellStyle name="Notas 4 2 2 13" xfId="35301"/>
    <cellStyle name="Notas 4 2 2 2" xfId="35302"/>
    <cellStyle name="Notas 4 2 2 2 10" xfId="35303"/>
    <cellStyle name="Notas 4 2 2 2 10 2" xfId="35304"/>
    <cellStyle name="Notas 4 2 2 2 11" xfId="35305"/>
    <cellStyle name="Notas 4 2 2 2 2" xfId="35306"/>
    <cellStyle name="Notas 4 2 2 2 2 2" xfId="35307"/>
    <cellStyle name="Notas 4 2 2 2 3" xfId="35308"/>
    <cellStyle name="Notas 4 2 2 2 3 2" xfId="35309"/>
    <cellStyle name="Notas 4 2 2 2 4" xfId="35310"/>
    <cellStyle name="Notas 4 2 2 2 4 2" xfId="35311"/>
    <cellStyle name="Notas 4 2 2 2 5" xfId="35312"/>
    <cellStyle name="Notas 4 2 2 2 5 2" xfId="35313"/>
    <cellStyle name="Notas 4 2 2 2 6" xfId="35314"/>
    <cellStyle name="Notas 4 2 2 2 6 2" xfId="35315"/>
    <cellStyle name="Notas 4 2 2 2 7" xfId="35316"/>
    <cellStyle name="Notas 4 2 2 2 7 2" xfId="35317"/>
    <cellStyle name="Notas 4 2 2 2 8" xfId="35318"/>
    <cellStyle name="Notas 4 2 2 2 8 2" xfId="35319"/>
    <cellStyle name="Notas 4 2 2 2 9" xfId="35320"/>
    <cellStyle name="Notas 4 2 2 2 9 2" xfId="35321"/>
    <cellStyle name="Notas 4 2 2 3" xfId="35322"/>
    <cellStyle name="Notas 4 2 2 3 10" xfId="35323"/>
    <cellStyle name="Notas 4 2 2 3 10 2" xfId="35324"/>
    <cellStyle name="Notas 4 2 2 3 11" xfId="35325"/>
    <cellStyle name="Notas 4 2 2 3 2" xfId="35326"/>
    <cellStyle name="Notas 4 2 2 3 2 2" xfId="35327"/>
    <cellStyle name="Notas 4 2 2 3 3" xfId="35328"/>
    <cellStyle name="Notas 4 2 2 3 3 2" xfId="35329"/>
    <cellStyle name="Notas 4 2 2 3 4" xfId="35330"/>
    <cellStyle name="Notas 4 2 2 3 4 2" xfId="35331"/>
    <cellStyle name="Notas 4 2 2 3 5" xfId="35332"/>
    <cellStyle name="Notas 4 2 2 3 5 2" xfId="35333"/>
    <cellStyle name="Notas 4 2 2 3 6" xfId="35334"/>
    <cellStyle name="Notas 4 2 2 3 6 2" xfId="35335"/>
    <cellStyle name="Notas 4 2 2 3 7" xfId="35336"/>
    <cellStyle name="Notas 4 2 2 3 7 2" xfId="35337"/>
    <cellStyle name="Notas 4 2 2 3 8" xfId="35338"/>
    <cellStyle name="Notas 4 2 2 3 8 2" xfId="35339"/>
    <cellStyle name="Notas 4 2 2 3 9" xfId="35340"/>
    <cellStyle name="Notas 4 2 2 3 9 2" xfId="35341"/>
    <cellStyle name="Notas 4 2 2 4" xfId="35342"/>
    <cellStyle name="Notas 4 2 2 4 2" xfId="35343"/>
    <cellStyle name="Notas 4 2 2 5" xfId="35344"/>
    <cellStyle name="Notas 4 2 2 5 2" xfId="35345"/>
    <cellStyle name="Notas 4 2 2 6" xfId="35346"/>
    <cellStyle name="Notas 4 2 2 6 2" xfId="35347"/>
    <cellStyle name="Notas 4 2 2 7" xfId="35348"/>
    <cellStyle name="Notas 4 2 2 7 2" xfId="35349"/>
    <cellStyle name="Notas 4 2 2 8" xfId="35350"/>
    <cellStyle name="Notas 4 2 2 8 2" xfId="35351"/>
    <cellStyle name="Notas 4 2 2 9" xfId="35352"/>
    <cellStyle name="Notas 4 2 2 9 2" xfId="35353"/>
    <cellStyle name="Notas 4 2 3" xfId="35354"/>
    <cellStyle name="Notas 4 2 3 10" xfId="35355"/>
    <cellStyle name="Notas 4 2 3 10 2" xfId="35356"/>
    <cellStyle name="Notas 4 2 3 11" xfId="35357"/>
    <cellStyle name="Notas 4 2 3 11 2" xfId="35358"/>
    <cellStyle name="Notas 4 2 3 12" xfId="35359"/>
    <cellStyle name="Notas 4 2 3 12 2" xfId="35360"/>
    <cellStyle name="Notas 4 2 3 13" xfId="35361"/>
    <cellStyle name="Notas 4 2 3 2" xfId="35362"/>
    <cellStyle name="Notas 4 2 3 2 10" xfId="35363"/>
    <cellStyle name="Notas 4 2 3 2 10 2" xfId="35364"/>
    <cellStyle name="Notas 4 2 3 2 11" xfId="35365"/>
    <cellStyle name="Notas 4 2 3 2 2" xfId="35366"/>
    <cellStyle name="Notas 4 2 3 2 2 2" xfId="35367"/>
    <cellStyle name="Notas 4 2 3 2 3" xfId="35368"/>
    <cellStyle name="Notas 4 2 3 2 3 2" xfId="35369"/>
    <cellStyle name="Notas 4 2 3 2 4" xfId="35370"/>
    <cellStyle name="Notas 4 2 3 2 4 2" xfId="35371"/>
    <cellStyle name="Notas 4 2 3 2 5" xfId="35372"/>
    <cellStyle name="Notas 4 2 3 2 5 2" xfId="35373"/>
    <cellStyle name="Notas 4 2 3 2 6" xfId="35374"/>
    <cellStyle name="Notas 4 2 3 2 6 2" xfId="35375"/>
    <cellStyle name="Notas 4 2 3 2 7" xfId="35376"/>
    <cellStyle name="Notas 4 2 3 2 7 2" xfId="35377"/>
    <cellStyle name="Notas 4 2 3 2 8" xfId="35378"/>
    <cellStyle name="Notas 4 2 3 2 8 2" xfId="35379"/>
    <cellStyle name="Notas 4 2 3 2 9" xfId="35380"/>
    <cellStyle name="Notas 4 2 3 2 9 2" xfId="35381"/>
    <cellStyle name="Notas 4 2 3 3" xfId="35382"/>
    <cellStyle name="Notas 4 2 3 3 10" xfId="35383"/>
    <cellStyle name="Notas 4 2 3 3 10 2" xfId="35384"/>
    <cellStyle name="Notas 4 2 3 3 11" xfId="35385"/>
    <cellStyle name="Notas 4 2 3 3 2" xfId="35386"/>
    <cellStyle name="Notas 4 2 3 3 2 2" xfId="35387"/>
    <cellStyle name="Notas 4 2 3 3 3" xfId="35388"/>
    <cellStyle name="Notas 4 2 3 3 3 2" xfId="35389"/>
    <cellStyle name="Notas 4 2 3 3 4" xfId="35390"/>
    <cellStyle name="Notas 4 2 3 3 4 2" xfId="35391"/>
    <cellStyle name="Notas 4 2 3 3 5" xfId="35392"/>
    <cellStyle name="Notas 4 2 3 3 5 2" xfId="35393"/>
    <cellStyle name="Notas 4 2 3 3 6" xfId="35394"/>
    <cellStyle name="Notas 4 2 3 3 6 2" xfId="35395"/>
    <cellStyle name="Notas 4 2 3 3 7" xfId="35396"/>
    <cellStyle name="Notas 4 2 3 3 7 2" xfId="35397"/>
    <cellStyle name="Notas 4 2 3 3 8" xfId="35398"/>
    <cellStyle name="Notas 4 2 3 3 8 2" xfId="35399"/>
    <cellStyle name="Notas 4 2 3 3 9" xfId="35400"/>
    <cellStyle name="Notas 4 2 3 3 9 2" xfId="35401"/>
    <cellStyle name="Notas 4 2 3 4" xfId="35402"/>
    <cellStyle name="Notas 4 2 3 4 2" xfId="35403"/>
    <cellStyle name="Notas 4 2 3 5" xfId="35404"/>
    <cellStyle name="Notas 4 2 3 5 2" xfId="35405"/>
    <cellStyle name="Notas 4 2 3 6" xfId="35406"/>
    <cellStyle name="Notas 4 2 3 6 2" xfId="35407"/>
    <cellStyle name="Notas 4 2 3 7" xfId="35408"/>
    <cellStyle name="Notas 4 2 3 7 2" xfId="35409"/>
    <cellStyle name="Notas 4 2 3 8" xfId="35410"/>
    <cellStyle name="Notas 4 2 3 8 2" xfId="35411"/>
    <cellStyle name="Notas 4 2 3 9" xfId="35412"/>
    <cellStyle name="Notas 4 2 3 9 2" xfId="35413"/>
    <cellStyle name="Notas 4 2 4" xfId="35414"/>
    <cellStyle name="Notas 4 2 4 10" xfId="35415"/>
    <cellStyle name="Notas 4 2 4 10 2" xfId="35416"/>
    <cellStyle name="Notas 4 2 4 11" xfId="35417"/>
    <cellStyle name="Notas 4 2 4 2" xfId="35418"/>
    <cellStyle name="Notas 4 2 4 2 2" xfId="35419"/>
    <cellStyle name="Notas 4 2 4 3" xfId="35420"/>
    <cellStyle name="Notas 4 2 4 3 2" xfId="35421"/>
    <cellStyle name="Notas 4 2 4 4" xfId="35422"/>
    <cellStyle name="Notas 4 2 4 4 2" xfId="35423"/>
    <cellStyle name="Notas 4 2 4 5" xfId="35424"/>
    <cellStyle name="Notas 4 2 4 5 2" xfId="35425"/>
    <cellStyle name="Notas 4 2 4 6" xfId="35426"/>
    <cellStyle name="Notas 4 2 4 6 2" xfId="35427"/>
    <cellStyle name="Notas 4 2 4 7" xfId="35428"/>
    <cellStyle name="Notas 4 2 4 7 2" xfId="35429"/>
    <cellStyle name="Notas 4 2 4 8" xfId="35430"/>
    <cellStyle name="Notas 4 2 4 8 2" xfId="35431"/>
    <cellStyle name="Notas 4 2 4 9" xfId="35432"/>
    <cellStyle name="Notas 4 2 4 9 2" xfId="35433"/>
    <cellStyle name="Notas 4 2 5" xfId="35434"/>
    <cellStyle name="Notas 4 2 5 10" xfId="35435"/>
    <cellStyle name="Notas 4 2 5 10 2" xfId="35436"/>
    <cellStyle name="Notas 4 2 5 11" xfId="35437"/>
    <cellStyle name="Notas 4 2 5 2" xfId="35438"/>
    <cellStyle name="Notas 4 2 5 2 2" xfId="35439"/>
    <cellStyle name="Notas 4 2 5 3" xfId="35440"/>
    <cellStyle name="Notas 4 2 5 3 2" xfId="35441"/>
    <cellStyle name="Notas 4 2 5 4" xfId="35442"/>
    <cellStyle name="Notas 4 2 5 4 2" xfId="35443"/>
    <cellStyle name="Notas 4 2 5 5" xfId="35444"/>
    <cellStyle name="Notas 4 2 5 5 2" xfId="35445"/>
    <cellStyle name="Notas 4 2 5 6" xfId="35446"/>
    <cellStyle name="Notas 4 2 5 6 2" xfId="35447"/>
    <cellStyle name="Notas 4 2 5 7" xfId="35448"/>
    <cellStyle name="Notas 4 2 5 7 2" xfId="35449"/>
    <cellStyle name="Notas 4 2 5 8" xfId="35450"/>
    <cellStyle name="Notas 4 2 5 8 2" xfId="35451"/>
    <cellStyle name="Notas 4 2 5 9" xfId="35452"/>
    <cellStyle name="Notas 4 2 5 9 2" xfId="35453"/>
    <cellStyle name="Notas 4 2 6" xfId="35454"/>
    <cellStyle name="Notas 4 2 6 2" xfId="35455"/>
    <cellStyle name="Notas 4 2 7" xfId="35456"/>
    <cellStyle name="Notas 4 2 7 2" xfId="35457"/>
    <cellStyle name="Notas 4 2 8" xfId="35458"/>
    <cellStyle name="Notas 4 2 8 2" xfId="35459"/>
    <cellStyle name="Notas 4 2 9" xfId="35460"/>
    <cellStyle name="Notas 4 2 9 2" xfId="35461"/>
    <cellStyle name="Notas 4 20" xfId="35462"/>
    <cellStyle name="Notas 4 3" xfId="35463"/>
    <cellStyle name="Notas 4 3 10" xfId="35464"/>
    <cellStyle name="Notas 4 3 10 2" xfId="35465"/>
    <cellStyle name="Notas 4 3 11" xfId="35466"/>
    <cellStyle name="Notas 4 3 11 2" xfId="35467"/>
    <cellStyle name="Notas 4 3 12" xfId="35468"/>
    <cellStyle name="Notas 4 3 12 2" xfId="35469"/>
    <cellStyle name="Notas 4 3 13" xfId="35470"/>
    <cellStyle name="Notas 4 3 13 2" xfId="35471"/>
    <cellStyle name="Notas 4 3 14" xfId="35472"/>
    <cellStyle name="Notas 4 3 14 2" xfId="35473"/>
    <cellStyle name="Notas 4 3 15" xfId="35474"/>
    <cellStyle name="Notas 4 3 2" xfId="35475"/>
    <cellStyle name="Notas 4 3 2 10" xfId="35476"/>
    <cellStyle name="Notas 4 3 2 10 2" xfId="35477"/>
    <cellStyle name="Notas 4 3 2 11" xfId="35478"/>
    <cellStyle name="Notas 4 3 2 11 2" xfId="35479"/>
    <cellStyle name="Notas 4 3 2 12" xfId="35480"/>
    <cellStyle name="Notas 4 3 2 12 2" xfId="35481"/>
    <cellStyle name="Notas 4 3 2 13" xfId="35482"/>
    <cellStyle name="Notas 4 3 2 2" xfId="35483"/>
    <cellStyle name="Notas 4 3 2 2 10" xfId="35484"/>
    <cellStyle name="Notas 4 3 2 2 10 2" xfId="35485"/>
    <cellStyle name="Notas 4 3 2 2 11" xfId="35486"/>
    <cellStyle name="Notas 4 3 2 2 2" xfId="35487"/>
    <cellStyle name="Notas 4 3 2 2 2 2" xfId="35488"/>
    <cellStyle name="Notas 4 3 2 2 3" xfId="35489"/>
    <cellStyle name="Notas 4 3 2 2 3 2" xfId="35490"/>
    <cellStyle name="Notas 4 3 2 2 4" xfId="35491"/>
    <cellStyle name="Notas 4 3 2 2 4 2" xfId="35492"/>
    <cellStyle name="Notas 4 3 2 2 5" xfId="35493"/>
    <cellStyle name="Notas 4 3 2 2 5 2" xfId="35494"/>
    <cellStyle name="Notas 4 3 2 2 6" xfId="35495"/>
    <cellStyle name="Notas 4 3 2 2 6 2" xfId="35496"/>
    <cellStyle name="Notas 4 3 2 2 7" xfId="35497"/>
    <cellStyle name="Notas 4 3 2 2 7 2" xfId="35498"/>
    <cellStyle name="Notas 4 3 2 2 8" xfId="35499"/>
    <cellStyle name="Notas 4 3 2 2 8 2" xfId="35500"/>
    <cellStyle name="Notas 4 3 2 2 9" xfId="35501"/>
    <cellStyle name="Notas 4 3 2 2 9 2" xfId="35502"/>
    <cellStyle name="Notas 4 3 2 3" xfId="35503"/>
    <cellStyle name="Notas 4 3 2 3 10" xfId="35504"/>
    <cellStyle name="Notas 4 3 2 3 10 2" xfId="35505"/>
    <cellStyle name="Notas 4 3 2 3 11" xfId="35506"/>
    <cellStyle name="Notas 4 3 2 3 2" xfId="35507"/>
    <cellStyle name="Notas 4 3 2 3 2 2" xfId="35508"/>
    <cellStyle name="Notas 4 3 2 3 3" xfId="35509"/>
    <cellStyle name="Notas 4 3 2 3 3 2" xfId="35510"/>
    <cellStyle name="Notas 4 3 2 3 4" xfId="35511"/>
    <cellStyle name="Notas 4 3 2 3 4 2" xfId="35512"/>
    <cellStyle name="Notas 4 3 2 3 5" xfId="35513"/>
    <cellStyle name="Notas 4 3 2 3 5 2" xfId="35514"/>
    <cellStyle name="Notas 4 3 2 3 6" xfId="35515"/>
    <cellStyle name="Notas 4 3 2 3 6 2" xfId="35516"/>
    <cellStyle name="Notas 4 3 2 3 7" xfId="35517"/>
    <cellStyle name="Notas 4 3 2 3 7 2" xfId="35518"/>
    <cellStyle name="Notas 4 3 2 3 8" xfId="35519"/>
    <cellStyle name="Notas 4 3 2 3 8 2" xfId="35520"/>
    <cellStyle name="Notas 4 3 2 3 9" xfId="35521"/>
    <cellStyle name="Notas 4 3 2 3 9 2" xfId="35522"/>
    <cellStyle name="Notas 4 3 2 4" xfId="35523"/>
    <cellStyle name="Notas 4 3 2 4 2" xfId="35524"/>
    <cellStyle name="Notas 4 3 2 5" xfId="35525"/>
    <cellStyle name="Notas 4 3 2 5 2" xfId="35526"/>
    <cellStyle name="Notas 4 3 2 6" xfId="35527"/>
    <cellStyle name="Notas 4 3 2 6 2" xfId="35528"/>
    <cellStyle name="Notas 4 3 2 7" xfId="35529"/>
    <cellStyle name="Notas 4 3 2 7 2" xfId="35530"/>
    <cellStyle name="Notas 4 3 2 8" xfId="35531"/>
    <cellStyle name="Notas 4 3 2 8 2" xfId="35532"/>
    <cellStyle name="Notas 4 3 2 9" xfId="35533"/>
    <cellStyle name="Notas 4 3 2 9 2" xfId="35534"/>
    <cellStyle name="Notas 4 3 3" xfId="35535"/>
    <cellStyle name="Notas 4 3 3 10" xfId="35536"/>
    <cellStyle name="Notas 4 3 3 10 2" xfId="35537"/>
    <cellStyle name="Notas 4 3 3 11" xfId="35538"/>
    <cellStyle name="Notas 4 3 3 11 2" xfId="35539"/>
    <cellStyle name="Notas 4 3 3 12" xfId="35540"/>
    <cellStyle name="Notas 4 3 3 12 2" xfId="35541"/>
    <cellStyle name="Notas 4 3 3 13" xfId="35542"/>
    <cellStyle name="Notas 4 3 3 2" xfId="35543"/>
    <cellStyle name="Notas 4 3 3 2 10" xfId="35544"/>
    <cellStyle name="Notas 4 3 3 2 10 2" xfId="35545"/>
    <cellStyle name="Notas 4 3 3 2 11" xfId="35546"/>
    <cellStyle name="Notas 4 3 3 2 2" xfId="35547"/>
    <cellStyle name="Notas 4 3 3 2 2 2" xfId="35548"/>
    <cellStyle name="Notas 4 3 3 2 3" xfId="35549"/>
    <cellStyle name="Notas 4 3 3 2 3 2" xfId="35550"/>
    <cellStyle name="Notas 4 3 3 2 4" xfId="35551"/>
    <cellStyle name="Notas 4 3 3 2 4 2" xfId="35552"/>
    <cellStyle name="Notas 4 3 3 2 5" xfId="35553"/>
    <cellStyle name="Notas 4 3 3 2 5 2" xfId="35554"/>
    <cellStyle name="Notas 4 3 3 2 6" xfId="35555"/>
    <cellStyle name="Notas 4 3 3 2 6 2" xfId="35556"/>
    <cellStyle name="Notas 4 3 3 2 7" xfId="35557"/>
    <cellStyle name="Notas 4 3 3 2 7 2" xfId="35558"/>
    <cellStyle name="Notas 4 3 3 2 8" xfId="35559"/>
    <cellStyle name="Notas 4 3 3 2 8 2" xfId="35560"/>
    <cellStyle name="Notas 4 3 3 2 9" xfId="35561"/>
    <cellStyle name="Notas 4 3 3 2 9 2" xfId="35562"/>
    <cellStyle name="Notas 4 3 3 3" xfId="35563"/>
    <cellStyle name="Notas 4 3 3 3 10" xfId="35564"/>
    <cellStyle name="Notas 4 3 3 3 10 2" xfId="35565"/>
    <cellStyle name="Notas 4 3 3 3 11" xfId="35566"/>
    <cellStyle name="Notas 4 3 3 3 2" xfId="35567"/>
    <cellStyle name="Notas 4 3 3 3 2 2" xfId="35568"/>
    <cellStyle name="Notas 4 3 3 3 3" xfId="35569"/>
    <cellStyle name="Notas 4 3 3 3 3 2" xfId="35570"/>
    <cellStyle name="Notas 4 3 3 3 4" xfId="35571"/>
    <cellStyle name="Notas 4 3 3 3 4 2" xfId="35572"/>
    <cellStyle name="Notas 4 3 3 3 5" xfId="35573"/>
    <cellStyle name="Notas 4 3 3 3 5 2" xfId="35574"/>
    <cellStyle name="Notas 4 3 3 3 6" xfId="35575"/>
    <cellStyle name="Notas 4 3 3 3 6 2" xfId="35576"/>
    <cellStyle name="Notas 4 3 3 3 7" xfId="35577"/>
    <cellStyle name="Notas 4 3 3 3 7 2" xfId="35578"/>
    <cellStyle name="Notas 4 3 3 3 8" xfId="35579"/>
    <cellStyle name="Notas 4 3 3 3 8 2" xfId="35580"/>
    <cellStyle name="Notas 4 3 3 3 9" xfId="35581"/>
    <cellStyle name="Notas 4 3 3 3 9 2" xfId="35582"/>
    <cellStyle name="Notas 4 3 3 4" xfId="35583"/>
    <cellStyle name="Notas 4 3 3 4 2" xfId="35584"/>
    <cellStyle name="Notas 4 3 3 5" xfId="35585"/>
    <cellStyle name="Notas 4 3 3 5 2" xfId="35586"/>
    <cellStyle name="Notas 4 3 3 6" xfId="35587"/>
    <cellStyle name="Notas 4 3 3 6 2" xfId="35588"/>
    <cellStyle name="Notas 4 3 3 7" xfId="35589"/>
    <cellStyle name="Notas 4 3 3 7 2" xfId="35590"/>
    <cellStyle name="Notas 4 3 3 8" xfId="35591"/>
    <cellStyle name="Notas 4 3 3 8 2" xfId="35592"/>
    <cellStyle name="Notas 4 3 3 9" xfId="35593"/>
    <cellStyle name="Notas 4 3 3 9 2" xfId="35594"/>
    <cellStyle name="Notas 4 3 4" xfId="35595"/>
    <cellStyle name="Notas 4 3 4 10" xfId="35596"/>
    <cellStyle name="Notas 4 3 4 10 2" xfId="35597"/>
    <cellStyle name="Notas 4 3 4 11" xfId="35598"/>
    <cellStyle name="Notas 4 3 4 2" xfId="35599"/>
    <cellStyle name="Notas 4 3 4 2 2" xfId="35600"/>
    <cellStyle name="Notas 4 3 4 3" xfId="35601"/>
    <cellStyle name="Notas 4 3 4 3 2" xfId="35602"/>
    <cellStyle name="Notas 4 3 4 4" xfId="35603"/>
    <cellStyle name="Notas 4 3 4 4 2" xfId="35604"/>
    <cellStyle name="Notas 4 3 4 5" xfId="35605"/>
    <cellStyle name="Notas 4 3 4 5 2" xfId="35606"/>
    <cellStyle name="Notas 4 3 4 6" xfId="35607"/>
    <cellStyle name="Notas 4 3 4 6 2" xfId="35608"/>
    <cellStyle name="Notas 4 3 4 7" xfId="35609"/>
    <cellStyle name="Notas 4 3 4 7 2" xfId="35610"/>
    <cellStyle name="Notas 4 3 4 8" xfId="35611"/>
    <cellStyle name="Notas 4 3 4 8 2" xfId="35612"/>
    <cellStyle name="Notas 4 3 4 9" xfId="35613"/>
    <cellStyle name="Notas 4 3 4 9 2" xfId="35614"/>
    <cellStyle name="Notas 4 3 5" xfId="35615"/>
    <cellStyle name="Notas 4 3 5 10" xfId="35616"/>
    <cellStyle name="Notas 4 3 5 10 2" xfId="35617"/>
    <cellStyle name="Notas 4 3 5 11" xfId="35618"/>
    <cellStyle name="Notas 4 3 5 2" xfId="35619"/>
    <cellStyle name="Notas 4 3 5 2 2" xfId="35620"/>
    <cellStyle name="Notas 4 3 5 3" xfId="35621"/>
    <cellStyle name="Notas 4 3 5 3 2" xfId="35622"/>
    <cellStyle name="Notas 4 3 5 4" xfId="35623"/>
    <cellStyle name="Notas 4 3 5 4 2" xfId="35624"/>
    <cellStyle name="Notas 4 3 5 5" xfId="35625"/>
    <cellStyle name="Notas 4 3 5 5 2" xfId="35626"/>
    <cellStyle name="Notas 4 3 5 6" xfId="35627"/>
    <cellStyle name="Notas 4 3 5 6 2" xfId="35628"/>
    <cellStyle name="Notas 4 3 5 7" xfId="35629"/>
    <cellStyle name="Notas 4 3 5 7 2" xfId="35630"/>
    <cellStyle name="Notas 4 3 5 8" xfId="35631"/>
    <cellStyle name="Notas 4 3 5 8 2" xfId="35632"/>
    <cellStyle name="Notas 4 3 5 9" xfId="35633"/>
    <cellStyle name="Notas 4 3 5 9 2" xfId="35634"/>
    <cellStyle name="Notas 4 3 6" xfId="35635"/>
    <cellStyle name="Notas 4 3 6 2" xfId="35636"/>
    <cellStyle name="Notas 4 3 7" xfId="35637"/>
    <cellStyle name="Notas 4 3 7 2" xfId="35638"/>
    <cellStyle name="Notas 4 3 8" xfId="35639"/>
    <cellStyle name="Notas 4 3 8 2" xfId="35640"/>
    <cellStyle name="Notas 4 3 9" xfId="35641"/>
    <cellStyle name="Notas 4 3 9 2" xfId="35642"/>
    <cellStyle name="Notas 4 4" xfId="35643"/>
    <cellStyle name="Notas 4 4 10" xfId="35644"/>
    <cellStyle name="Notas 4 4 10 2" xfId="35645"/>
    <cellStyle name="Notas 4 4 11" xfId="35646"/>
    <cellStyle name="Notas 4 4 11 2" xfId="35647"/>
    <cellStyle name="Notas 4 4 12" xfId="35648"/>
    <cellStyle name="Notas 4 4 12 2" xfId="35649"/>
    <cellStyle name="Notas 4 4 13" xfId="35650"/>
    <cellStyle name="Notas 4 4 13 2" xfId="35651"/>
    <cellStyle name="Notas 4 4 14" xfId="35652"/>
    <cellStyle name="Notas 4 4 14 2" xfId="35653"/>
    <cellStyle name="Notas 4 4 15" xfId="35654"/>
    <cellStyle name="Notas 4 4 2" xfId="35655"/>
    <cellStyle name="Notas 4 4 2 10" xfId="35656"/>
    <cellStyle name="Notas 4 4 2 10 2" xfId="35657"/>
    <cellStyle name="Notas 4 4 2 11" xfId="35658"/>
    <cellStyle name="Notas 4 4 2 11 2" xfId="35659"/>
    <cellStyle name="Notas 4 4 2 12" xfId="35660"/>
    <cellStyle name="Notas 4 4 2 12 2" xfId="35661"/>
    <cellStyle name="Notas 4 4 2 13" xfId="35662"/>
    <cellStyle name="Notas 4 4 2 2" xfId="35663"/>
    <cellStyle name="Notas 4 4 2 2 10" xfId="35664"/>
    <cellStyle name="Notas 4 4 2 2 10 2" xfId="35665"/>
    <cellStyle name="Notas 4 4 2 2 11" xfId="35666"/>
    <cellStyle name="Notas 4 4 2 2 2" xfId="35667"/>
    <cellStyle name="Notas 4 4 2 2 2 2" xfId="35668"/>
    <cellStyle name="Notas 4 4 2 2 3" xfId="35669"/>
    <cellStyle name="Notas 4 4 2 2 3 2" xfId="35670"/>
    <cellStyle name="Notas 4 4 2 2 4" xfId="35671"/>
    <cellStyle name="Notas 4 4 2 2 4 2" xfId="35672"/>
    <cellStyle name="Notas 4 4 2 2 5" xfId="35673"/>
    <cellStyle name="Notas 4 4 2 2 5 2" xfId="35674"/>
    <cellStyle name="Notas 4 4 2 2 6" xfId="35675"/>
    <cellStyle name="Notas 4 4 2 2 6 2" xfId="35676"/>
    <cellStyle name="Notas 4 4 2 2 7" xfId="35677"/>
    <cellStyle name="Notas 4 4 2 2 7 2" xfId="35678"/>
    <cellStyle name="Notas 4 4 2 2 8" xfId="35679"/>
    <cellStyle name="Notas 4 4 2 2 8 2" xfId="35680"/>
    <cellStyle name="Notas 4 4 2 2 9" xfId="35681"/>
    <cellStyle name="Notas 4 4 2 2 9 2" xfId="35682"/>
    <cellStyle name="Notas 4 4 2 3" xfId="35683"/>
    <cellStyle name="Notas 4 4 2 3 10" xfId="35684"/>
    <cellStyle name="Notas 4 4 2 3 10 2" xfId="35685"/>
    <cellStyle name="Notas 4 4 2 3 11" xfId="35686"/>
    <cellStyle name="Notas 4 4 2 3 2" xfId="35687"/>
    <cellStyle name="Notas 4 4 2 3 2 2" xfId="35688"/>
    <cellStyle name="Notas 4 4 2 3 3" xfId="35689"/>
    <cellStyle name="Notas 4 4 2 3 3 2" xfId="35690"/>
    <cellStyle name="Notas 4 4 2 3 4" xfId="35691"/>
    <cellStyle name="Notas 4 4 2 3 4 2" xfId="35692"/>
    <cellStyle name="Notas 4 4 2 3 5" xfId="35693"/>
    <cellStyle name="Notas 4 4 2 3 5 2" xfId="35694"/>
    <cellStyle name="Notas 4 4 2 3 6" xfId="35695"/>
    <cellStyle name="Notas 4 4 2 3 6 2" xfId="35696"/>
    <cellStyle name="Notas 4 4 2 3 7" xfId="35697"/>
    <cellStyle name="Notas 4 4 2 3 7 2" xfId="35698"/>
    <cellStyle name="Notas 4 4 2 3 8" xfId="35699"/>
    <cellStyle name="Notas 4 4 2 3 8 2" xfId="35700"/>
    <cellStyle name="Notas 4 4 2 3 9" xfId="35701"/>
    <cellStyle name="Notas 4 4 2 3 9 2" xfId="35702"/>
    <cellStyle name="Notas 4 4 2 4" xfId="35703"/>
    <cellStyle name="Notas 4 4 2 4 2" xfId="35704"/>
    <cellStyle name="Notas 4 4 2 5" xfId="35705"/>
    <cellStyle name="Notas 4 4 2 5 2" xfId="35706"/>
    <cellStyle name="Notas 4 4 2 6" xfId="35707"/>
    <cellStyle name="Notas 4 4 2 6 2" xfId="35708"/>
    <cellStyle name="Notas 4 4 2 7" xfId="35709"/>
    <cellStyle name="Notas 4 4 2 7 2" xfId="35710"/>
    <cellStyle name="Notas 4 4 2 8" xfId="35711"/>
    <cellStyle name="Notas 4 4 2 8 2" xfId="35712"/>
    <cellStyle name="Notas 4 4 2 9" xfId="35713"/>
    <cellStyle name="Notas 4 4 2 9 2" xfId="35714"/>
    <cellStyle name="Notas 4 4 3" xfId="35715"/>
    <cellStyle name="Notas 4 4 3 10" xfId="35716"/>
    <cellStyle name="Notas 4 4 3 10 2" xfId="35717"/>
    <cellStyle name="Notas 4 4 3 11" xfId="35718"/>
    <cellStyle name="Notas 4 4 3 11 2" xfId="35719"/>
    <cellStyle name="Notas 4 4 3 12" xfId="35720"/>
    <cellStyle name="Notas 4 4 3 12 2" xfId="35721"/>
    <cellStyle name="Notas 4 4 3 13" xfId="35722"/>
    <cellStyle name="Notas 4 4 3 2" xfId="35723"/>
    <cellStyle name="Notas 4 4 3 2 10" xfId="35724"/>
    <cellStyle name="Notas 4 4 3 2 10 2" xfId="35725"/>
    <cellStyle name="Notas 4 4 3 2 11" xfId="35726"/>
    <cellStyle name="Notas 4 4 3 2 2" xfId="35727"/>
    <cellStyle name="Notas 4 4 3 2 2 2" xfId="35728"/>
    <cellStyle name="Notas 4 4 3 2 3" xfId="35729"/>
    <cellStyle name="Notas 4 4 3 2 3 2" xfId="35730"/>
    <cellStyle name="Notas 4 4 3 2 4" xfId="35731"/>
    <cellStyle name="Notas 4 4 3 2 4 2" xfId="35732"/>
    <cellStyle name="Notas 4 4 3 2 5" xfId="35733"/>
    <cellStyle name="Notas 4 4 3 2 5 2" xfId="35734"/>
    <cellStyle name="Notas 4 4 3 2 6" xfId="35735"/>
    <cellStyle name="Notas 4 4 3 2 6 2" xfId="35736"/>
    <cellStyle name="Notas 4 4 3 2 7" xfId="35737"/>
    <cellStyle name="Notas 4 4 3 2 7 2" xfId="35738"/>
    <cellStyle name="Notas 4 4 3 2 8" xfId="35739"/>
    <cellStyle name="Notas 4 4 3 2 8 2" xfId="35740"/>
    <cellStyle name="Notas 4 4 3 2 9" xfId="35741"/>
    <cellStyle name="Notas 4 4 3 2 9 2" xfId="35742"/>
    <cellStyle name="Notas 4 4 3 3" xfId="35743"/>
    <cellStyle name="Notas 4 4 3 3 10" xfId="35744"/>
    <cellStyle name="Notas 4 4 3 3 10 2" xfId="35745"/>
    <cellStyle name="Notas 4 4 3 3 11" xfId="35746"/>
    <cellStyle name="Notas 4 4 3 3 2" xfId="35747"/>
    <cellStyle name="Notas 4 4 3 3 2 2" xfId="35748"/>
    <cellStyle name="Notas 4 4 3 3 3" xfId="35749"/>
    <cellStyle name="Notas 4 4 3 3 3 2" xfId="35750"/>
    <cellStyle name="Notas 4 4 3 3 4" xfId="35751"/>
    <cellStyle name="Notas 4 4 3 3 4 2" xfId="35752"/>
    <cellStyle name="Notas 4 4 3 3 5" xfId="35753"/>
    <cellStyle name="Notas 4 4 3 3 5 2" xfId="35754"/>
    <cellStyle name="Notas 4 4 3 3 6" xfId="35755"/>
    <cellStyle name="Notas 4 4 3 3 6 2" xfId="35756"/>
    <cellStyle name="Notas 4 4 3 3 7" xfId="35757"/>
    <cellStyle name="Notas 4 4 3 3 7 2" xfId="35758"/>
    <cellStyle name="Notas 4 4 3 3 8" xfId="35759"/>
    <cellStyle name="Notas 4 4 3 3 8 2" xfId="35760"/>
    <cellStyle name="Notas 4 4 3 3 9" xfId="35761"/>
    <cellStyle name="Notas 4 4 3 3 9 2" xfId="35762"/>
    <cellStyle name="Notas 4 4 3 4" xfId="35763"/>
    <cellStyle name="Notas 4 4 3 4 2" xfId="35764"/>
    <cellStyle name="Notas 4 4 3 5" xfId="35765"/>
    <cellStyle name="Notas 4 4 3 5 2" xfId="35766"/>
    <cellStyle name="Notas 4 4 3 6" xfId="35767"/>
    <cellStyle name="Notas 4 4 3 6 2" xfId="35768"/>
    <cellStyle name="Notas 4 4 3 7" xfId="35769"/>
    <cellStyle name="Notas 4 4 3 7 2" xfId="35770"/>
    <cellStyle name="Notas 4 4 3 8" xfId="35771"/>
    <cellStyle name="Notas 4 4 3 8 2" xfId="35772"/>
    <cellStyle name="Notas 4 4 3 9" xfId="35773"/>
    <cellStyle name="Notas 4 4 3 9 2" xfId="35774"/>
    <cellStyle name="Notas 4 4 4" xfId="35775"/>
    <cellStyle name="Notas 4 4 4 10" xfId="35776"/>
    <cellStyle name="Notas 4 4 4 10 2" xfId="35777"/>
    <cellStyle name="Notas 4 4 4 11" xfId="35778"/>
    <cellStyle name="Notas 4 4 4 2" xfId="35779"/>
    <cellStyle name="Notas 4 4 4 2 2" xfId="35780"/>
    <cellStyle name="Notas 4 4 4 3" xfId="35781"/>
    <cellStyle name="Notas 4 4 4 3 2" xfId="35782"/>
    <cellStyle name="Notas 4 4 4 4" xfId="35783"/>
    <cellStyle name="Notas 4 4 4 4 2" xfId="35784"/>
    <cellStyle name="Notas 4 4 4 5" xfId="35785"/>
    <cellStyle name="Notas 4 4 4 5 2" xfId="35786"/>
    <cellStyle name="Notas 4 4 4 6" xfId="35787"/>
    <cellStyle name="Notas 4 4 4 6 2" xfId="35788"/>
    <cellStyle name="Notas 4 4 4 7" xfId="35789"/>
    <cellStyle name="Notas 4 4 4 7 2" xfId="35790"/>
    <cellStyle name="Notas 4 4 4 8" xfId="35791"/>
    <cellStyle name="Notas 4 4 4 8 2" xfId="35792"/>
    <cellStyle name="Notas 4 4 4 9" xfId="35793"/>
    <cellStyle name="Notas 4 4 4 9 2" xfId="35794"/>
    <cellStyle name="Notas 4 4 5" xfId="35795"/>
    <cellStyle name="Notas 4 4 5 10" xfId="35796"/>
    <cellStyle name="Notas 4 4 5 10 2" xfId="35797"/>
    <cellStyle name="Notas 4 4 5 11" xfId="35798"/>
    <cellStyle name="Notas 4 4 5 2" xfId="35799"/>
    <cellStyle name="Notas 4 4 5 2 2" xfId="35800"/>
    <cellStyle name="Notas 4 4 5 3" xfId="35801"/>
    <cellStyle name="Notas 4 4 5 3 2" xfId="35802"/>
    <cellStyle name="Notas 4 4 5 4" xfId="35803"/>
    <cellStyle name="Notas 4 4 5 4 2" xfId="35804"/>
    <cellStyle name="Notas 4 4 5 5" xfId="35805"/>
    <cellStyle name="Notas 4 4 5 5 2" xfId="35806"/>
    <cellStyle name="Notas 4 4 5 6" xfId="35807"/>
    <cellStyle name="Notas 4 4 5 6 2" xfId="35808"/>
    <cellStyle name="Notas 4 4 5 7" xfId="35809"/>
    <cellStyle name="Notas 4 4 5 7 2" xfId="35810"/>
    <cellStyle name="Notas 4 4 5 8" xfId="35811"/>
    <cellStyle name="Notas 4 4 5 8 2" xfId="35812"/>
    <cellStyle name="Notas 4 4 5 9" xfId="35813"/>
    <cellStyle name="Notas 4 4 5 9 2" xfId="35814"/>
    <cellStyle name="Notas 4 4 6" xfId="35815"/>
    <cellStyle name="Notas 4 4 6 2" xfId="35816"/>
    <cellStyle name="Notas 4 4 7" xfId="35817"/>
    <cellStyle name="Notas 4 4 7 2" xfId="35818"/>
    <cellStyle name="Notas 4 4 8" xfId="35819"/>
    <cellStyle name="Notas 4 4 8 2" xfId="35820"/>
    <cellStyle name="Notas 4 4 9" xfId="35821"/>
    <cellStyle name="Notas 4 4 9 2" xfId="35822"/>
    <cellStyle name="Notas 4 5" xfId="35823"/>
    <cellStyle name="Notas 4 5 10" xfId="35824"/>
    <cellStyle name="Notas 4 5 10 2" xfId="35825"/>
    <cellStyle name="Notas 4 5 11" xfId="35826"/>
    <cellStyle name="Notas 4 5 11 2" xfId="35827"/>
    <cellStyle name="Notas 4 5 12" xfId="35828"/>
    <cellStyle name="Notas 4 5 12 2" xfId="35829"/>
    <cellStyle name="Notas 4 5 13" xfId="35830"/>
    <cellStyle name="Notas 4 5 2" xfId="35831"/>
    <cellStyle name="Notas 4 5 2 10" xfId="35832"/>
    <cellStyle name="Notas 4 5 2 10 2" xfId="35833"/>
    <cellStyle name="Notas 4 5 2 11" xfId="35834"/>
    <cellStyle name="Notas 4 5 2 2" xfId="35835"/>
    <cellStyle name="Notas 4 5 2 2 2" xfId="35836"/>
    <cellStyle name="Notas 4 5 2 3" xfId="35837"/>
    <cellStyle name="Notas 4 5 2 3 2" xfId="35838"/>
    <cellStyle name="Notas 4 5 2 4" xfId="35839"/>
    <cellStyle name="Notas 4 5 2 4 2" xfId="35840"/>
    <cellStyle name="Notas 4 5 2 5" xfId="35841"/>
    <cellStyle name="Notas 4 5 2 5 2" xfId="35842"/>
    <cellStyle name="Notas 4 5 2 6" xfId="35843"/>
    <cellStyle name="Notas 4 5 2 6 2" xfId="35844"/>
    <cellStyle name="Notas 4 5 2 7" xfId="35845"/>
    <cellStyle name="Notas 4 5 2 7 2" xfId="35846"/>
    <cellStyle name="Notas 4 5 2 8" xfId="35847"/>
    <cellStyle name="Notas 4 5 2 8 2" xfId="35848"/>
    <cellStyle name="Notas 4 5 2 9" xfId="35849"/>
    <cellStyle name="Notas 4 5 2 9 2" xfId="35850"/>
    <cellStyle name="Notas 4 5 3" xfId="35851"/>
    <cellStyle name="Notas 4 5 3 10" xfId="35852"/>
    <cellStyle name="Notas 4 5 3 10 2" xfId="35853"/>
    <cellStyle name="Notas 4 5 3 11" xfId="35854"/>
    <cellStyle name="Notas 4 5 3 2" xfId="35855"/>
    <cellStyle name="Notas 4 5 3 2 2" xfId="35856"/>
    <cellStyle name="Notas 4 5 3 3" xfId="35857"/>
    <cellStyle name="Notas 4 5 3 3 2" xfId="35858"/>
    <cellStyle name="Notas 4 5 3 4" xfId="35859"/>
    <cellStyle name="Notas 4 5 3 4 2" xfId="35860"/>
    <cellStyle name="Notas 4 5 3 5" xfId="35861"/>
    <cellStyle name="Notas 4 5 3 5 2" xfId="35862"/>
    <cellStyle name="Notas 4 5 3 6" xfId="35863"/>
    <cellStyle name="Notas 4 5 3 6 2" xfId="35864"/>
    <cellStyle name="Notas 4 5 3 7" xfId="35865"/>
    <cellStyle name="Notas 4 5 3 7 2" xfId="35866"/>
    <cellStyle name="Notas 4 5 3 8" xfId="35867"/>
    <cellStyle name="Notas 4 5 3 8 2" xfId="35868"/>
    <cellStyle name="Notas 4 5 3 9" xfId="35869"/>
    <cellStyle name="Notas 4 5 3 9 2" xfId="35870"/>
    <cellStyle name="Notas 4 5 4" xfId="35871"/>
    <cellStyle name="Notas 4 5 4 2" xfId="35872"/>
    <cellStyle name="Notas 4 5 5" xfId="35873"/>
    <cellStyle name="Notas 4 5 5 2" xfId="35874"/>
    <cellStyle name="Notas 4 5 6" xfId="35875"/>
    <cellStyle name="Notas 4 5 6 2" xfId="35876"/>
    <cellStyle name="Notas 4 5 7" xfId="35877"/>
    <cellStyle name="Notas 4 5 7 2" xfId="35878"/>
    <cellStyle name="Notas 4 5 8" xfId="35879"/>
    <cellStyle name="Notas 4 5 8 2" xfId="35880"/>
    <cellStyle name="Notas 4 5 9" xfId="35881"/>
    <cellStyle name="Notas 4 5 9 2" xfId="35882"/>
    <cellStyle name="Notas 4 6" xfId="35883"/>
    <cellStyle name="Notas 4 6 10" xfId="35884"/>
    <cellStyle name="Notas 4 6 10 2" xfId="35885"/>
    <cellStyle name="Notas 4 6 11" xfId="35886"/>
    <cellStyle name="Notas 4 6 11 2" xfId="35887"/>
    <cellStyle name="Notas 4 6 12" xfId="35888"/>
    <cellStyle name="Notas 4 6 12 2" xfId="35889"/>
    <cellStyle name="Notas 4 6 13" xfId="35890"/>
    <cellStyle name="Notas 4 6 2" xfId="35891"/>
    <cellStyle name="Notas 4 6 2 10" xfId="35892"/>
    <cellStyle name="Notas 4 6 2 10 2" xfId="35893"/>
    <cellStyle name="Notas 4 6 2 11" xfId="35894"/>
    <cellStyle name="Notas 4 6 2 2" xfId="35895"/>
    <cellStyle name="Notas 4 6 2 2 2" xfId="35896"/>
    <cellStyle name="Notas 4 6 2 3" xfId="35897"/>
    <cellStyle name="Notas 4 6 2 3 2" xfId="35898"/>
    <cellStyle name="Notas 4 6 2 4" xfId="35899"/>
    <cellStyle name="Notas 4 6 2 4 2" xfId="35900"/>
    <cellStyle name="Notas 4 6 2 5" xfId="35901"/>
    <cellStyle name="Notas 4 6 2 5 2" xfId="35902"/>
    <cellStyle name="Notas 4 6 2 6" xfId="35903"/>
    <cellStyle name="Notas 4 6 2 6 2" xfId="35904"/>
    <cellStyle name="Notas 4 6 2 7" xfId="35905"/>
    <cellStyle name="Notas 4 6 2 7 2" xfId="35906"/>
    <cellStyle name="Notas 4 6 2 8" xfId="35907"/>
    <cellStyle name="Notas 4 6 2 8 2" xfId="35908"/>
    <cellStyle name="Notas 4 6 2 9" xfId="35909"/>
    <cellStyle name="Notas 4 6 2 9 2" xfId="35910"/>
    <cellStyle name="Notas 4 6 3" xfId="35911"/>
    <cellStyle name="Notas 4 6 3 10" xfId="35912"/>
    <cellStyle name="Notas 4 6 3 10 2" xfId="35913"/>
    <cellStyle name="Notas 4 6 3 11" xfId="35914"/>
    <cellStyle name="Notas 4 6 3 2" xfId="35915"/>
    <cellStyle name="Notas 4 6 3 2 2" xfId="35916"/>
    <cellStyle name="Notas 4 6 3 3" xfId="35917"/>
    <cellStyle name="Notas 4 6 3 3 2" xfId="35918"/>
    <cellStyle name="Notas 4 6 3 4" xfId="35919"/>
    <cellStyle name="Notas 4 6 3 4 2" xfId="35920"/>
    <cellStyle name="Notas 4 6 3 5" xfId="35921"/>
    <cellStyle name="Notas 4 6 3 5 2" xfId="35922"/>
    <cellStyle name="Notas 4 6 3 6" xfId="35923"/>
    <cellStyle name="Notas 4 6 3 6 2" xfId="35924"/>
    <cellStyle name="Notas 4 6 3 7" xfId="35925"/>
    <cellStyle name="Notas 4 6 3 7 2" xfId="35926"/>
    <cellStyle name="Notas 4 6 3 8" xfId="35927"/>
    <cellStyle name="Notas 4 6 3 8 2" xfId="35928"/>
    <cellStyle name="Notas 4 6 3 9" xfId="35929"/>
    <cellStyle name="Notas 4 6 3 9 2" xfId="35930"/>
    <cellStyle name="Notas 4 6 4" xfId="35931"/>
    <cellStyle name="Notas 4 6 4 2" xfId="35932"/>
    <cellStyle name="Notas 4 6 5" xfId="35933"/>
    <cellStyle name="Notas 4 6 5 2" xfId="35934"/>
    <cellStyle name="Notas 4 6 6" xfId="35935"/>
    <cellStyle name="Notas 4 6 6 2" xfId="35936"/>
    <cellStyle name="Notas 4 6 7" xfId="35937"/>
    <cellStyle name="Notas 4 6 7 2" xfId="35938"/>
    <cellStyle name="Notas 4 6 8" xfId="35939"/>
    <cellStyle name="Notas 4 6 8 2" xfId="35940"/>
    <cellStyle name="Notas 4 6 9" xfId="35941"/>
    <cellStyle name="Notas 4 6 9 2" xfId="35942"/>
    <cellStyle name="Notas 4 7" xfId="35943"/>
    <cellStyle name="Notas 4 7 10" xfId="35944"/>
    <cellStyle name="Notas 4 7 10 2" xfId="35945"/>
    <cellStyle name="Notas 4 7 11" xfId="35946"/>
    <cellStyle name="Notas 4 7 2" xfId="35947"/>
    <cellStyle name="Notas 4 7 2 2" xfId="35948"/>
    <cellStyle name="Notas 4 7 3" xfId="35949"/>
    <cellStyle name="Notas 4 7 3 2" xfId="35950"/>
    <cellStyle name="Notas 4 7 4" xfId="35951"/>
    <cellStyle name="Notas 4 7 4 2" xfId="35952"/>
    <cellStyle name="Notas 4 7 5" xfId="35953"/>
    <cellStyle name="Notas 4 7 5 2" xfId="35954"/>
    <cellStyle name="Notas 4 7 6" xfId="35955"/>
    <cellStyle name="Notas 4 7 6 2" xfId="35956"/>
    <cellStyle name="Notas 4 7 7" xfId="35957"/>
    <cellStyle name="Notas 4 7 7 2" xfId="35958"/>
    <cellStyle name="Notas 4 7 8" xfId="35959"/>
    <cellStyle name="Notas 4 7 8 2" xfId="35960"/>
    <cellStyle name="Notas 4 7 9" xfId="35961"/>
    <cellStyle name="Notas 4 7 9 2" xfId="35962"/>
    <cellStyle name="Notas 4 8" xfId="35963"/>
    <cellStyle name="Notas 4 8 10" xfId="35964"/>
    <cellStyle name="Notas 4 8 10 2" xfId="35965"/>
    <cellStyle name="Notas 4 8 11" xfId="35966"/>
    <cellStyle name="Notas 4 8 2" xfId="35967"/>
    <cellStyle name="Notas 4 8 2 2" xfId="35968"/>
    <cellStyle name="Notas 4 8 3" xfId="35969"/>
    <cellStyle name="Notas 4 8 3 2" xfId="35970"/>
    <cellStyle name="Notas 4 8 4" xfId="35971"/>
    <cellStyle name="Notas 4 8 4 2" xfId="35972"/>
    <cellStyle name="Notas 4 8 5" xfId="35973"/>
    <cellStyle name="Notas 4 8 5 2" xfId="35974"/>
    <cellStyle name="Notas 4 8 6" xfId="35975"/>
    <cellStyle name="Notas 4 8 6 2" xfId="35976"/>
    <cellStyle name="Notas 4 8 7" xfId="35977"/>
    <cellStyle name="Notas 4 8 7 2" xfId="35978"/>
    <cellStyle name="Notas 4 8 8" xfId="35979"/>
    <cellStyle name="Notas 4 8 8 2" xfId="35980"/>
    <cellStyle name="Notas 4 8 9" xfId="35981"/>
    <cellStyle name="Notas 4 8 9 2" xfId="35982"/>
    <cellStyle name="Notas 4 9" xfId="35983"/>
    <cellStyle name="Notas 4 9 2" xfId="35984"/>
    <cellStyle name="Notas 5" xfId="35985"/>
    <cellStyle name="Notas 5 10" xfId="35986"/>
    <cellStyle name="Notas 5 10 2" xfId="35987"/>
    <cellStyle name="Notas 5 11" xfId="35988"/>
    <cellStyle name="Notas 5 11 2" xfId="35989"/>
    <cellStyle name="Notas 5 12" xfId="35990"/>
    <cellStyle name="Notas 5 12 2" xfId="35991"/>
    <cellStyle name="Notas 5 13" xfId="35992"/>
    <cellStyle name="Notas 5 2" xfId="35993"/>
    <cellStyle name="Notas 5 2 10" xfId="35994"/>
    <cellStyle name="Notas 5 2 10 2" xfId="35995"/>
    <cellStyle name="Notas 5 2 11" xfId="35996"/>
    <cellStyle name="Notas 5 2 2" xfId="35997"/>
    <cellStyle name="Notas 5 2 2 2" xfId="35998"/>
    <cellStyle name="Notas 5 2 3" xfId="35999"/>
    <cellStyle name="Notas 5 2 3 2" xfId="36000"/>
    <cellStyle name="Notas 5 2 4" xfId="36001"/>
    <cellStyle name="Notas 5 2 4 2" xfId="36002"/>
    <cellStyle name="Notas 5 2 5" xfId="36003"/>
    <cellStyle name="Notas 5 2 5 2" xfId="36004"/>
    <cellStyle name="Notas 5 2 6" xfId="36005"/>
    <cellStyle name="Notas 5 2 6 2" xfId="36006"/>
    <cellStyle name="Notas 5 2 7" xfId="36007"/>
    <cellStyle name="Notas 5 2 7 2" xfId="36008"/>
    <cellStyle name="Notas 5 2 8" xfId="36009"/>
    <cellStyle name="Notas 5 2 8 2" xfId="36010"/>
    <cellStyle name="Notas 5 2 9" xfId="36011"/>
    <cellStyle name="Notas 5 2 9 2" xfId="36012"/>
    <cellStyle name="Notas 5 3" xfId="36013"/>
    <cellStyle name="Notas 5 3 10" xfId="36014"/>
    <cellStyle name="Notas 5 3 10 2" xfId="36015"/>
    <cellStyle name="Notas 5 3 11" xfId="36016"/>
    <cellStyle name="Notas 5 3 2" xfId="36017"/>
    <cellStyle name="Notas 5 3 2 2" xfId="36018"/>
    <cellStyle name="Notas 5 3 3" xfId="36019"/>
    <cellStyle name="Notas 5 3 3 2" xfId="36020"/>
    <cellStyle name="Notas 5 3 4" xfId="36021"/>
    <cellStyle name="Notas 5 3 4 2" xfId="36022"/>
    <cellStyle name="Notas 5 3 5" xfId="36023"/>
    <cellStyle name="Notas 5 3 5 2" xfId="36024"/>
    <cellStyle name="Notas 5 3 6" xfId="36025"/>
    <cellStyle name="Notas 5 3 6 2" xfId="36026"/>
    <cellStyle name="Notas 5 3 7" xfId="36027"/>
    <cellStyle name="Notas 5 3 7 2" xfId="36028"/>
    <cellStyle name="Notas 5 3 8" xfId="36029"/>
    <cellStyle name="Notas 5 3 8 2" xfId="36030"/>
    <cellStyle name="Notas 5 3 9" xfId="36031"/>
    <cellStyle name="Notas 5 3 9 2" xfId="36032"/>
    <cellStyle name="Notas 5 4" xfId="36033"/>
    <cellStyle name="Notas 5 4 2" xfId="36034"/>
    <cellStyle name="Notas 5 5" xfId="36035"/>
    <cellStyle name="Notas 5 5 2" xfId="36036"/>
    <cellStyle name="Notas 5 6" xfId="36037"/>
    <cellStyle name="Notas 5 6 2" xfId="36038"/>
    <cellStyle name="Notas 5 7" xfId="36039"/>
    <cellStyle name="Notas 5 7 2" xfId="36040"/>
    <cellStyle name="Notas 5 8" xfId="36041"/>
    <cellStyle name="Notas 5 8 2" xfId="36042"/>
    <cellStyle name="Notas 5 9" xfId="36043"/>
    <cellStyle name="Notas 5 9 2" xfId="36044"/>
    <cellStyle name="Notas 6" xfId="36045"/>
    <cellStyle name="Notas 6 10" xfId="36046"/>
    <cellStyle name="Notas 6 10 2" xfId="36047"/>
    <cellStyle name="Notas 6 11" xfId="36048"/>
    <cellStyle name="Notas 6 11 2" xfId="36049"/>
    <cellStyle name="Notas 6 12" xfId="36050"/>
    <cellStyle name="Notas 6 12 2" xfId="36051"/>
    <cellStyle name="Notas 6 13" xfId="36052"/>
    <cellStyle name="Notas 6 2" xfId="36053"/>
    <cellStyle name="Notas 6 2 10" xfId="36054"/>
    <cellStyle name="Notas 6 2 10 2" xfId="36055"/>
    <cellStyle name="Notas 6 2 11" xfId="36056"/>
    <cellStyle name="Notas 6 2 2" xfId="36057"/>
    <cellStyle name="Notas 6 2 2 2" xfId="36058"/>
    <cellStyle name="Notas 6 2 3" xfId="36059"/>
    <cellStyle name="Notas 6 2 3 2" xfId="36060"/>
    <cellStyle name="Notas 6 2 4" xfId="36061"/>
    <cellStyle name="Notas 6 2 4 2" xfId="36062"/>
    <cellStyle name="Notas 6 2 5" xfId="36063"/>
    <cellStyle name="Notas 6 2 5 2" xfId="36064"/>
    <cellStyle name="Notas 6 2 6" xfId="36065"/>
    <cellStyle name="Notas 6 2 6 2" xfId="36066"/>
    <cellStyle name="Notas 6 2 7" xfId="36067"/>
    <cellStyle name="Notas 6 2 7 2" xfId="36068"/>
    <cellStyle name="Notas 6 2 8" xfId="36069"/>
    <cellStyle name="Notas 6 2 8 2" xfId="36070"/>
    <cellStyle name="Notas 6 2 9" xfId="36071"/>
    <cellStyle name="Notas 6 2 9 2" xfId="36072"/>
    <cellStyle name="Notas 6 3" xfId="36073"/>
    <cellStyle name="Notas 6 3 10" xfId="36074"/>
    <cellStyle name="Notas 6 3 10 2" xfId="36075"/>
    <cellStyle name="Notas 6 3 11" xfId="36076"/>
    <cellStyle name="Notas 6 3 2" xfId="36077"/>
    <cellStyle name="Notas 6 3 2 2" xfId="36078"/>
    <cellStyle name="Notas 6 3 3" xfId="36079"/>
    <cellStyle name="Notas 6 3 3 2" xfId="36080"/>
    <cellStyle name="Notas 6 3 4" xfId="36081"/>
    <cellStyle name="Notas 6 3 4 2" xfId="36082"/>
    <cellStyle name="Notas 6 3 5" xfId="36083"/>
    <cellStyle name="Notas 6 3 5 2" xfId="36084"/>
    <cellStyle name="Notas 6 3 6" xfId="36085"/>
    <cellStyle name="Notas 6 3 6 2" xfId="36086"/>
    <cellStyle name="Notas 6 3 7" xfId="36087"/>
    <cellStyle name="Notas 6 3 7 2" xfId="36088"/>
    <cellStyle name="Notas 6 3 8" xfId="36089"/>
    <cellStyle name="Notas 6 3 8 2" xfId="36090"/>
    <cellStyle name="Notas 6 3 9" xfId="36091"/>
    <cellStyle name="Notas 6 3 9 2" xfId="36092"/>
    <cellStyle name="Notas 6 4" xfId="36093"/>
    <cellStyle name="Notas 6 4 2" xfId="36094"/>
    <cellStyle name="Notas 6 5" xfId="36095"/>
    <cellStyle name="Notas 6 5 2" xfId="36096"/>
    <cellStyle name="Notas 6 6" xfId="36097"/>
    <cellStyle name="Notas 6 6 2" xfId="36098"/>
    <cellStyle name="Notas 6 7" xfId="36099"/>
    <cellStyle name="Notas 6 7 2" xfId="36100"/>
    <cellStyle name="Notas 6 8" xfId="36101"/>
    <cellStyle name="Notas 6 8 2" xfId="36102"/>
    <cellStyle name="Notas 6 9" xfId="36103"/>
    <cellStyle name="Notas 6 9 2" xfId="36104"/>
    <cellStyle name="Notas 7" xfId="36105"/>
    <cellStyle name="Notas 7 10" xfId="36106"/>
    <cellStyle name="Notas 7 10 2" xfId="36107"/>
    <cellStyle name="Notas 7 11" xfId="36108"/>
    <cellStyle name="Notas 7 11 2" xfId="36109"/>
    <cellStyle name="Notas 7 12" xfId="36110"/>
    <cellStyle name="Notas 7 12 2" xfId="36111"/>
    <cellStyle name="Notas 7 13" xfId="36112"/>
    <cellStyle name="Notas 7 2" xfId="36113"/>
    <cellStyle name="Notas 7 2 10" xfId="36114"/>
    <cellStyle name="Notas 7 2 10 2" xfId="36115"/>
    <cellStyle name="Notas 7 2 11" xfId="36116"/>
    <cellStyle name="Notas 7 2 2" xfId="36117"/>
    <cellStyle name="Notas 7 2 2 2" xfId="36118"/>
    <cellStyle name="Notas 7 2 3" xfId="36119"/>
    <cellStyle name="Notas 7 2 3 2" xfId="36120"/>
    <cellStyle name="Notas 7 2 4" xfId="36121"/>
    <cellStyle name="Notas 7 2 4 2" xfId="36122"/>
    <cellStyle name="Notas 7 2 5" xfId="36123"/>
    <cellStyle name="Notas 7 2 5 2" xfId="36124"/>
    <cellStyle name="Notas 7 2 6" xfId="36125"/>
    <cellStyle name="Notas 7 2 6 2" xfId="36126"/>
    <cellStyle name="Notas 7 2 7" xfId="36127"/>
    <cellStyle name="Notas 7 2 7 2" xfId="36128"/>
    <cellStyle name="Notas 7 2 8" xfId="36129"/>
    <cellStyle name="Notas 7 2 8 2" xfId="36130"/>
    <cellStyle name="Notas 7 2 9" xfId="36131"/>
    <cellStyle name="Notas 7 2 9 2" xfId="36132"/>
    <cellStyle name="Notas 7 3" xfId="36133"/>
    <cellStyle name="Notas 7 3 10" xfId="36134"/>
    <cellStyle name="Notas 7 3 10 2" xfId="36135"/>
    <cellStyle name="Notas 7 3 11" xfId="36136"/>
    <cellStyle name="Notas 7 3 2" xfId="36137"/>
    <cellStyle name="Notas 7 3 2 2" xfId="36138"/>
    <cellStyle name="Notas 7 3 3" xfId="36139"/>
    <cellStyle name="Notas 7 3 3 2" xfId="36140"/>
    <cellStyle name="Notas 7 3 4" xfId="36141"/>
    <cellStyle name="Notas 7 3 4 2" xfId="36142"/>
    <cellStyle name="Notas 7 3 5" xfId="36143"/>
    <cellStyle name="Notas 7 3 5 2" xfId="36144"/>
    <cellStyle name="Notas 7 3 6" xfId="36145"/>
    <cellStyle name="Notas 7 3 6 2" xfId="36146"/>
    <cellStyle name="Notas 7 3 7" xfId="36147"/>
    <cellStyle name="Notas 7 3 7 2" xfId="36148"/>
    <cellStyle name="Notas 7 3 8" xfId="36149"/>
    <cellStyle name="Notas 7 3 8 2" xfId="36150"/>
    <cellStyle name="Notas 7 3 9" xfId="36151"/>
    <cellStyle name="Notas 7 3 9 2" xfId="36152"/>
    <cellStyle name="Notas 7 4" xfId="36153"/>
    <cellStyle name="Notas 7 4 2" xfId="36154"/>
    <cellStyle name="Notas 7 5" xfId="36155"/>
    <cellStyle name="Notas 7 5 2" xfId="36156"/>
    <cellStyle name="Notas 7 6" xfId="36157"/>
    <cellStyle name="Notas 7 6 2" xfId="36158"/>
    <cellStyle name="Notas 7 7" xfId="36159"/>
    <cellStyle name="Notas 7 7 2" xfId="36160"/>
    <cellStyle name="Notas 7 8" xfId="36161"/>
    <cellStyle name="Notas 7 8 2" xfId="36162"/>
    <cellStyle name="Notas 7 9" xfId="36163"/>
    <cellStyle name="Notas 7 9 2" xfId="36164"/>
    <cellStyle name="Notas 8" xfId="36165"/>
    <cellStyle name="Notas 9" xfId="36166"/>
    <cellStyle name="Porcentaje 2" xfId="36167"/>
    <cellStyle name="Porcentaje 3" xfId="36168"/>
    <cellStyle name="Porcentual" xfId="2" builtinId="5"/>
    <cellStyle name="Porcentual 10" xfId="36169"/>
    <cellStyle name="Porcentual 10 10" xfId="36170"/>
    <cellStyle name="Porcentual 10 11" xfId="36171"/>
    <cellStyle name="Porcentual 10 12" xfId="36172"/>
    <cellStyle name="Porcentual 10 2" xfId="36173"/>
    <cellStyle name="Porcentual 10 3" xfId="36174"/>
    <cellStyle name="Porcentual 10 4" xfId="36175"/>
    <cellStyle name="Porcentual 10 5" xfId="36176"/>
    <cellStyle name="Porcentual 10 6" xfId="36177"/>
    <cellStyle name="Porcentual 10 7" xfId="36178"/>
    <cellStyle name="Porcentual 10 8" xfId="36179"/>
    <cellStyle name="Porcentual 10 9" xfId="36180"/>
    <cellStyle name="Porcentual 11" xfId="36181"/>
    <cellStyle name="Porcentual 11 10" xfId="36182"/>
    <cellStyle name="Porcentual 11 11" xfId="36183"/>
    <cellStyle name="Porcentual 11 12" xfId="36184"/>
    <cellStyle name="Porcentual 11 2" xfId="36185"/>
    <cellStyle name="Porcentual 11 3" xfId="36186"/>
    <cellStyle name="Porcentual 11 4" xfId="36187"/>
    <cellStyle name="Porcentual 11 5" xfId="36188"/>
    <cellStyle name="Porcentual 11 6" xfId="36189"/>
    <cellStyle name="Porcentual 11 7" xfId="36190"/>
    <cellStyle name="Porcentual 11 8" xfId="36191"/>
    <cellStyle name="Porcentual 11 9" xfId="36192"/>
    <cellStyle name="Porcentual 12" xfId="36193"/>
    <cellStyle name="Porcentual 13" xfId="36194"/>
    <cellStyle name="Porcentual 14" xfId="36195"/>
    <cellStyle name="Porcentual 2" xfId="36196"/>
    <cellStyle name="Porcentual 2 2" xfId="36197"/>
    <cellStyle name="Porcentual 2 2 10" xfId="36198"/>
    <cellStyle name="Porcentual 2 2 11" xfId="36199"/>
    <cellStyle name="Porcentual 2 2 12" xfId="36200"/>
    <cellStyle name="Porcentual 2 2 13" xfId="36201"/>
    <cellStyle name="Porcentual 2 2 14" xfId="36202"/>
    <cellStyle name="Porcentual 2 2 15" xfId="36203"/>
    <cellStyle name="Porcentual 2 2 16" xfId="36204"/>
    <cellStyle name="Porcentual 2 2 2" xfId="36205"/>
    <cellStyle name="Porcentual 2 2 3" xfId="36206"/>
    <cellStyle name="Porcentual 2 2 4" xfId="36207"/>
    <cellStyle name="Porcentual 2 2 5" xfId="36208"/>
    <cellStyle name="Porcentual 2 2 6" xfId="36209"/>
    <cellStyle name="Porcentual 2 2 7" xfId="36210"/>
    <cellStyle name="Porcentual 2 2 8" xfId="36211"/>
    <cellStyle name="Porcentual 2 2 9" xfId="36212"/>
    <cellStyle name="Porcentual 2 3" xfId="36213"/>
    <cellStyle name="Porcentual 2 3 10" xfId="36214"/>
    <cellStyle name="Porcentual 2 3 11" xfId="36215"/>
    <cellStyle name="Porcentual 2 3 12" xfId="36216"/>
    <cellStyle name="Porcentual 2 3 13" xfId="36217"/>
    <cellStyle name="Porcentual 2 3 14" xfId="36218"/>
    <cellStyle name="Porcentual 2 3 2" xfId="36219"/>
    <cellStyle name="Porcentual 2 3 3" xfId="36220"/>
    <cellStyle name="Porcentual 2 3 4" xfId="36221"/>
    <cellStyle name="Porcentual 2 3 5" xfId="36222"/>
    <cellStyle name="Porcentual 2 3 6" xfId="36223"/>
    <cellStyle name="Porcentual 2 3 7" xfId="36224"/>
    <cellStyle name="Porcentual 2 3 8" xfId="36225"/>
    <cellStyle name="Porcentual 2 3 9" xfId="36226"/>
    <cellStyle name="Porcentual 2 4" xfId="36227"/>
    <cellStyle name="Porcentual 2 5" xfId="36228"/>
    <cellStyle name="Porcentual 2 6" xfId="36229"/>
    <cellStyle name="Porcentual 2 7" xfId="36230"/>
    <cellStyle name="Porcentual 3" xfId="36231"/>
    <cellStyle name="Porcentual 3 10" xfId="36232"/>
    <cellStyle name="Porcentual 3 11" xfId="36233"/>
    <cellStyle name="Porcentual 3 12" xfId="36234"/>
    <cellStyle name="Porcentual 3 13" xfId="36235"/>
    <cellStyle name="Porcentual 3 14" xfId="36236"/>
    <cellStyle name="Porcentual 3 15" xfId="36237"/>
    <cellStyle name="Porcentual 3 16" xfId="36238"/>
    <cellStyle name="Porcentual 3 17" xfId="36239"/>
    <cellStyle name="Porcentual 3 2" xfId="36240"/>
    <cellStyle name="Porcentual 3 2 2" xfId="36241"/>
    <cellStyle name="Porcentual 3 3" xfId="36242"/>
    <cellStyle name="Porcentual 3 4" xfId="36243"/>
    <cellStyle name="Porcentual 3 5" xfId="36244"/>
    <cellStyle name="Porcentual 3 6" xfId="36245"/>
    <cellStyle name="Porcentual 3 7" xfId="36246"/>
    <cellStyle name="Porcentual 3 8" xfId="36247"/>
    <cellStyle name="Porcentual 3 9" xfId="36248"/>
    <cellStyle name="Porcentual 4" xfId="36249"/>
    <cellStyle name="Porcentual 4 10" xfId="36250"/>
    <cellStyle name="Porcentual 4 11" xfId="36251"/>
    <cellStyle name="Porcentual 4 12" xfId="36252"/>
    <cellStyle name="Porcentual 4 13" xfId="36253"/>
    <cellStyle name="Porcentual 4 14" xfId="36254"/>
    <cellStyle name="Porcentual 4 15" xfId="36255"/>
    <cellStyle name="Porcentual 4 16" xfId="36256"/>
    <cellStyle name="Porcentual 4 17" xfId="36257"/>
    <cellStyle name="Porcentual 4 2" xfId="36258"/>
    <cellStyle name="Porcentual 4 3" xfId="36259"/>
    <cellStyle name="Porcentual 4 4" xfId="36260"/>
    <cellStyle name="Porcentual 4 5" xfId="36261"/>
    <cellStyle name="Porcentual 4 6" xfId="36262"/>
    <cellStyle name="Porcentual 4 7" xfId="36263"/>
    <cellStyle name="Porcentual 4 8" xfId="36264"/>
    <cellStyle name="Porcentual 4 9" xfId="36265"/>
    <cellStyle name="Porcentual 5" xfId="36266"/>
    <cellStyle name="Porcentual 5 10" xfId="36267"/>
    <cellStyle name="Porcentual 5 11" xfId="36268"/>
    <cellStyle name="Porcentual 5 12" xfId="36269"/>
    <cellStyle name="Porcentual 5 13" xfId="36270"/>
    <cellStyle name="Porcentual 5 14" xfId="36271"/>
    <cellStyle name="Porcentual 5 15" xfId="36272"/>
    <cellStyle name="Porcentual 5 16" xfId="36273"/>
    <cellStyle name="Porcentual 5 17" xfId="36274"/>
    <cellStyle name="Porcentual 5 2" xfId="36275"/>
    <cellStyle name="Porcentual 5 3" xfId="36276"/>
    <cellStyle name="Porcentual 5 4" xfId="36277"/>
    <cellStyle name="Porcentual 5 5" xfId="36278"/>
    <cellStyle name="Porcentual 5 6" xfId="36279"/>
    <cellStyle name="Porcentual 5 7" xfId="36280"/>
    <cellStyle name="Porcentual 5 8" xfId="36281"/>
    <cellStyle name="Porcentual 5 9" xfId="36282"/>
    <cellStyle name="Porcentual 6" xfId="36283"/>
    <cellStyle name="Porcentual 6 10" xfId="36284"/>
    <cellStyle name="Porcentual 6 11" xfId="36285"/>
    <cellStyle name="Porcentual 6 12" xfId="36286"/>
    <cellStyle name="Porcentual 6 13" xfId="36287"/>
    <cellStyle name="Porcentual 6 14" xfId="36288"/>
    <cellStyle name="Porcentual 6 15" xfId="36289"/>
    <cellStyle name="Porcentual 6 16" xfId="36290"/>
    <cellStyle name="Porcentual 6 17" xfId="36291"/>
    <cellStyle name="Porcentual 6 2" xfId="36292"/>
    <cellStyle name="Porcentual 6 3" xfId="36293"/>
    <cellStyle name="Porcentual 6 4" xfId="36294"/>
    <cellStyle name="Porcentual 6 5" xfId="36295"/>
    <cellStyle name="Porcentual 6 6" xfId="36296"/>
    <cellStyle name="Porcentual 6 7" xfId="36297"/>
    <cellStyle name="Porcentual 6 8" xfId="36298"/>
    <cellStyle name="Porcentual 6 9" xfId="36299"/>
    <cellStyle name="Porcentual 7" xfId="36300"/>
    <cellStyle name="Porcentual 7 2" xfId="36301"/>
    <cellStyle name="Porcentual 7 2 10" xfId="36302"/>
    <cellStyle name="Porcentual 7 2 11" xfId="36303"/>
    <cellStyle name="Porcentual 7 2 12" xfId="36304"/>
    <cellStyle name="Porcentual 7 2 13" xfId="36305"/>
    <cellStyle name="Porcentual 7 2 14" xfId="36306"/>
    <cellStyle name="Porcentual 7 2 15" xfId="36307"/>
    <cellStyle name="Porcentual 7 2 2" xfId="36308"/>
    <cellStyle name="Porcentual 7 2 3" xfId="36309"/>
    <cellStyle name="Porcentual 7 2 4" xfId="36310"/>
    <cellStyle name="Porcentual 7 2 5" xfId="36311"/>
    <cellStyle name="Porcentual 7 2 6" xfId="36312"/>
    <cellStyle name="Porcentual 7 2 7" xfId="36313"/>
    <cellStyle name="Porcentual 7 2 8" xfId="36314"/>
    <cellStyle name="Porcentual 7 2 9" xfId="36315"/>
    <cellStyle name="Porcentual 7 3" xfId="36316"/>
    <cellStyle name="Porcentual 7 3 10" xfId="36317"/>
    <cellStyle name="Porcentual 7 3 11" xfId="36318"/>
    <cellStyle name="Porcentual 7 3 12" xfId="36319"/>
    <cellStyle name="Porcentual 7 3 13" xfId="36320"/>
    <cellStyle name="Porcentual 7 3 14" xfId="36321"/>
    <cellStyle name="Porcentual 7 3 2" xfId="36322"/>
    <cellStyle name="Porcentual 7 3 3" xfId="36323"/>
    <cellStyle name="Porcentual 7 3 4" xfId="36324"/>
    <cellStyle name="Porcentual 7 3 5" xfId="36325"/>
    <cellStyle name="Porcentual 7 3 6" xfId="36326"/>
    <cellStyle name="Porcentual 7 3 7" xfId="36327"/>
    <cellStyle name="Porcentual 7 3 8" xfId="36328"/>
    <cellStyle name="Porcentual 7 3 9" xfId="36329"/>
    <cellStyle name="Porcentual 8" xfId="36330"/>
    <cellStyle name="Porcentual 9" xfId="36331"/>
    <cellStyle name="Porcentual 9 10" xfId="36332"/>
    <cellStyle name="Porcentual 9 10 2" xfId="36333"/>
    <cellStyle name="Porcentual 9 11" xfId="36334"/>
    <cellStyle name="Porcentual 9 11 2" xfId="36335"/>
    <cellStyle name="Porcentual 9 12" xfId="36336"/>
    <cellStyle name="Porcentual 9 12 2" xfId="36337"/>
    <cellStyle name="Porcentual 9 13" xfId="36338"/>
    <cellStyle name="Porcentual 9 2" xfId="36339"/>
    <cellStyle name="Porcentual 9 2 10" xfId="36340"/>
    <cellStyle name="Porcentual 9 2 10 2" xfId="36341"/>
    <cellStyle name="Porcentual 9 2 11" xfId="36342"/>
    <cellStyle name="Porcentual 9 2 11 2" xfId="36343"/>
    <cellStyle name="Porcentual 9 2 12" xfId="36344"/>
    <cellStyle name="Porcentual 9 2 2" xfId="36345"/>
    <cellStyle name="Porcentual 9 2 2 10" xfId="36346"/>
    <cellStyle name="Porcentual 9 2 2 10 2" xfId="36347"/>
    <cellStyle name="Porcentual 9 2 2 11" xfId="36348"/>
    <cellStyle name="Porcentual 9 2 2 2" xfId="36349"/>
    <cellStyle name="Porcentual 9 2 2 2 2" xfId="36350"/>
    <cellStyle name="Porcentual 9 2 2 3" xfId="36351"/>
    <cellStyle name="Porcentual 9 2 2 3 2" xfId="36352"/>
    <cellStyle name="Porcentual 9 2 2 4" xfId="36353"/>
    <cellStyle name="Porcentual 9 2 2 4 2" xfId="36354"/>
    <cellStyle name="Porcentual 9 2 2 5" xfId="36355"/>
    <cellStyle name="Porcentual 9 2 2 5 2" xfId="36356"/>
    <cellStyle name="Porcentual 9 2 2 6" xfId="36357"/>
    <cellStyle name="Porcentual 9 2 2 6 2" xfId="36358"/>
    <cellStyle name="Porcentual 9 2 2 7" xfId="36359"/>
    <cellStyle name="Porcentual 9 2 2 7 2" xfId="36360"/>
    <cellStyle name="Porcentual 9 2 2 8" xfId="36361"/>
    <cellStyle name="Porcentual 9 2 2 8 2" xfId="36362"/>
    <cellStyle name="Porcentual 9 2 2 9" xfId="36363"/>
    <cellStyle name="Porcentual 9 2 2 9 2" xfId="36364"/>
    <cellStyle name="Porcentual 9 2 3" xfId="36365"/>
    <cellStyle name="Porcentual 9 2 3 2" xfId="36366"/>
    <cellStyle name="Porcentual 9 2 4" xfId="36367"/>
    <cellStyle name="Porcentual 9 2 4 2" xfId="36368"/>
    <cellStyle name="Porcentual 9 2 5" xfId="36369"/>
    <cellStyle name="Porcentual 9 2 5 2" xfId="36370"/>
    <cellStyle name="Porcentual 9 2 6" xfId="36371"/>
    <cellStyle name="Porcentual 9 2 6 2" xfId="36372"/>
    <cellStyle name="Porcentual 9 2 7" xfId="36373"/>
    <cellStyle name="Porcentual 9 2 7 2" xfId="36374"/>
    <cellStyle name="Porcentual 9 2 8" xfId="36375"/>
    <cellStyle name="Porcentual 9 2 8 2" xfId="36376"/>
    <cellStyle name="Porcentual 9 2 9" xfId="36377"/>
    <cellStyle name="Porcentual 9 2 9 2" xfId="36378"/>
    <cellStyle name="Porcentual 9 3" xfId="36379"/>
    <cellStyle name="Porcentual 9 3 10" xfId="36380"/>
    <cellStyle name="Porcentual 9 3 10 2" xfId="36381"/>
    <cellStyle name="Porcentual 9 3 11" xfId="36382"/>
    <cellStyle name="Porcentual 9 3 2" xfId="36383"/>
    <cellStyle name="Porcentual 9 3 2 2" xfId="36384"/>
    <cellStyle name="Porcentual 9 3 3" xfId="36385"/>
    <cellStyle name="Porcentual 9 3 3 2" xfId="36386"/>
    <cellStyle name="Porcentual 9 3 4" xfId="36387"/>
    <cellStyle name="Porcentual 9 3 4 2" xfId="36388"/>
    <cellStyle name="Porcentual 9 3 5" xfId="36389"/>
    <cellStyle name="Porcentual 9 3 5 2" xfId="36390"/>
    <cellStyle name="Porcentual 9 3 6" xfId="36391"/>
    <cellStyle name="Porcentual 9 3 6 2" xfId="36392"/>
    <cellStyle name="Porcentual 9 3 7" xfId="36393"/>
    <cellStyle name="Porcentual 9 3 7 2" xfId="36394"/>
    <cellStyle name="Porcentual 9 3 8" xfId="36395"/>
    <cellStyle name="Porcentual 9 3 8 2" xfId="36396"/>
    <cellStyle name="Porcentual 9 3 9" xfId="36397"/>
    <cellStyle name="Porcentual 9 3 9 2" xfId="36398"/>
    <cellStyle name="Porcentual 9 4" xfId="36399"/>
    <cellStyle name="Porcentual 9 4 2" xfId="36400"/>
    <cellStyle name="Porcentual 9 5" xfId="36401"/>
    <cellStyle name="Porcentual 9 5 2" xfId="36402"/>
    <cellStyle name="Porcentual 9 6" xfId="36403"/>
    <cellStyle name="Porcentual 9 6 2" xfId="36404"/>
    <cellStyle name="Porcentual 9 7" xfId="36405"/>
    <cellStyle name="Porcentual 9 7 2" xfId="36406"/>
    <cellStyle name="Porcentual 9 8" xfId="36407"/>
    <cellStyle name="Porcentual 9 8 2" xfId="36408"/>
    <cellStyle name="Porcentual 9 9" xfId="36409"/>
    <cellStyle name="Porcentual 9 9 2" xfId="36410"/>
    <cellStyle name="Salida 2" xfId="36411"/>
    <cellStyle name="Salida 2 10" xfId="36412"/>
    <cellStyle name="Salida 2 10 2" xfId="36413"/>
    <cellStyle name="Salida 2 11" xfId="36414"/>
    <cellStyle name="Salida 2 11 2" xfId="36415"/>
    <cellStyle name="Salida 2 12" xfId="36416"/>
    <cellStyle name="Salida 2 12 2" xfId="36417"/>
    <cellStyle name="Salida 2 13" xfId="36418"/>
    <cellStyle name="Salida 2 13 2" xfId="36419"/>
    <cellStyle name="Salida 2 14" xfId="36420"/>
    <cellStyle name="Salida 2 14 2" xfId="36421"/>
    <cellStyle name="Salida 2 15" xfId="36422"/>
    <cellStyle name="Salida 2 15 2" xfId="36423"/>
    <cellStyle name="Salida 2 16" xfId="36424"/>
    <cellStyle name="Salida 2 16 2" xfId="36425"/>
    <cellStyle name="Salida 2 17" xfId="36426"/>
    <cellStyle name="Salida 2 17 2" xfId="36427"/>
    <cellStyle name="Salida 2 18" xfId="36428"/>
    <cellStyle name="Salida 2 18 2" xfId="36429"/>
    <cellStyle name="Salida 2 19" xfId="36430"/>
    <cellStyle name="Salida 2 2" xfId="36431"/>
    <cellStyle name="Salida 2 2 10" xfId="36432"/>
    <cellStyle name="Salida 2 2 10 2" xfId="36433"/>
    <cellStyle name="Salida 2 2 11" xfId="36434"/>
    <cellStyle name="Salida 2 2 11 2" xfId="36435"/>
    <cellStyle name="Salida 2 2 12" xfId="36436"/>
    <cellStyle name="Salida 2 2 12 2" xfId="36437"/>
    <cellStyle name="Salida 2 2 13" xfId="36438"/>
    <cellStyle name="Salida 2 2 13 2" xfId="36439"/>
    <cellStyle name="Salida 2 2 14" xfId="36440"/>
    <cellStyle name="Salida 2 2 14 2" xfId="36441"/>
    <cellStyle name="Salida 2 2 15" xfId="36442"/>
    <cellStyle name="Salida 2 2 15 2" xfId="36443"/>
    <cellStyle name="Salida 2 2 16" xfId="36444"/>
    <cellStyle name="Salida 2 2 17" xfId="36445"/>
    <cellStyle name="Salida 2 2 18" xfId="36446"/>
    <cellStyle name="Salida 2 2 2" xfId="36447"/>
    <cellStyle name="Salida 2 2 2 10" xfId="36448"/>
    <cellStyle name="Salida 2 2 2 10 2" xfId="36449"/>
    <cellStyle name="Salida 2 2 2 11" xfId="36450"/>
    <cellStyle name="Salida 2 2 2 11 2" xfId="36451"/>
    <cellStyle name="Salida 2 2 2 12" xfId="36452"/>
    <cellStyle name="Salida 2 2 2 12 2" xfId="36453"/>
    <cellStyle name="Salida 2 2 2 13" xfId="36454"/>
    <cellStyle name="Salida 2 2 2 13 2" xfId="36455"/>
    <cellStyle name="Salida 2 2 2 14" xfId="36456"/>
    <cellStyle name="Salida 2 2 2 14 2" xfId="36457"/>
    <cellStyle name="Salida 2 2 2 15" xfId="36458"/>
    <cellStyle name="Salida 2 2 2 2" xfId="36459"/>
    <cellStyle name="Salida 2 2 2 2 10" xfId="36460"/>
    <cellStyle name="Salida 2 2 2 2 10 2" xfId="36461"/>
    <cellStyle name="Salida 2 2 2 2 11" xfId="36462"/>
    <cellStyle name="Salida 2 2 2 2 11 2" xfId="36463"/>
    <cellStyle name="Salida 2 2 2 2 12" xfId="36464"/>
    <cellStyle name="Salida 2 2 2 2 12 2" xfId="36465"/>
    <cellStyle name="Salida 2 2 2 2 13" xfId="36466"/>
    <cellStyle name="Salida 2 2 2 2 2" xfId="36467"/>
    <cellStyle name="Salida 2 2 2 2 2 10" xfId="36468"/>
    <cellStyle name="Salida 2 2 2 2 2 10 2" xfId="36469"/>
    <cellStyle name="Salida 2 2 2 2 2 11" xfId="36470"/>
    <cellStyle name="Salida 2 2 2 2 2 2" xfId="36471"/>
    <cellStyle name="Salida 2 2 2 2 2 2 2" xfId="36472"/>
    <cellStyle name="Salida 2 2 2 2 2 3" xfId="36473"/>
    <cellStyle name="Salida 2 2 2 2 2 3 2" xfId="36474"/>
    <cellStyle name="Salida 2 2 2 2 2 4" xfId="36475"/>
    <cellStyle name="Salida 2 2 2 2 2 4 2" xfId="36476"/>
    <cellStyle name="Salida 2 2 2 2 2 5" xfId="36477"/>
    <cellStyle name="Salida 2 2 2 2 2 5 2" xfId="36478"/>
    <cellStyle name="Salida 2 2 2 2 2 6" xfId="36479"/>
    <cellStyle name="Salida 2 2 2 2 2 6 2" xfId="36480"/>
    <cellStyle name="Salida 2 2 2 2 2 7" xfId="36481"/>
    <cellStyle name="Salida 2 2 2 2 2 7 2" xfId="36482"/>
    <cellStyle name="Salida 2 2 2 2 2 8" xfId="36483"/>
    <cellStyle name="Salida 2 2 2 2 2 8 2" xfId="36484"/>
    <cellStyle name="Salida 2 2 2 2 2 9" xfId="36485"/>
    <cellStyle name="Salida 2 2 2 2 2 9 2" xfId="36486"/>
    <cellStyle name="Salida 2 2 2 2 3" xfId="36487"/>
    <cellStyle name="Salida 2 2 2 2 3 10" xfId="36488"/>
    <cellStyle name="Salida 2 2 2 2 3 10 2" xfId="36489"/>
    <cellStyle name="Salida 2 2 2 2 3 11" xfId="36490"/>
    <cellStyle name="Salida 2 2 2 2 3 2" xfId="36491"/>
    <cellStyle name="Salida 2 2 2 2 3 2 2" xfId="36492"/>
    <cellStyle name="Salida 2 2 2 2 3 3" xfId="36493"/>
    <cellStyle name="Salida 2 2 2 2 3 3 2" xfId="36494"/>
    <cellStyle name="Salida 2 2 2 2 3 4" xfId="36495"/>
    <cellStyle name="Salida 2 2 2 2 3 4 2" xfId="36496"/>
    <cellStyle name="Salida 2 2 2 2 3 5" xfId="36497"/>
    <cellStyle name="Salida 2 2 2 2 3 5 2" xfId="36498"/>
    <cellStyle name="Salida 2 2 2 2 3 6" xfId="36499"/>
    <cellStyle name="Salida 2 2 2 2 3 6 2" xfId="36500"/>
    <cellStyle name="Salida 2 2 2 2 3 7" xfId="36501"/>
    <cellStyle name="Salida 2 2 2 2 3 7 2" xfId="36502"/>
    <cellStyle name="Salida 2 2 2 2 3 8" xfId="36503"/>
    <cellStyle name="Salida 2 2 2 2 3 8 2" xfId="36504"/>
    <cellStyle name="Salida 2 2 2 2 3 9" xfId="36505"/>
    <cellStyle name="Salida 2 2 2 2 3 9 2" xfId="36506"/>
    <cellStyle name="Salida 2 2 2 2 4" xfId="36507"/>
    <cellStyle name="Salida 2 2 2 2 4 2" xfId="36508"/>
    <cellStyle name="Salida 2 2 2 2 5" xfId="36509"/>
    <cellStyle name="Salida 2 2 2 2 5 2" xfId="36510"/>
    <cellStyle name="Salida 2 2 2 2 6" xfId="36511"/>
    <cellStyle name="Salida 2 2 2 2 6 2" xfId="36512"/>
    <cellStyle name="Salida 2 2 2 2 7" xfId="36513"/>
    <cellStyle name="Salida 2 2 2 2 7 2" xfId="36514"/>
    <cellStyle name="Salida 2 2 2 2 8" xfId="36515"/>
    <cellStyle name="Salida 2 2 2 2 8 2" xfId="36516"/>
    <cellStyle name="Salida 2 2 2 2 9" xfId="36517"/>
    <cellStyle name="Salida 2 2 2 2 9 2" xfId="36518"/>
    <cellStyle name="Salida 2 2 2 3" xfId="36519"/>
    <cellStyle name="Salida 2 2 2 3 10" xfId="36520"/>
    <cellStyle name="Salida 2 2 2 3 10 2" xfId="36521"/>
    <cellStyle name="Salida 2 2 2 3 11" xfId="36522"/>
    <cellStyle name="Salida 2 2 2 3 11 2" xfId="36523"/>
    <cellStyle name="Salida 2 2 2 3 12" xfId="36524"/>
    <cellStyle name="Salida 2 2 2 3 12 2" xfId="36525"/>
    <cellStyle name="Salida 2 2 2 3 13" xfId="36526"/>
    <cellStyle name="Salida 2 2 2 3 2" xfId="36527"/>
    <cellStyle name="Salida 2 2 2 3 2 10" xfId="36528"/>
    <cellStyle name="Salida 2 2 2 3 2 10 2" xfId="36529"/>
    <cellStyle name="Salida 2 2 2 3 2 11" xfId="36530"/>
    <cellStyle name="Salida 2 2 2 3 2 2" xfId="36531"/>
    <cellStyle name="Salida 2 2 2 3 2 2 2" xfId="36532"/>
    <cellStyle name="Salida 2 2 2 3 2 3" xfId="36533"/>
    <cellStyle name="Salida 2 2 2 3 2 3 2" xfId="36534"/>
    <cellStyle name="Salida 2 2 2 3 2 4" xfId="36535"/>
    <cellStyle name="Salida 2 2 2 3 2 4 2" xfId="36536"/>
    <cellStyle name="Salida 2 2 2 3 2 5" xfId="36537"/>
    <cellStyle name="Salida 2 2 2 3 2 5 2" xfId="36538"/>
    <cellStyle name="Salida 2 2 2 3 2 6" xfId="36539"/>
    <cellStyle name="Salida 2 2 2 3 2 6 2" xfId="36540"/>
    <cellStyle name="Salida 2 2 2 3 2 7" xfId="36541"/>
    <cellStyle name="Salida 2 2 2 3 2 7 2" xfId="36542"/>
    <cellStyle name="Salida 2 2 2 3 2 8" xfId="36543"/>
    <cellStyle name="Salida 2 2 2 3 2 8 2" xfId="36544"/>
    <cellStyle name="Salida 2 2 2 3 2 9" xfId="36545"/>
    <cellStyle name="Salida 2 2 2 3 2 9 2" xfId="36546"/>
    <cellStyle name="Salida 2 2 2 3 3" xfId="36547"/>
    <cellStyle name="Salida 2 2 2 3 3 10" xfId="36548"/>
    <cellStyle name="Salida 2 2 2 3 3 10 2" xfId="36549"/>
    <cellStyle name="Salida 2 2 2 3 3 11" xfId="36550"/>
    <cellStyle name="Salida 2 2 2 3 3 2" xfId="36551"/>
    <cellStyle name="Salida 2 2 2 3 3 2 2" xfId="36552"/>
    <cellStyle name="Salida 2 2 2 3 3 3" xfId="36553"/>
    <cellStyle name="Salida 2 2 2 3 3 3 2" xfId="36554"/>
    <cellStyle name="Salida 2 2 2 3 3 4" xfId="36555"/>
    <cellStyle name="Salida 2 2 2 3 3 4 2" xfId="36556"/>
    <cellStyle name="Salida 2 2 2 3 3 5" xfId="36557"/>
    <cellStyle name="Salida 2 2 2 3 3 5 2" xfId="36558"/>
    <cellStyle name="Salida 2 2 2 3 3 6" xfId="36559"/>
    <cellStyle name="Salida 2 2 2 3 3 6 2" xfId="36560"/>
    <cellStyle name="Salida 2 2 2 3 3 7" xfId="36561"/>
    <cellStyle name="Salida 2 2 2 3 3 7 2" xfId="36562"/>
    <cellStyle name="Salida 2 2 2 3 3 8" xfId="36563"/>
    <cellStyle name="Salida 2 2 2 3 3 8 2" xfId="36564"/>
    <cellStyle name="Salida 2 2 2 3 3 9" xfId="36565"/>
    <cellStyle name="Salida 2 2 2 3 3 9 2" xfId="36566"/>
    <cellStyle name="Salida 2 2 2 3 4" xfId="36567"/>
    <cellStyle name="Salida 2 2 2 3 4 2" xfId="36568"/>
    <cellStyle name="Salida 2 2 2 3 5" xfId="36569"/>
    <cellStyle name="Salida 2 2 2 3 5 2" xfId="36570"/>
    <cellStyle name="Salida 2 2 2 3 6" xfId="36571"/>
    <cellStyle name="Salida 2 2 2 3 6 2" xfId="36572"/>
    <cellStyle name="Salida 2 2 2 3 7" xfId="36573"/>
    <cellStyle name="Salida 2 2 2 3 7 2" xfId="36574"/>
    <cellStyle name="Salida 2 2 2 3 8" xfId="36575"/>
    <cellStyle name="Salida 2 2 2 3 8 2" xfId="36576"/>
    <cellStyle name="Salida 2 2 2 3 9" xfId="36577"/>
    <cellStyle name="Salida 2 2 2 3 9 2" xfId="36578"/>
    <cellStyle name="Salida 2 2 2 4" xfId="36579"/>
    <cellStyle name="Salida 2 2 2 4 10" xfId="36580"/>
    <cellStyle name="Salida 2 2 2 4 10 2" xfId="36581"/>
    <cellStyle name="Salida 2 2 2 4 11" xfId="36582"/>
    <cellStyle name="Salida 2 2 2 4 2" xfId="36583"/>
    <cellStyle name="Salida 2 2 2 4 2 2" xfId="36584"/>
    <cellStyle name="Salida 2 2 2 4 3" xfId="36585"/>
    <cellStyle name="Salida 2 2 2 4 3 2" xfId="36586"/>
    <cellStyle name="Salida 2 2 2 4 4" xfId="36587"/>
    <cellStyle name="Salida 2 2 2 4 4 2" xfId="36588"/>
    <cellStyle name="Salida 2 2 2 4 5" xfId="36589"/>
    <cellStyle name="Salida 2 2 2 4 5 2" xfId="36590"/>
    <cellStyle name="Salida 2 2 2 4 6" xfId="36591"/>
    <cellStyle name="Salida 2 2 2 4 6 2" xfId="36592"/>
    <cellStyle name="Salida 2 2 2 4 7" xfId="36593"/>
    <cellStyle name="Salida 2 2 2 4 7 2" xfId="36594"/>
    <cellStyle name="Salida 2 2 2 4 8" xfId="36595"/>
    <cellStyle name="Salida 2 2 2 4 8 2" xfId="36596"/>
    <cellStyle name="Salida 2 2 2 4 9" xfId="36597"/>
    <cellStyle name="Salida 2 2 2 4 9 2" xfId="36598"/>
    <cellStyle name="Salida 2 2 2 5" xfId="36599"/>
    <cellStyle name="Salida 2 2 2 5 10" xfId="36600"/>
    <cellStyle name="Salida 2 2 2 5 10 2" xfId="36601"/>
    <cellStyle name="Salida 2 2 2 5 11" xfId="36602"/>
    <cellStyle name="Salida 2 2 2 5 2" xfId="36603"/>
    <cellStyle name="Salida 2 2 2 5 2 2" xfId="36604"/>
    <cellStyle name="Salida 2 2 2 5 3" xfId="36605"/>
    <cellStyle name="Salida 2 2 2 5 3 2" xfId="36606"/>
    <cellStyle name="Salida 2 2 2 5 4" xfId="36607"/>
    <cellStyle name="Salida 2 2 2 5 4 2" xfId="36608"/>
    <cellStyle name="Salida 2 2 2 5 5" xfId="36609"/>
    <cellStyle name="Salida 2 2 2 5 5 2" xfId="36610"/>
    <cellStyle name="Salida 2 2 2 5 6" xfId="36611"/>
    <cellStyle name="Salida 2 2 2 5 6 2" xfId="36612"/>
    <cellStyle name="Salida 2 2 2 5 7" xfId="36613"/>
    <cellStyle name="Salida 2 2 2 5 7 2" xfId="36614"/>
    <cellStyle name="Salida 2 2 2 5 8" xfId="36615"/>
    <cellStyle name="Salida 2 2 2 5 8 2" xfId="36616"/>
    <cellStyle name="Salida 2 2 2 5 9" xfId="36617"/>
    <cellStyle name="Salida 2 2 2 5 9 2" xfId="36618"/>
    <cellStyle name="Salida 2 2 2 6" xfId="36619"/>
    <cellStyle name="Salida 2 2 2 6 2" xfId="36620"/>
    <cellStyle name="Salida 2 2 2 7" xfId="36621"/>
    <cellStyle name="Salida 2 2 2 7 2" xfId="36622"/>
    <cellStyle name="Salida 2 2 2 8" xfId="36623"/>
    <cellStyle name="Salida 2 2 2 8 2" xfId="36624"/>
    <cellStyle name="Salida 2 2 2 9" xfId="36625"/>
    <cellStyle name="Salida 2 2 2 9 2" xfId="36626"/>
    <cellStyle name="Salida 2 2 3" xfId="36627"/>
    <cellStyle name="Salida 2 2 3 10" xfId="36628"/>
    <cellStyle name="Salida 2 2 3 10 2" xfId="36629"/>
    <cellStyle name="Salida 2 2 3 11" xfId="36630"/>
    <cellStyle name="Salida 2 2 3 11 2" xfId="36631"/>
    <cellStyle name="Salida 2 2 3 12" xfId="36632"/>
    <cellStyle name="Salida 2 2 3 12 2" xfId="36633"/>
    <cellStyle name="Salida 2 2 3 13" xfId="36634"/>
    <cellStyle name="Salida 2 2 3 13 2" xfId="36635"/>
    <cellStyle name="Salida 2 2 3 14" xfId="36636"/>
    <cellStyle name="Salida 2 2 3 14 2" xfId="36637"/>
    <cellStyle name="Salida 2 2 3 15" xfId="36638"/>
    <cellStyle name="Salida 2 2 3 2" xfId="36639"/>
    <cellStyle name="Salida 2 2 3 2 10" xfId="36640"/>
    <cellStyle name="Salida 2 2 3 2 10 2" xfId="36641"/>
    <cellStyle name="Salida 2 2 3 2 11" xfId="36642"/>
    <cellStyle name="Salida 2 2 3 2 11 2" xfId="36643"/>
    <cellStyle name="Salida 2 2 3 2 12" xfId="36644"/>
    <cellStyle name="Salida 2 2 3 2 12 2" xfId="36645"/>
    <cellStyle name="Salida 2 2 3 2 13" xfId="36646"/>
    <cellStyle name="Salida 2 2 3 2 2" xfId="36647"/>
    <cellStyle name="Salida 2 2 3 2 2 10" xfId="36648"/>
    <cellStyle name="Salida 2 2 3 2 2 10 2" xfId="36649"/>
    <cellStyle name="Salida 2 2 3 2 2 11" xfId="36650"/>
    <cellStyle name="Salida 2 2 3 2 2 2" xfId="36651"/>
    <cellStyle name="Salida 2 2 3 2 2 2 2" xfId="36652"/>
    <cellStyle name="Salida 2 2 3 2 2 3" xfId="36653"/>
    <cellStyle name="Salida 2 2 3 2 2 3 2" xfId="36654"/>
    <cellStyle name="Salida 2 2 3 2 2 4" xfId="36655"/>
    <cellStyle name="Salida 2 2 3 2 2 4 2" xfId="36656"/>
    <cellStyle name="Salida 2 2 3 2 2 5" xfId="36657"/>
    <cellStyle name="Salida 2 2 3 2 2 5 2" xfId="36658"/>
    <cellStyle name="Salida 2 2 3 2 2 6" xfId="36659"/>
    <cellStyle name="Salida 2 2 3 2 2 6 2" xfId="36660"/>
    <cellStyle name="Salida 2 2 3 2 2 7" xfId="36661"/>
    <cellStyle name="Salida 2 2 3 2 2 7 2" xfId="36662"/>
    <cellStyle name="Salida 2 2 3 2 2 8" xfId="36663"/>
    <cellStyle name="Salida 2 2 3 2 2 8 2" xfId="36664"/>
    <cellStyle name="Salida 2 2 3 2 2 9" xfId="36665"/>
    <cellStyle name="Salida 2 2 3 2 2 9 2" xfId="36666"/>
    <cellStyle name="Salida 2 2 3 2 3" xfId="36667"/>
    <cellStyle name="Salida 2 2 3 2 3 10" xfId="36668"/>
    <cellStyle name="Salida 2 2 3 2 3 10 2" xfId="36669"/>
    <cellStyle name="Salida 2 2 3 2 3 11" xfId="36670"/>
    <cellStyle name="Salida 2 2 3 2 3 2" xfId="36671"/>
    <cellStyle name="Salida 2 2 3 2 3 2 2" xfId="36672"/>
    <cellStyle name="Salida 2 2 3 2 3 3" xfId="36673"/>
    <cellStyle name="Salida 2 2 3 2 3 3 2" xfId="36674"/>
    <cellStyle name="Salida 2 2 3 2 3 4" xfId="36675"/>
    <cellStyle name="Salida 2 2 3 2 3 4 2" xfId="36676"/>
    <cellStyle name="Salida 2 2 3 2 3 5" xfId="36677"/>
    <cellStyle name="Salida 2 2 3 2 3 5 2" xfId="36678"/>
    <cellStyle name="Salida 2 2 3 2 3 6" xfId="36679"/>
    <cellStyle name="Salida 2 2 3 2 3 6 2" xfId="36680"/>
    <cellStyle name="Salida 2 2 3 2 3 7" xfId="36681"/>
    <cellStyle name="Salida 2 2 3 2 3 7 2" xfId="36682"/>
    <cellStyle name="Salida 2 2 3 2 3 8" xfId="36683"/>
    <cellStyle name="Salida 2 2 3 2 3 8 2" xfId="36684"/>
    <cellStyle name="Salida 2 2 3 2 3 9" xfId="36685"/>
    <cellStyle name="Salida 2 2 3 2 3 9 2" xfId="36686"/>
    <cellStyle name="Salida 2 2 3 2 4" xfId="36687"/>
    <cellStyle name="Salida 2 2 3 2 4 2" xfId="36688"/>
    <cellStyle name="Salida 2 2 3 2 5" xfId="36689"/>
    <cellStyle name="Salida 2 2 3 2 5 2" xfId="36690"/>
    <cellStyle name="Salida 2 2 3 2 6" xfId="36691"/>
    <cellStyle name="Salida 2 2 3 2 6 2" xfId="36692"/>
    <cellStyle name="Salida 2 2 3 2 7" xfId="36693"/>
    <cellStyle name="Salida 2 2 3 2 7 2" xfId="36694"/>
    <cellStyle name="Salida 2 2 3 2 8" xfId="36695"/>
    <cellStyle name="Salida 2 2 3 2 8 2" xfId="36696"/>
    <cellStyle name="Salida 2 2 3 2 9" xfId="36697"/>
    <cellStyle name="Salida 2 2 3 2 9 2" xfId="36698"/>
    <cellStyle name="Salida 2 2 3 3" xfId="36699"/>
    <cellStyle name="Salida 2 2 3 3 10" xfId="36700"/>
    <cellStyle name="Salida 2 2 3 3 10 2" xfId="36701"/>
    <cellStyle name="Salida 2 2 3 3 11" xfId="36702"/>
    <cellStyle name="Salida 2 2 3 3 11 2" xfId="36703"/>
    <cellStyle name="Salida 2 2 3 3 12" xfId="36704"/>
    <cellStyle name="Salida 2 2 3 3 12 2" xfId="36705"/>
    <cellStyle name="Salida 2 2 3 3 13" xfId="36706"/>
    <cellStyle name="Salida 2 2 3 3 2" xfId="36707"/>
    <cellStyle name="Salida 2 2 3 3 2 10" xfId="36708"/>
    <cellStyle name="Salida 2 2 3 3 2 10 2" xfId="36709"/>
    <cellStyle name="Salida 2 2 3 3 2 11" xfId="36710"/>
    <cellStyle name="Salida 2 2 3 3 2 2" xfId="36711"/>
    <cellStyle name="Salida 2 2 3 3 2 2 2" xfId="36712"/>
    <cellStyle name="Salida 2 2 3 3 2 3" xfId="36713"/>
    <cellStyle name="Salida 2 2 3 3 2 3 2" xfId="36714"/>
    <cellStyle name="Salida 2 2 3 3 2 4" xfId="36715"/>
    <cellStyle name="Salida 2 2 3 3 2 4 2" xfId="36716"/>
    <cellStyle name="Salida 2 2 3 3 2 5" xfId="36717"/>
    <cellStyle name="Salida 2 2 3 3 2 5 2" xfId="36718"/>
    <cellStyle name="Salida 2 2 3 3 2 6" xfId="36719"/>
    <cellStyle name="Salida 2 2 3 3 2 6 2" xfId="36720"/>
    <cellStyle name="Salida 2 2 3 3 2 7" xfId="36721"/>
    <cellStyle name="Salida 2 2 3 3 2 7 2" xfId="36722"/>
    <cellStyle name="Salida 2 2 3 3 2 8" xfId="36723"/>
    <cellStyle name="Salida 2 2 3 3 2 8 2" xfId="36724"/>
    <cellStyle name="Salida 2 2 3 3 2 9" xfId="36725"/>
    <cellStyle name="Salida 2 2 3 3 2 9 2" xfId="36726"/>
    <cellStyle name="Salida 2 2 3 3 3" xfId="36727"/>
    <cellStyle name="Salida 2 2 3 3 3 10" xfId="36728"/>
    <cellStyle name="Salida 2 2 3 3 3 10 2" xfId="36729"/>
    <cellStyle name="Salida 2 2 3 3 3 11" xfId="36730"/>
    <cellStyle name="Salida 2 2 3 3 3 2" xfId="36731"/>
    <cellStyle name="Salida 2 2 3 3 3 2 2" xfId="36732"/>
    <cellStyle name="Salida 2 2 3 3 3 3" xfId="36733"/>
    <cellStyle name="Salida 2 2 3 3 3 3 2" xfId="36734"/>
    <cellStyle name="Salida 2 2 3 3 3 4" xfId="36735"/>
    <cellStyle name="Salida 2 2 3 3 3 4 2" xfId="36736"/>
    <cellStyle name="Salida 2 2 3 3 3 5" xfId="36737"/>
    <cellStyle name="Salida 2 2 3 3 3 5 2" xfId="36738"/>
    <cellStyle name="Salida 2 2 3 3 3 6" xfId="36739"/>
    <cellStyle name="Salida 2 2 3 3 3 6 2" xfId="36740"/>
    <cellStyle name="Salida 2 2 3 3 3 7" xfId="36741"/>
    <cellStyle name="Salida 2 2 3 3 3 7 2" xfId="36742"/>
    <cellStyle name="Salida 2 2 3 3 3 8" xfId="36743"/>
    <cellStyle name="Salida 2 2 3 3 3 8 2" xfId="36744"/>
    <cellStyle name="Salida 2 2 3 3 3 9" xfId="36745"/>
    <cellStyle name="Salida 2 2 3 3 3 9 2" xfId="36746"/>
    <cellStyle name="Salida 2 2 3 3 4" xfId="36747"/>
    <cellStyle name="Salida 2 2 3 3 4 2" xfId="36748"/>
    <cellStyle name="Salida 2 2 3 3 5" xfId="36749"/>
    <cellStyle name="Salida 2 2 3 3 5 2" xfId="36750"/>
    <cellStyle name="Salida 2 2 3 3 6" xfId="36751"/>
    <cellStyle name="Salida 2 2 3 3 6 2" xfId="36752"/>
    <cellStyle name="Salida 2 2 3 3 7" xfId="36753"/>
    <cellStyle name="Salida 2 2 3 3 7 2" xfId="36754"/>
    <cellStyle name="Salida 2 2 3 3 8" xfId="36755"/>
    <cellStyle name="Salida 2 2 3 3 8 2" xfId="36756"/>
    <cellStyle name="Salida 2 2 3 3 9" xfId="36757"/>
    <cellStyle name="Salida 2 2 3 3 9 2" xfId="36758"/>
    <cellStyle name="Salida 2 2 3 4" xfId="36759"/>
    <cellStyle name="Salida 2 2 3 4 10" xfId="36760"/>
    <cellStyle name="Salida 2 2 3 4 10 2" xfId="36761"/>
    <cellStyle name="Salida 2 2 3 4 11" xfId="36762"/>
    <cellStyle name="Salida 2 2 3 4 2" xfId="36763"/>
    <cellStyle name="Salida 2 2 3 4 2 2" xfId="36764"/>
    <cellStyle name="Salida 2 2 3 4 3" xfId="36765"/>
    <cellStyle name="Salida 2 2 3 4 3 2" xfId="36766"/>
    <cellStyle name="Salida 2 2 3 4 4" xfId="36767"/>
    <cellStyle name="Salida 2 2 3 4 4 2" xfId="36768"/>
    <cellStyle name="Salida 2 2 3 4 5" xfId="36769"/>
    <cellStyle name="Salida 2 2 3 4 5 2" xfId="36770"/>
    <cellStyle name="Salida 2 2 3 4 6" xfId="36771"/>
    <cellStyle name="Salida 2 2 3 4 6 2" xfId="36772"/>
    <cellStyle name="Salida 2 2 3 4 7" xfId="36773"/>
    <cellStyle name="Salida 2 2 3 4 7 2" xfId="36774"/>
    <cellStyle name="Salida 2 2 3 4 8" xfId="36775"/>
    <cellStyle name="Salida 2 2 3 4 8 2" xfId="36776"/>
    <cellStyle name="Salida 2 2 3 4 9" xfId="36777"/>
    <cellStyle name="Salida 2 2 3 4 9 2" xfId="36778"/>
    <cellStyle name="Salida 2 2 3 5" xfId="36779"/>
    <cellStyle name="Salida 2 2 3 5 10" xfId="36780"/>
    <cellStyle name="Salida 2 2 3 5 10 2" xfId="36781"/>
    <cellStyle name="Salida 2 2 3 5 11" xfId="36782"/>
    <cellStyle name="Salida 2 2 3 5 2" xfId="36783"/>
    <cellStyle name="Salida 2 2 3 5 2 2" xfId="36784"/>
    <cellStyle name="Salida 2 2 3 5 3" xfId="36785"/>
    <cellStyle name="Salida 2 2 3 5 3 2" xfId="36786"/>
    <cellStyle name="Salida 2 2 3 5 4" xfId="36787"/>
    <cellStyle name="Salida 2 2 3 5 4 2" xfId="36788"/>
    <cellStyle name="Salida 2 2 3 5 5" xfId="36789"/>
    <cellStyle name="Salida 2 2 3 5 5 2" xfId="36790"/>
    <cellStyle name="Salida 2 2 3 5 6" xfId="36791"/>
    <cellStyle name="Salida 2 2 3 5 6 2" xfId="36792"/>
    <cellStyle name="Salida 2 2 3 5 7" xfId="36793"/>
    <cellStyle name="Salida 2 2 3 5 7 2" xfId="36794"/>
    <cellStyle name="Salida 2 2 3 5 8" xfId="36795"/>
    <cellStyle name="Salida 2 2 3 5 8 2" xfId="36796"/>
    <cellStyle name="Salida 2 2 3 5 9" xfId="36797"/>
    <cellStyle name="Salida 2 2 3 5 9 2" xfId="36798"/>
    <cellStyle name="Salida 2 2 3 6" xfId="36799"/>
    <cellStyle name="Salida 2 2 3 6 2" xfId="36800"/>
    <cellStyle name="Salida 2 2 3 7" xfId="36801"/>
    <cellStyle name="Salida 2 2 3 7 2" xfId="36802"/>
    <cellStyle name="Salida 2 2 3 8" xfId="36803"/>
    <cellStyle name="Salida 2 2 3 8 2" xfId="36804"/>
    <cellStyle name="Salida 2 2 3 9" xfId="36805"/>
    <cellStyle name="Salida 2 2 3 9 2" xfId="36806"/>
    <cellStyle name="Salida 2 2 4" xfId="36807"/>
    <cellStyle name="Salida 2 2 4 10" xfId="36808"/>
    <cellStyle name="Salida 2 2 4 10 2" xfId="36809"/>
    <cellStyle name="Salida 2 2 4 11" xfId="36810"/>
    <cellStyle name="Salida 2 2 4 11 2" xfId="36811"/>
    <cellStyle name="Salida 2 2 4 12" xfId="36812"/>
    <cellStyle name="Salida 2 2 4 12 2" xfId="36813"/>
    <cellStyle name="Salida 2 2 4 13" xfId="36814"/>
    <cellStyle name="Salida 2 2 4 2" xfId="36815"/>
    <cellStyle name="Salida 2 2 4 2 10" xfId="36816"/>
    <cellStyle name="Salida 2 2 4 2 10 2" xfId="36817"/>
    <cellStyle name="Salida 2 2 4 2 11" xfId="36818"/>
    <cellStyle name="Salida 2 2 4 2 2" xfId="36819"/>
    <cellStyle name="Salida 2 2 4 2 2 2" xfId="36820"/>
    <cellStyle name="Salida 2 2 4 2 3" xfId="36821"/>
    <cellStyle name="Salida 2 2 4 2 3 2" xfId="36822"/>
    <cellStyle name="Salida 2 2 4 2 4" xfId="36823"/>
    <cellStyle name="Salida 2 2 4 2 4 2" xfId="36824"/>
    <cellStyle name="Salida 2 2 4 2 5" xfId="36825"/>
    <cellStyle name="Salida 2 2 4 2 5 2" xfId="36826"/>
    <cellStyle name="Salida 2 2 4 2 6" xfId="36827"/>
    <cellStyle name="Salida 2 2 4 2 6 2" xfId="36828"/>
    <cellStyle name="Salida 2 2 4 2 7" xfId="36829"/>
    <cellStyle name="Salida 2 2 4 2 7 2" xfId="36830"/>
    <cellStyle name="Salida 2 2 4 2 8" xfId="36831"/>
    <cellStyle name="Salida 2 2 4 2 8 2" xfId="36832"/>
    <cellStyle name="Salida 2 2 4 2 9" xfId="36833"/>
    <cellStyle name="Salida 2 2 4 2 9 2" xfId="36834"/>
    <cellStyle name="Salida 2 2 4 3" xfId="36835"/>
    <cellStyle name="Salida 2 2 4 3 10" xfId="36836"/>
    <cellStyle name="Salida 2 2 4 3 10 2" xfId="36837"/>
    <cellStyle name="Salida 2 2 4 3 11" xfId="36838"/>
    <cellStyle name="Salida 2 2 4 3 2" xfId="36839"/>
    <cellStyle name="Salida 2 2 4 3 2 2" xfId="36840"/>
    <cellStyle name="Salida 2 2 4 3 3" xfId="36841"/>
    <cellStyle name="Salida 2 2 4 3 3 2" xfId="36842"/>
    <cellStyle name="Salida 2 2 4 3 4" xfId="36843"/>
    <cellStyle name="Salida 2 2 4 3 4 2" xfId="36844"/>
    <cellStyle name="Salida 2 2 4 3 5" xfId="36845"/>
    <cellStyle name="Salida 2 2 4 3 5 2" xfId="36846"/>
    <cellStyle name="Salida 2 2 4 3 6" xfId="36847"/>
    <cellStyle name="Salida 2 2 4 3 6 2" xfId="36848"/>
    <cellStyle name="Salida 2 2 4 3 7" xfId="36849"/>
    <cellStyle name="Salida 2 2 4 3 7 2" xfId="36850"/>
    <cellStyle name="Salida 2 2 4 3 8" xfId="36851"/>
    <cellStyle name="Salida 2 2 4 3 8 2" xfId="36852"/>
    <cellStyle name="Salida 2 2 4 3 9" xfId="36853"/>
    <cellStyle name="Salida 2 2 4 3 9 2" xfId="36854"/>
    <cellStyle name="Salida 2 2 4 4" xfId="36855"/>
    <cellStyle name="Salida 2 2 4 4 2" xfId="36856"/>
    <cellStyle name="Salida 2 2 4 5" xfId="36857"/>
    <cellStyle name="Salida 2 2 4 5 2" xfId="36858"/>
    <cellStyle name="Salida 2 2 4 6" xfId="36859"/>
    <cellStyle name="Salida 2 2 4 6 2" xfId="36860"/>
    <cellStyle name="Salida 2 2 4 7" xfId="36861"/>
    <cellStyle name="Salida 2 2 4 7 2" xfId="36862"/>
    <cellStyle name="Salida 2 2 4 8" xfId="36863"/>
    <cellStyle name="Salida 2 2 4 8 2" xfId="36864"/>
    <cellStyle name="Salida 2 2 4 9" xfId="36865"/>
    <cellStyle name="Salida 2 2 4 9 2" xfId="36866"/>
    <cellStyle name="Salida 2 2 5" xfId="36867"/>
    <cellStyle name="Salida 2 2 5 10" xfId="36868"/>
    <cellStyle name="Salida 2 2 5 10 2" xfId="36869"/>
    <cellStyle name="Salida 2 2 5 11" xfId="36870"/>
    <cellStyle name="Salida 2 2 5 11 2" xfId="36871"/>
    <cellStyle name="Salida 2 2 5 12" xfId="36872"/>
    <cellStyle name="Salida 2 2 5 12 2" xfId="36873"/>
    <cellStyle name="Salida 2 2 5 13" xfId="36874"/>
    <cellStyle name="Salida 2 2 5 2" xfId="36875"/>
    <cellStyle name="Salida 2 2 5 2 10" xfId="36876"/>
    <cellStyle name="Salida 2 2 5 2 10 2" xfId="36877"/>
    <cellStyle name="Salida 2 2 5 2 11" xfId="36878"/>
    <cellStyle name="Salida 2 2 5 2 2" xfId="36879"/>
    <cellStyle name="Salida 2 2 5 2 2 2" xfId="36880"/>
    <cellStyle name="Salida 2 2 5 2 3" xfId="36881"/>
    <cellStyle name="Salida 2 2 5 2 3 2" xfId="36882"/>
    <cellStyle name="Salida 2 2 5 2 4" xfId="36883"/>
    <cellStyle name="Salida 2 2 5 2 4 2" xfId="36884"/>
    <cellStyle name="Salida 2 2 5 2 5" xfId="36885"/>
    <cellStyle name="Salida 2 2 5 2 5 2" xfId="36886"/>
    <cellStyle name="Salida 2 2 5 2 6" xfId="36887"/>
    <cellStyle name="Salida 2 2 5 2 6 2" xfId="36888"/>
    <cellStyle name="Salida 2 2 5 2 7" xfId="36889"/>
    <cellStyle name="Salida 2 2 5 2 7 2" xfId="36890"/>
    <cellStyle name="Salida 2 2 5 2 8" xfId="36891"/>
    <cellStyle name="Salida 2 2 5 2 8 2" xfId="36892"/>
    <cellStyle name="Salida 2 2 5 2 9" xfId="36893"/>
    <cellStyle name="Salida 2 2 5 2 9 2" xfId="36894"/>
    <cellStyle name="Salida 2 2 5 3" xfId="36895"/>
    <cellStyle name="Salida 2 2 5 3 10" xfId="36896"/>
    <cellStyle name="Salida 2 2 5 3 10 2" xfId="36897"/>
    <cellStyle name="Salida 2 2 5 3 11" xfId="36898"/>
    <cellStyle name="Salida 2 2 5 3 2" xfId="36899"/>
    <cellStyle name="Salida 2 2 5 3 2 2" xfId="36900"/>
    <cellStyle name="Salida 2 2 5 3 3" xfId="36901"/>
    <cellStyle name="Salida 2 2 5 3 3 2" xfId="36902"/>
    <cellStyle name="Salida 2 2 5 3 4" xfId="36903"/>
    <cellStyle name="Salida 2 2 5 3 4 2" xfId="36904"/>
    <cellStyle name="Salida 2 2 5 3 5" xfId="36905"/>
    <cellStyle name="Salida 2 2 5 3 5 2" xfId="36906"/>
    <cellStyle name="Salida 2 2 5 3 6" xfId="36907"/>
    <cellStyle name="Salida 2 2 5 3 6 2" xfId="36908"/>
    <cellStyle name="Salida 2 2 5 3 7" xfId="36909"/>
    <cellStyle name="Salida 2 2 5 3 7 2" xfId="36910"/>
    <cellStyle name="Salida 2 2 5 3 8" xfId="36911"/>
    <cellStyle name="Salida 2 2 5 3 8 2" xfId="36912"/>
    <cellStyle name="Salida 2 2 5 3 9" xfId="36913"/>
    <cellStyle name="Salida 2 2 5 3 9 2" xfId="36914"/>
    <cellStyle name="Salida 2 2 5 4" xfId="36915"/>
    <cellStyle name="Salida 2 2 5 4 2" xfId="36916"/>
    <cellStyle name="Salida 2 2 5 5" xfId="36917"/>
    <cellStyle name="Salida 2 2 5 5 2" xfId="36918"/>
    <cellStyle name="Salida 2 2 5 6" xfId="36919"/>
    <cellStyle name="Salida 2 2 5 6 2" xfId="36920"/>
    <cellStyle name="Salida 2 2 5 7" xfId="36921"/>
    <cellStyle name="Salida 2 2 5 7 2" xfId="36922"/>
    <cellStyle name="Salida 2 2 5 8" xfId="36923"/>
    <cellStyle name="Salida 2 2 5 8 2" xfId="36924"/>
    <cellStyle name="Salida 2 2 5 9" xfId="36925"/>
    <cellStyle name="Salida 2 2 5 9 2" xfId="36926"/>
    <cellStyle name="Salida 2 2 6" xfId="36927"/>
    <cellStyle name="Salida 2 2 6 2" xfId="36928"/>
    <cellStyle name="Salida 2 2 7" xfId="36929"/>
    <cellStyle name="Salida 2 2 7 2" xfId="36930"/>
    <cellStyle name="Salida 2 2 8" xfId="36931"/>
    <cellStyle name="Salida 2 2 8 2" xfId="36932"/>
    <cellStyle name="Salida 2 2 9" xfId="36933"/>
    <cellStyle name="Salida 2 2 9 2" xfId="36934"/>
    <cellStyle name="Salida 2 20" xfId="36935"/>
    <cellStyle name="Salida 2 21" xfId="36936"/>
    <cellStyle name="Salida 2 3" xfId="36937"/>
    <cellStyle name="Salida 2 3 10" xfId="36938"/>
    <cellStyle name="Salida 2 3 10 2" xfId="36939"/>
    <cellStyle name="Salida 2 3 11" xfId="36940"/>
    <cellStyle name="Salida 2 3 11 2" xfId="36941"/>
    <cellStyle name="Salida 2 3 12" xfId="36942"/>
    <cellStyle name="Salida 2 3 12 2" xfId="36943"/>
    <cellStyle name="Salida 2 3 13" xfId="36944"/>
    <cellStyle name="Salida 2 3 13 2" xfId="36945"/>
    <cellStyle name="Salida 2 3 14" xfId="36946"/>
    <cellStyle name="Salida 2 3 14 2" xfId="36947"/>
    <cellStyle name="Salida 2 3 15" xfId="36948"/>
    <cellStyle name="Salida 2 3 16" xfId="36949"/>
    <cellStyle name="Salida 2 3 17" xfId="36950"/>
    <cellStyle name="Salida 2 3 2" xfId="36951"/>
    <cellStyle name="Salida 2 3 2 10" xfId="36952"/>
    <cellStyle name="Salida 2 3 2 10 2" xfId="36953"/>
    <cellStyle name="Salida 2 3 2 11" xfId="36954"/>
    <cellStyle name="Salida 2 3 2 11 2" xfId="36955"/>
    <cellStyle name="Salida 2 3 2 12" xfId="36956"/>
    <cellStyle name="Salida 2 3 2 12 2" xfId="36957"/>
    <cellStyle name="Salida 2 3 2 13" xfId="36958"/>
    <cellStyle name="Salida 2 3 2 13 2" xfId="36959"/>
    <cellStyle name="Salida 2 3 2 14" xfId="36960"/>
    <cellStyle name="Salida 2 3 2 14 2" xfId="36961"/>
    <cellStyle name="Salida 2 3 2 15" xfId="36962"/>
    <cellStyle name="Salida 2 3 2 2" xfId="36963"/>
    <cellStyle name="Salida 2 3 2 2 10" xfId="36964"/>
    <cellStyle name="Salida 2 3 2 2 10 2" xfId="36965"/>
    <cellStyle name="Salida 2 3 2 2 11" xfId="36966"/>
    <cellStyle name="Salida 2 3 2 2 11 2" xfId="36967"/>
    <cellStyle name="Salida 2 3 2 2 12" xfId="36968"/>
    <cellStyle name="Salida 2 3 2 2 12 2" xfId="36969"/>
    <cellStyle name="Salida 2 3 2 2 13" xfId="36970"/>
    <cellStyle name="Salida 2 3 2 2 2" xfId="36971"/>
    <cellStyle name="Salida 2 3 2 2 2 10" xfId="36972"/>
    <cellStyle name="Salida 2 3 2 2 2 10 2" xfId="36973"/>
    <cellStyle name="Salida 2 3 2 2 2 11" xfId="36974"/>
    <cellStyle name="Salida 2 3 2 2 2 2" xfId="36975"/>
    <cellStyle name="Salida 2 3 2 2 2 2 2" xfId="36976"/>
    <cellStyle name="Salida 2 3 2 2 2 3" xfId="36977"/>
    <cellStyle name="Salida 2 3 2 2 2 3 2" xfId="36978"/>
    <cellStyle name="Salida 2 3 2 2 2 4" xfId="36979"/>
    <cellStyle name="Salida 2 3 2 2 2 4 2" xfId="36980"/>
    <cellStyle name="Salida 2 3 2 2 2 5" xfId="36981"/>
    <cellStyle name="Salida 2 3 2 2 2 5 2" xfId="36982"/>
    <cellStyle name="Salida 2 3 2 2 2 6" xfId="36983"/>
    <cellStyle name="Salida 2 3 2 2 2 6 2" xfId="36984"/>
    <cellStyle name="Salida 2 3 2 2 2 7" xfId="36985"/>
    <cellStyle name="Salida 2 3 2 2 2 7 2" xfId="36986"/>
    <cellStyle name="Salida 2 3 2 2 2 8" xfId="36987"/>
    <cellStyle name="Salida 2 3 2 2 2 8 2" xfId="36988"/>
    <cellStyle name="Salida 2 3 2 2 2 9" xfId="36989"/>
    <cellStyle name="Salida 2 3 2 2 2 9 2" xfId="36990"/>
    <cellStyle name="Salida 2 3 2 2 3" xfId="36991"/>
    <cellStyle name="Salida 2 3 2 2 3 10" xfId="36992"/>
    <cellStyle name="Salida 2 3 2 2 3 10 2" xfId="36993"/>
    <cellStyle name="Salida 2 3 2 2 3 11" xfId="36994"/>
    <cellStyle name="Salida 2 3 2 2 3 2" xfId="36995"/>
    <cellStyle name="Salida 2 3 2 2 3 2 2" xfId="36996"/>
    <cellStyle name="Salida 2 3 2 2 3 3" xfId="36997"/>
    <cellStyle name="Salida 2 3 2 2 3 3 2" xfId="36998"/>
    <cellStyle name="Salida 2 3 2 2 3 4" xfId="36999"/>
    <cellStyle name="Salida 2 3 2 2 3 4 2" xfId="37000"/>
    <cellStyle name="Salida 2 3 2 2 3 5" xfId="37001"/>
    <cellStyle name="Salida 2 3 2 2 3 5 2" xfId="37002"/>
    <cellStyle name="Salida 2 3 2 2 3 6" xfId="37003"/>
    <cellStyle name="Salida 2 3 2 2 3 6 2" xfId="37004"/>
    <cellStyle name="Salida 2 3 2 2 3 7" xfId="37005"/>
    <cellStyle name="Salida 2 3 2 2 3 7 2" xfId="37006"/>
    <cellStyle name="Salida 2 3 2 2 3 8" xfId="37007"/>
    <cellStyle name="Salida 2 3 2 2 3 8 2" xfId="37008"/>
    <cellStyle name="Salida 2 3 2 2 3 9" xfId="37009"/>
    <cellStyle name="Salida 2 3 2 2 3 9 2" xfId="37010"/>
    <cellStyle name="Salida 2 3 2 2 4" xfId="37011"/>
    <cellStyle name="Salida 2 3 2 2 4 2" xfId="37012"/>
    <cellStyle name="Salida 2 3 2 2 5" xfId="37013"/>
    <cellStyle name="Salida 2 3 2 2 5 2" xfId="37014"/>
    <cellStyle name="Salida 2 3 2 2 6" xfId="37015"/>
    <cellStyle name="Salida 2 3 2 2 6 2" xfId="37016"/>
    <cellStyle name="Salida 2 3 2 2 7" xfId="37017"/>
    <cellStyle name="Salida 2 3 2 2 7 2" xfId="37018"/>
    <cellStyle name="Salida 2 3 2 2 8" xfId="37019"/>
    <cellStyle name="Salida 2 3 2 2 8 2" xfId="37020"/>
    <cellStyle name="Salida 2 3 2 2 9" xfId="37021"/>
    <cellStyle name="Salida 2 3 2 2 9 2" xfId="37022"/>
    <cellStyle name="Salida 2 3 2 3" xfId="37023"/>
    <cellStyle name="Salida 2 3 2 3 10" xfId="37024"/>
    <cellStyle name="Salida 2 3 2 3 10 2" xfId="37025"/>
    <cellStyle name="Salida 2 3 2 3 11" xfId="37026"/>
    <cellStyle name="Salida 2 3 2 3 11 2" xfId="37027"/>
    <cellStyle name="Salida 2 3 2 3 12" xfId="37028"/>
    <cellStyle name="Salida 2 3 2 3 12 2" xfId="37029"/>
    <cellStyle name="Salida 2 3 2 3 13" xfId="37030"/>
    <cellStyle name="Salida 2 3 2 3 2" xfId="37031"/>
    <cellStyle name="Salida 2 3 2 3 2 10" xfId="37032"/>
    <cellStyle name="Salida 2 3 2 3 2 10 2" xfId="37033"/>
    <cellStyle name="Salida 2 3 2 3 2 11" xfId="37034"/>
    <cellStyle name="Salida 2 3 2 3 2 2" xfId="37035"/>
    <cellStyle name="Salida 2 3 2 3 2 2 2" xfId="37036"/>
    <cellStyle name="Salida 2 3 2 3 2 3" xfId="37037"/>
    <cellStyle name="Salida 2 3 2 3 2 3 2" xfId="37038"/>
    <cellStyle name="Salida 2 3 2 3 2 4" xfId="37039"/>
    <cellStyle name="Salida 2 3 2 3 2 4 2" xfId="37040"/>
    <cellStyle name="Salida 2 3 2 3 2 5" xfId="37041"/>
    <cellStyle name="Salida 2 3 2 3 2 5 2" xfId="37042"/>
    <cellStyle name="Salida 2 3 2 3 2 6" xfId="37043"/>
    <cellStyle name="Salida 2 3 2 3 2 6 2" xfId="37044"/>
    <cellStyle name="Salida 2 3 2 3 2 7" xfId="37045"/>
    <cellStyle name="Salida 2 3 2 3 2 7 2" xfId="37046"/>
    <cellStyle name="Salida 2 3 2 3 2 8" xfId="37047"/>
    <cellStyle name="Salida 2 3 2 3 2 8 2" xfId="37048"/>
    <cellStyle name="Salida 2 3 2 3 2 9" xfId="37049"/>
    <cellStyle name="Salida 2 3 2 3 2 9 2" xfId="37050"/>
    <cellStyle name="Salida 2 3 2 3 3" xfId="37051"/>
    <cellStyle name="Salida 2 3 2 3 3 10" xfId="37052"/>
    <cellStyle name="Salida 2 3 2 3 3 10 2" xfId="37053"/>
    <cellStyle name="Salida 2 3 2 3 3 11" xfId="37054"/>
    <cellStyle name="Salida 2 3 2 3 3 2" xfId="37055"/>
    <cellStyle name="Salida 2 3 2 3 3 2 2" xfId="37056"/>
    <cellStyle name="Salida 2 3 2 3 3 3" xfId="37057"/>
    <cellStyle name="Salida 2 3 2 3 3 3 2" xfId="37058"/>
    <cellStyle name="Salida 2 3 2 3 3 4" xfId="37059"/>
    <cellStyle name="Salida 2 3 2 3 3 4 2" xfId="37060"/>
    <cellStyle name="Salida 2 3 2 3 3 5" xfId="37061"/>
    <cellStyle name="Salida 2 3 2 3 3 5 2" xfId="37062"/>
    <cellStyle name="Salida 2 3 2 3 3 6" xfId="37063"/>
    <cellStyle name="Salida 2 3 2 3 3 6 2" xfId="37064"/>
    <cellStyle name="Salida 2 3 2 3 3 7" xfId="37065"/>
    <cellStyle name="Salida 2 3 2 3 3 7 2" xfId="37066"/>
    <cellStyle name="Salida 2 3 2 3 3 8" xfId="37067"/>
    <cellStyle name="Salida 2 3 2 3 3 8 2" xfId="37068"/>
    <cellStyle name="Salida 2 3 2 3 3 9" xfId="37069"/>
    <cellStyle name="Salida 2 3 2 3 3 9 2" xfId="37070"/>
    <cellStyle name="Salida 2 3 2 3 4" xfId="37071"/>
    <cellStyle name="Salida 2 3 2 3 4 2" xfId="37072"/>
    <cellStyle name="Salida 2 3 2 3 5" xfId="37073"/>
    <cellStyle name="Salida 2 3 2 3 5 2" xfId="37074"/>
    <cellStyle name="Salida 2 3 2 3 6" xfId="37075"/>
    <cellStyle name="Salida 2 3 2 3 6 2" xfId="37076"/>
    <cellStyle name="Salida 2 3 2 3 7" xfId="37077"/>
    <cellStyle name="Salida 2 3 2 3 7 2" xfId="37078"/>
    <cellStyle name="Salida 2 3 2 3 8" xfId="37079"/>
    <cellStyle name="Salida 2 3 2 3 8 2" xfId="37080"/>
    <cellStyle name="Salida 2 3 2 3 9" xfId="37081"/>
    <cellStyle name="Salida 2 3 2 3 9 2" xfId="37082"/>
    <cellStyle name="Salida 2 3 2 4" xfId="37083"/>
    <cellStyle name="Salida 2 3 2 4 10" xfId="37084"/>
    <cellStyle name="Salida 2 3 2 4 10 2" xfId="37085"/>
    <cellStyle name="Salida 2 3 2 4 11" xfId="37086"/>
    <cellStyle name="Salida 2 3 2 4 2" xfId="37087"/>
    <cellStyle name="Salida 2 3 2 4 2 2" xfId="37088"/>
    <cellStyle name="Salida 2 3 2 4 3" xfId="37089"/>
    <cellStyle name="Salida 2 3 2 4 3 2" xfId="37090"/>
    <cellStyle name="Salida 2 3 2 4 4" xfId="37091"/>
    <cellStyle name="Salida 2 3 2 4 4 2" xfId="37092"/>
    <cellStyle name="Salida 2 3 2 4 5" xfId="37093"/>
    <cellStyle name="Salida 2 3 2 4 5 2" xfId="37094"/>
    <cellStyle name="Salida 2 3 2 4 6" xfId="37095"/>
    <cellStyle name="Salida 2 3 2 4 6 2" xfId="37096"/>
    <cellStyle name="Salida 2 3 2 4 7" xfId="37097"/>
    <cellStyle name="Salida 2 3 2 4 7 2" xfId="37098"/>
    <cellStyle name="Salida 2 3 2 4 8" xfId="37099"/>
    <cellStyle name="Salida 2 3 2 4 8 2" xfId="37100"/>
    <cellStyle name="Salida 2 3 2 4 9" xfId="37101"/>
    <cellStyle name="Salida 2 3 2 4 9 2" xfId="37102"/>
    <cellStyle name="Salida 2 3 2 5" xfId="37103"/>
    <cellStyle name="Salida 2 3 2 5 10" xfId="37104"/>
    <cellStyle name="Salida 2 3 2 5 10 2" xfId="37105"/>
    <cellStyle name="Salida 2 3 2 5 11" xfId="37106"/>
    <cellStyle name="Salida 2 3 2 5 2" xfId="37107"/>
    <cellStyle name="Salida 2 3 2 5 2 2" xfId="37108"/>
    <cellStyle name="Salida 2 3 2 5 3" xfId="37109"/>
    <cellStyle name="Salida 2 3 2 5 3 2" xfId="37110"/>
    <cellStyle name="Salida 2 3 2 5 4" xfId="37111"/>
    <cellStyle name="Salida 2 3 2 5 4 2" xfId="37112"/>
    <cellStyle name="Salida 2 3 2 5 5" xfId="37113"/>
    <cellStyle name="Salida 2 3 2 5 5 2" xfId="37114"/>
    <cellStyle name="Salida 2 3 2 5 6" xfId="37115"/>
    <cellStyle name="Salida 2 3 2 5 6 2" xfId="37116"/>
    <cellStyle name="Salida 2 3 2 5 7" xfId="37117"/>
    <cellStyle name="Salida 2 3 2 5 7 2" xfId="37118"/>
    <cellStyle name="Salida 2 3 2 5 8" xfId="37119"/>
    <cellStyle name="Salida 2 3 2 5 8 2" xfId="37120"/>
    <cellStyle name="Salida 2 3 2 5 9" xfId="37121"/>
    <cellStyle name="Salida 2 3 2 5 9 2" xfId="37122"/>
    <cellStyle name="Salida 2 3 2 6" xfId="37123"/>
    <cellStyle name="Salida 2 3 2 6 2" xfId="37124"/>
    <cellStyle name="Salida 2 3 2 7" xfId="37125"/>
    <cellStyle name="Salida 2 3 2 7 2" xfId="37126"/>
    <cellStyle name="Salida 2 3 2 8" xfId="37127"/>
    <cellStyle name="Salida 2 3 2 8 2" xfId="37128"/>
    <cellStyle name="Salida 2 3 2 9" xfId="37129"/>
    <cellStyle name="Salida 2 3 2 9 2" xfId="37130"/>
    <cellStyle name="Salida 2 3 3" xfId="37131"/>
    <cellStyle name="Salida 2 3 3 10" xfId="37132"/>
    <cellStyle name="Salida 2 3 3 10 2" xfId="37133"/>
    <cellStyle name="Salida 2 3 3 11" xfId="37134"/>
    <cellStyle name="Salida 2 3 3 11 2" xfId="37135"/>
    <cellStyle name="Salida 2 3 3 12" xfId="37136"/>
    <cellStyle name="Salida 2 3 3 12 2" xfId="37137"/>
    <cellStyle name="Salida 2 3 3 13" xfId="37138"/>
    <cellStyle name="Salida 2 3 3 13 2" xfId="37139"/>
    <cellStyle name="Salida 2 3 3 14" xfId="37140"/>
    <cellStyle name="Salida 2 3 3 14 2" xfId="37141"/>
    <cellStyle name="Salida 2 3 3 15" xfId="37142"/>
    <cellStyle name="Salida 2 3 3 2" xfId="37143"/>
    <cellStyle name="Salida 2 3 3 2 10" xfId="37144"/>
    <cellStyle name="Salida 2 3 3 2 10 2" xfId="37145"/>
    <cellStyle name="Salida 2 3 3 2 11" xfId="37146"/>
    <cellStyle name="Salida 2 3 3 2 11 2" xfId="37147"/>
    <cellStyle name="Salida 2 3 3 2 12" xfId="37148"/>
    <cellStyle name="Salida 2 3 3 2 12 2" xfId="37149"/>
    <cellStyle name="Salida 2 3 3 2 13" xfId="37150"/>
    <cellStyle name="Salida 2 3 3 2 2" xfId="37151"/>
    <cellStyle name="Salida 2 3 3 2 2 10" xfId="37152"/>
    <cellStyle name="Salida 2 3 3 2 2 10 2" xfId="37153"/>
    <cellStyle name="Salida 2 3 3 2 2 11" xfId="37154"/>
    <cellStyle name="Salida 2 3 3 2 2 2" xfId="37155"/>
    <cellStyle name="Salida 2 3 3 2 2 2 2" xfId="37156"/>
    <cellStyle name="Salida 2 3 3 2 2 3" xfId="37157"/>
    <cellStyle name="Salida 2 3 3 2 2 3 2" xfId="37158"/>
    <cellStyle name="Salida 2 3 3 2 2 4" xfId="37159"/>
    <cellStyle name="Salida 2 3 3 2 2 4 2" xfId="37160"/>
    <cellStyle name="Salida 2 3 3 2 2 5" xfId="37161"/>
    <cellStyle name="Salida 2 3 3 2 2 5 2" xfId="37162"/>
    <cellStyle name="Salida 2 3 3 2 2 6" xfId="37163"/>
    <cellStyle name="Salida 2 3 3 2 2 6 2" xfId="37164"/>
    <cellStyle name="Salida 2 3 3 2 2 7" xfId="37165"/>
    <cellStyle name="Salida 2 3 3 2 2 7 2" xfId="37166"/>
    <cellStyle name="Salida 2 3 3 2 2 8" xfId="37167"/>
    <cellStyle name="Salida 2 3 3 2 2 8 2" xfId="37168"/>
    <cellStyle name="Salida 2 3 3 2 2 9" xfId="37169"/>
    <cellStyle name="Salida 2 3 3 2 2 9 2" xfId="37170"/>
    <cellStyle name="Salida 2 3 3 2 3" xfId="37171"/>
    <cellStyle name="Salida 2 3 3 2 3 10" xfId="37172"/>
    <cellStyle name="Salida 2 3 3 2 3 10 2" xfId="37173"/>
    <cellStyle name="Salida 2 3 3 2 3 11" xfId="37174"/>
    <cellStyle name="Salida 2 3 3 2 3 2" xfId="37175"/>
    <cellStyle name="Salida 2 3 3 2 3 2 2" xfId="37176"/>
    <cellStyle name="Salida 2 3 3 2 3 3" xfId="37177"/>
    <cellStyle name="Salida 2 3 3 2 3 3 2" xfId="37178"/>
    <cellStyle name="Salida 2 3 3 2 3 4" xfId="37179"/>
    <cellStyle name="Salida 2 3 3 2 3 4 2" xfId="37180"/>
    <cellStyle name="Salida 2 3 3 2 3 5" xfId="37181"/>
    <cellStyle name="Salida 2 3 3 2 3 5 2" xfId="37182"/>
    <cellStyle name="Salida 2 3 3 2 3 6" xfId="37183"/>
    <cellStyle name="Salida 2 3 3 2 3 6 2" xfId="37184"/>
    <cellStyle name="Salida 2 3 3 2 3 7" xfId="37185"/>
    <cellStyle name="Salida 2 3 3 2 3 7 2" xfId="37186"/>
    <cellStyle name="Salida 2 3 3 2 3 8" xfId="37187"/>
    <cellStyle name="Salida 2 3 3 2 3 8 2" xfId="37188"/>
    <cellStyle name="Salida 2 3 3 2 3 9" xfId="37189"/>
    <cellStyle name="Salida 2 3 3 2 3 9 2" xfId="37190"/>
    <cellStyle name="Salida 2 3 3 2 4" xfId="37191"/>
    <cellStyle name="Salida 2 3 3 2 4 2" xfId="37192"/>
    <cellStyle name="Salida 2 3 3 2 5" xfId="37193"/>
    <cellStyle name="Salida 2 3 3 2 5 2" xfId="37194"/>
    <cellStyle name="Salida 2 3 3 2 6" xfId="37195"/>
    <cellStyle name="Salida 2 3 3 2 6 2" xfId="37196"/>
    <cellStyle name="Salida 2 3 3 2 7" xfId="37197"/>
    <cellStyle name="Salida 2 3 3 2 7 2" xfId="37198"/>
    <cellStyle name="Salida 2 3 3 2 8" xfId="37199"/>
    <cellStyle name="Salida 2 3 3 2 8 2" xfId="37200"/>
    <cellStyle name="Salida 2 3 3 2 9" xfId="37201"/>
    <cellStyle name="Salida 2 3 3 2 9 2" xfId="37202"/>
    <cellStyle name="Salida 2 3 3 3" xfId="37203"/>
    <cellStyle name="Salida 2 3 3 3 10" xfId="37204"/>
    <cellStyle name="Salida 2 3 3 3 10 2" xfId="37205"/>
    <cellStyle name="Salida 2 3 3 3 11" xfId="37206"/>
    <cellStyle name="Salida 2 3 3 3 11 2" xfId="37207"/>
    <cellStyle name="Salida 2 3 3 3 12" xfId="37208"/>
    <cellStyle name="Salida 2 3 3 3 12 2" xfId="37209"/>
    <cellStyle name="Salida 2 3 3 3 13" xfId="37210"/>
    <cellStyle name="Salida 2 3 3 3 2" xfId="37211"/>
    <cellStyle name="Salida 2 3 3 3 2 10" xfId="37212"/>
    <cellStyle name="Salida 2 3 3 3 2 10 2" xfId="37213"/>
    <cellStyle name="Salida 2 3 3 3 2 11" xfId="37214"/>
    <cellStyle name="Salida 2 3 3 3 2 2" xfId="37215"/>
    <cellStyle name="Salida 2 3 3 3 2 2 2" xfId="37216"/>
    <cellStyle name="Salida 2 3 3 3 2 3" xfId="37217"/>
    <cellStyle name="Salida 2 3 3 3 2 3 2" xfId="37218"/>
    <cellStyle name="Salida 2 3 3 3 2 4" xfId="37219"/>
    <cellStyle name="Salida 2 3 3 3 2 4 2" xfId="37220"/>
    <cellStyle name="Salida 2 3 3 3 2 5" xfId="37221"/>
    <cellStyle name="Salida 2 3 3 3 2 5 2" xfId="37222"/>
    <cellStyle name="Salida 2 3 3 3 2 6" xfId="37223"/>
    <cellStyle name="Salida 2 3 3 3 2 6 2" xfId="37224"/>
    <cellStyle name="Salida 2 3 3 3 2 7" xfId="37225"/>
    <cellStyle name="Salida 2 3 3 3 2 7 2" xfId="37226"/>
    <cellStyle name="Salida 2 3 3 3 2 8" xfId="37227"/>
    <cellStyle name="Salida 2 3 3 3 2 8 2" xfId="37228"/>
    <cellStyle name="Salida 2 3 3 3 2 9" xfId="37229"/>
    <cellStyle name="Salida 2 3 3 3 2 9 2" xfId="37230"/>
    <cellStyle name="Salida 2 3 3 3 3" xfId="37231"/>
    <cellStyle name="Salida 2 3 3 3 3 10" xfId="37232"/>
    <cellStyle name="Salida 2 3 3 3 3 10 2" xfId="37233"/>
    <cellStyle name="Salida 2 3 3 3 3 11" xfId="37234"/>
    <cellStyle name="Salida 2 3 3 3 3 2" xfId="37235"/>
    <cellStyle name="Salida 2 3 3 3 3 2 2" xfId="37236"/>
    <cellStyle name="Salida 2 3 3 3 3 3" xfId="37237"/>
    <cellStyle name="Salida 2 3 3 3 3 3 2" xfId="37238"/>
    <cellStyle name="Salida 2 3 3 3 3 4" xfId="37239"/>
    <cellStyle name="Salida 2 3 3 3 3 4 2" xfId="37240"/>
    <cellStyle name="Salida 2 3 3 3 3 5" xfId="37241"/>
    <cellStyle name="Salida 2 3 3 3 3 5 2" xfId="37242"/>
    <cellStyle name="Salida 2 3 3 3 3 6" xfId="37243"/>
    <cellStyle name="Salida 2 3 3 3 3 6 2" xfId="37244"/>
    <cellStyle name="Salida 2 3 3 3 3 7" xfId="37245"/>
    <cellStyle name="Salida 2 3 3 3 3 7 2" xfId="37246"/>
    <cellStyle name="Salida 2 3 3 3 3 8" xfId="37247"/>
    <cellStyle name="Salida 2 3 3 3 3 8 2" xfId="37248"/>
    <cellStyle name="Salida 2 3 3 3 3 9" xfId="37249"/>
    <cellStyle name="Salida 2 3 3 3 3 9 2" xfId="37250"/>
    <cellStyle name="Salida 2 3 3 3 4" xfId="37251"/>
    <cellStyle name="Salida 2 3 3 3 4 2" xfId="37252"/>
    <cellStyle name="Salida 2 3 3 3 5" xfId="37253"/>
    <cellStyle name="Salida 2 3 3 3 5 2" xfId="37254"/>
    <cellStyle name="Salida 2 3 3 3 6" xfId="37255"/>
    <cellStyle name="Salida 2 3 3 3 6 2" xfId="37256"/>
    <cellStyle name="Salida 2 3 3 3 7" xfId="37257"/>
    <cellStyle name="Salida 2 3 3 3 7 2" xfId="37258"/>
    <cellStyle name="Salida 2 3 3 3 8" xfId="37259"/>
    <cellStyle name="Salida 2 3 3 3 8 2" xfId="37260"/>
    <cellStyle name="Salida 2 3 3 3 9" xfId="37261"/>
    <cellStyle name="Salida 2 3 3 3 9 2" xfId="37262"/>
    <cellStyle name="Salida 2 3 3 4" xfId="37263"/>
    <cellStyle name="Salida 2 3 3 4 10" xfId="37264"/>
    <cellStyle name="Salida 2 3 3 4 10 2" xfId="37265"/>
    <cellStyle name="Salida 2 3 3 4 11" xfId="37266"/>
    <cellStyle name="Salida 2 3 3 4 2" xfId="37267"/>
    <cellStyle name="Salida 2 3 3 4 2 2" xfId="37268"/>
    <cellStyle name="Salida 2 3 3 4 3" xfId="37269"/>
    <cellStyle name="Salida 2 3 3 4 3 2" xfId="37270"/>
    <cellStyle name="Salida 2 3 3 4 4" xfId="37271"/>
    <cellStyle name="Salida 2 3 3 4 4 2" xfId="37272"/>
    <cellStyle name="Salida 2 3 3 4 5" xfId="37273"/>
    <cellStyle name="Salida 2 3 3 4 5 2" xfId="37274"/>
    <cellStyle name="Salida 2 3 3 4 6" xfId="37275"/>
    <cellStyle name="Salida 2 3 3 4 6 2" xfId="37276"/>
    <cellStyle name="Salida 2 3 3 4 7" xfId="37277"/>
    <cellStyle name="Salida 2 3 3 4 7 2" xfId="37278"/>
    <cellStyle name="Salida 2 3 3 4 8" xfId="37279"/>
    <cellStyle name="Salida 2 3 3 4 8 2" xfId="37280"/>
    <cellStyle name="Salida 2 3 3 4 9" xfId="37281"/>
    <cellStyle name="Salida 2 3 3 4 9 2" xfId="37282"/>
    <cellStyle name="Salida 2 3 3 5" xfId="37283"/>
    <cellStyle name="Salida 2 3 3 5 10" xfId="37284"/>
    <cellStyle name="Salida 2 3 3 5 10 2" xfId="37285"/>
    <cellStyle name="Salida 2 3 3 5 11" xfId="37286"/>
    <cellStyle name="Salida 2 3 3 5 2" xfId="37287"/>
    <cellStyle name="Salida 2 3 3 5 2 2" xfId="37288"/>
    <cellStyle name="Salida 2 3 3 5 3" xfId="37289"/>
    <cellStyle name="Salida 2 3 3 5 3 2" xfId="37290"/>
    <cellStyle name="Salida 2 3 3 5 4" xfId="37291"/>
    <cellStyle name="Salida 2 3 3 5 4 2" xfId="37292"/>
    <cellStyle name="Salida 2 3 3 5 5" xfId="37293"/>
    <cellStyle name="Salida 2 3 3 5 5 2" xfId="37294"/>
    <cellStyle name="Salida 2 3 3 5 6" xfId="37295"/>
    <cellStyle name="Salida 2 3 3 5 6 2" xfId="37296"/>
    <cellStyle name="Salida 2 3 3 5 7" xfId="37297"/>
    <cellStyle name="Salida 2 3 3 5 7 2" xfId="37298"/>
    <cellStyle name="Salida 2 3 3 5 8" xfId="37299"/>
    <cellStyle name="Salida 2 3 3 5 8 2" xfId="37300"/>
    <cellStyle name="Salida 2 3 3 5 9" xfId="37301"/>
    <cellStyle name="Salida 2 3 3 5 9 2" xfId="37302"/>
    <cellStyle name="Salida 2 3 3 6" xfId="37303"/>
    <cellStyle name="Salida 2 3 3 6 2" xfId="37304"/>
    <cellStyle name="Salida 2 3 3 7" xfId="37305"/>
    <cellStyle name="Salida 2 3 3 7 2" xfId="37306"/>
    <cellStyle name="Salida 2 3 3 8" xfId="37307"/>
    <cellStyle name="Salida 2 3 3 8 2" xfId="37308"/>
    <cellStyle name="Salida 2 3 3 9" xfId="37309"/>
    <cellStyle name="Salida 2 3 3 9 2" xfId="37310"/>
    <cellStyle name="Salida 2 3 4" xfId="37311"/>
    <cellStyle name="Salida 2 3 4 10" xfId="37312"/>
    <cellStyle name="Salida 2 3 4 10 2" xfId="37313"/>
    <cellStyle name="Salida 2 3 4 11" xfId="37314"/>
    <cellStyle name="Salida 2 3 4 11 2" xfId="37315"/>
    <cellStyle name="Salida 2 3 4 12" xfId="37316"/>
    <cellStyle name="Salida 2 3 4 12 2" xfId="37317"/>
    <cellStyle name="Salida 2 3 4 13" xfId="37318"/>
    <cellStyle name="Salida 2 3 4 2" xfId="37319"/>
    <cellStyle name="Salida 2 3 4 2 10" xfId="37320"/>
    <cellStyle name="Salida 2 3 4 2 10 2" xfId="37321"/>
    <cellStyle name="Salida 2 3 4 2 11" xfId="37322"/>
    <cellStyle name="Salida 2 3 4 2 2" xfId="37323"/>
    <cellStyle name="Salida 2 3 4 2 2 2" xfId="37324"/>
    <cellStyle name="Salida 2 3 4 2 3" xfId="37325"/>
    <cellStyle name="Salida 2 3 4 2 3 2" xfId="37326"/>
    <cellStyle name="Salida 2 3 4 2 4" xfId="37327"/>
    <cellStyle name="Salida 2 3 4 2 4 2" xfId="37328"/>
    <cellStyle name="Salida 2 3 4 2 5" xfId="37329"/>
    <cellStyle name="Salida 2 3 4 2 5 2" xfId="37330"/>
    <cellStyle name="Salida 2 3 4 2 6" xfId="37331"/>
    <cellStyle name="Salida 2 3 4 2 6 2" xfId="37332"/>
    <cellStyle name="Salida 2 3 4 2 7" xfId="37333"/>
    <cellStyle name="Salida 2 3 4 2 7 2" xfId="37334"/>
    <cellStyle name="Salida 2 3 4 2 8" xfId="37335"/>
    <cellStyle name="Salida 2 3 4 2 8 2" xfId="37336"/>
    <cellStyle name="Salida 2 3 4 2 9" xfId="37337"/>
    <cellStyle name="Salida 2 3 4 2 9 2" xfId="37338"/>
    <cellStyle name="Salida 2 3 4 3" xfId="37339"/>
    <cellStyle name="Salida 2 3 4 3 10" xfId="37340"/>
    <cellStyle name="Salida 2 3 4 3 10 2" xfId="37341"/>
    <cellStyle name="Salida 2 3 4 3 11" xfId="37342"/>
    <cellStyle name="Salida 2 3 4 3 2" xfId="37343"/>
    <cellStyle name="Salida 2 3 4 3 2 2" xfId="37344"/>
    <cellStyle name="Salida 2 3 4 3 3" xfId="37345"/>
    <cellStyle name="Salida 2 3 4 3 3 2" xfId="37346"/>
    <cellStyle name="Salida 2 3 4 3 4" xfId="37347"/>
    <cellStyle name="Salida 2 3 4 3 4 2" xfId="37348"/>
    <cellStyle name="Salida 2 3 4 3 5" xfId="37349"/>
    <cellStyle name="Salida 2 3 4 3 5 2" xfId="37350"/>
    <cellStyle name="Salida 2 3 4 3 6" xfId="37351"/>
    <cellStyle name="Salida 2 3 4 3 6 2" xfId="37352"/>
    <cellStyle name="Salida 2 3 4 3 7" xfId="37353"/>
    <cellStyle name="Salida 2 3 4 3 7 2" xfId="37354"/>
    <cellStyle name="Salida 2 3 4 3 8" xfId="37355"/>
    <cellStyle name="Salida 2 3 4 3 8 2" xfId="37356"/>
    <cellStyle name="Salida 2 3 4 3 9" xfId="37357"/>
    <cellStyle name="Salida 2 3 4 3 9 2" xfId="37358"/>
    <cellStyle name="Salida 2 3 4 4" xfId="37359"/>
    <cellStyle name="Salida 2 3 4 4 2" xfId="37360"/>
    <cellStyle name="Salida 2 3 4 5" xfId="37361"/>
    <cellStyle name="Salida 2 3 4 5 2" xfId="37362"/>
    <cellStyle name="Salida 2 3 4 6" xfId="37363"/>
    <cellStyle name="Salida 2 3 4 6 2" xfId="37364"/>
    <cellStyle name="Salida 2 3 4 7" xfId="37365"/>
    <cellStyle name="Salida 2 3 4 7 2" xfId="37366"/>
    <cellStyle name="Salida 2 3 4 8" xfId="37367"/>
    <cellStyle name="Salida 2 3 4 8 2" xfId="37368"/>
    <cellStyle name="Salida 2 3 4 9" xfId="37369"/>
    <cellStyle name="Salida 2 3 4 9 2" xfId="37370"/>
    <cellStyle name="Salida 2 3 5" xfId="37371"/>
    <cellStyle name="Salida 2 3 5 10" xfId="37372"/>
    <cellStyle name="Salida 2 3 5 10 2" xfId="37373"/>
    <cellStyle name="Salida 2 3 5 11" xfId="37374"/>
    <cellStyle name="Salida 2 3 5 11 2" xfId="37375"/>
    <cellStyle name="Salida 2 3 5 12" xfId="37376"/>
    <cellStyle name="Salida 2 3 5 12 2" xfId="37377"/>
    <cellStyle name="Salida 2 3 5 13" xfId="37378"/>
    <cellStyle name="Salida 2 3 5 2" xfId="37379"/>
    <cellStyle name="Salida 2 3 5 2 10" xfId="37380"/>
    <cellStyle name="Salida 2 3 5 2 10 2" xfId="37381"/>
    <cellStyle name="Salida 2 3 5 2 11" xfId="37382"/>
    <cellStyle name="Salida 2 3 5 2 2" xfId="37383"/>
    <cellStyle name="Salida 2 3 5 2 2 2" xfId="37384"/>
    <cellStyle name="Salida 2 3 5 2 3" xfId="37385"/>
    <cellStyle name="Salida 2 3 5 2 3 2" xfId="37386"/>
    <cellStyle name="Salida 2 3 5 2 4" xfId="37387"/>
    <cellStyle name="Salida 2 3 5 2 4 2" xfId="37388"/>
    <cellStyle name="Salida 2 3 5 2 5" xfId="37389"/>
    <cellStyle name="Salida 2 3 5 2 5 2" xfId="37390"/>
    <cellStyle name="Salida 2 3 5 2 6" xfId="37391"/>
    <cellStyle name="Salida 2 3 5 2 6 2" xfId="37392"/>
    <cellStyle name="Salida 2 3 5 2 7" xfId="37393"/>
    <cellStyle name="Salida 2 3 5 2 7 2" xfId="37394"/>
    <cellStyle name="Salida 2 3 5 2 8" xfId="37395"/>
    <cellStyle name="Salida 2 3 5 2 8 2" xfId="37396"/>
    <cellStyle name="Salida 2 3 5 2 9" xfId="37397"/>
    <cellStyle name="Salida 2 3 5 2 9 2" xfId="37398"/>
    <cellStyle name="Salida 2 3 5 3" xfId="37399"/>
    <cellStyle name="Salida 2 3 5 3 10" xfId="37400"/>
    <cellStyle name="Salida 2 3 5 3 10 2" xfId="37401"/>
    <cellStyle name="Salida 2 3 5 3 11" xfId="37402"/>
    <cellStyle name="Salida 2 3 5 3 2" xfId="37403"/>
    <cellStyle name="Salida 2 3 5 3 2 2" xfId="37404"/>
    <cellStyle name="Salida 2 3 5 3 3" xfId="37405"/>
    <cellStyle name="Salida 2 3 5 3 3 2" xfId="37406"/>
    <cellStyle name="Salida 2 3 5 3 4" xfId="37407"/>
    <cellStyle name="Salida 2 3 5 3 4 2" xfId="37408"/>
    <cellStyle name="Salida 2 3 5 3 5" xfId="37409"/>
    <cellStyle name="Salida 2 3 5 3 5 2" xfId="37410"/>
    <cellStyle name="Salida 2 3 5 3 6" xfId="37411"/>
    <cellStyle name="Salida 2 3 5 3 6 2" xfId="37412"/>
    <cellStyle name="Salida 2 3 5 3 7" xfId="37413"/>
    <cellStyle name="Salida 2 3 5 3 7 2" xfId="37414"/>
    <cellStyle name="Salida 2 3 5 3 8" xfId="37415"/>
    <cellStyle name="Salida 2 3 5 3 8 2" xfId="37416"/>
    <cellStyle name="Salida 2 3 5 3 9" xfId="37417"/>
    <cellStyle name="Salida 2 3 5 3 9 2" xfId="37418"/>
    <cellStyle name="Salida 2 3 5 4" xfId="37419"/>
    <cellStyle name="Salida 2 3 5 4 2" xfId="37420"/>
    <cellStyle name="Salida 2 3 5 5" xfId="37421"/>
    <cellStyle name="Salida 2 3 5 5 2" xfId="37422"/>
    <cellStyle name="Salida 2 3 5 6" xfId="37423"/>
    <cellStyle name="Salida 2 3 5 6 2" xfId="37424"/>
    <cellStyle name="Salida 2 3 5 7" xfId="37425"/>
    <cellStyle name="Salida 2 3 5 7 2" xfId="37426"/>
    <cellStyle name="Salida 2 3 5 8" xfId="37427"/>
    <cellStyle name="Salida 2 3 5 8 2" xfId="37428"/>
    <cellStyle name="Salida 2 3 5 9" xfId="37429"/>
    <cellStyle name="Salida 2 3 5 9 2" xfId="37430"/>
    <cellStyle name="Salida 2 3 6" xfId="37431"/>
    <cellStyle name="Salida 2 3 6 2" xfId="37432"/>
    <cellStyle name="Salida 2 3 7" xfId="37433"/>
    <cellStyle name="Salida 2 3 7 2" xfId="37434"/>
    <cellStyle name="Salida 2 3 8" xfId="37435"/>
    <cellStyle name="Salida 2 3 8 2" xfId="37436"/>
    <cellStyle name="Salida 2 3 9" xfId="37437"/>
    <cellStyle name="Salida 2 3 9 2" xfId="37438"/>
    <cellStyle name="Salida 2 4" xfId="37439"/>
    <cellStyle name="Salida 2 4 10" xfId="37440"/>
    <cellStyle name="Salida 2 4 10 2" xfId="37441"/>
    <cellStyle name="Salida 2 4 11" xfId="37442"/>
    <cellStyle name="Salida 2 4 11 2" xfId="37443"/>
    <cellStyle name="Salida 2 4 12" xfId="37444"/>
    <cellStyle name="Salida 2 4 12 2" xfId="37445"/>
    <cellStyle name="Salida 2 4 13" xfId="37446"/>
    <cellStyle name="Salida 2 4 13 2" xfId="37447"/>
    <cellStyle name="Salida 2 4 14" xfId="37448"/>
    <cellStyle name="Salida 2 4 14 2" xfId="37449"/>
    <cellStyle name="Salida 2 4 15" xfId="37450"/>
    <cellStyle name="Salida 2 4 2" xfId="37451"/>
    <cellStyle name="Salida 2 4 2 10" xfId="37452"/>
    <cellStyle name="Salida 2 4 2 10 2" xfId="37453"/>
    <cellStyle name="Salida 2 4 2 11" xfId="37454"/>
    <cellStyle name="Salida 2 4 2 11 2" xfId="37455"/>
    <cellStyle name="Salida 2 4 2 12" xfId="37456"/>
    <cellStyle name="Salida 2 4 2 12 2" xfId="37457"/>
    <cellStyle name="Salida 2 4 2 13" xfId="37458"/>
    <cellStyle name="Salida 2 4 2 2" xfId="37459"/>
    <cellStyle name="Salida 2 4 2 2 10" xfId="37460"/>
    <cellStyle name="Salida 2 4 2 2 10 2" xfId="37461"/>
    <cellStyle name="Salida 2 4 2 2 11" xfId="37462"/>
    <cellStyle name="Salida 2 4 2 2 2" xfId="37463"/>
    <cellStyle name="Salida 2 4 2 2 2 2" xfId="37464"/>
    <cellStyle name="Salida 2 4 2 2 3" xfId="37465"/>
    <cellStyle name="Salida 2 4 2 2 3 2" xfId="37466"/>
    <cellStyle name="Salida 2 4 2 2 4" xfId="37467"/>
    <cellStyle name="Salida 2 4 2 2 4 2" xfId="37468"/>
    <cellStyle name="Salida 2 4 2 2 5" xfId="37469"/>
    <cellStyle name="Salida 2 4 2 2 5 2" xfId="37470"/>
    <cellStyle name="Salida 2 4 2 2 6" xfId="37471"/>
    <cellStyle name="Salida 2 4 2 2 6 2" xfId="37472"/>
    <cellStyle name="Salida 2 4 2 2 7" xfId="37473"/>
    <cellStyle name="Salida 2 4 2 2 7 2" xfId="37474"/>
    <cellStyle name="Salida 2 4 2 2 8" xfId="37475"/>
    <cellStyle name="Salida 2 4 2 2 8 2" xfId="37476"/>
    <cellStyle name="Salida 2 4 2 2 9" xfId="37477"/>
    <cellStyle name="Salida 2 4 2 2 9 2" xfId="37478"/>
    <cellStyle name="Salida 2 4 2 3" xfId="37479"/>
    <cellStyle name="Salida 2 4 2 3 10" xfId="37480"/>
    <cellStyle name="Salida 2 4 2 3 10 2" xfId="37481"/>
    <cellStyle name="Salida 2 4 2 3 11" xfId="37482"/>
    <cellStyle name="Salida 2 4 2 3 2" xfId="37483"/>
    <cellStyle name="Salida 2 4 2 3 2 2" xfId="37484"/>
    <cellStyle name="Salida 2 4 2 3 3" xfId="37485"/>
    <cellStyle name="Salida 2 4 2 3 3 2" xfId="37486"/>
    <cellStyle name="Salida 2 4 2 3 4" xfId="37487"/>
    <cellStyle name="Salida 2 4 2 3 4 2" xfId="37488"/>
    <cellStyle name="Salida 2 4 2 3 5" xfId="37489"/>
    <cellStyle name="Salida 2 4 2 3 5 2" xfId="37490"/>
    <cellStyle name="Salida 2 4 2 3 6" xfId="37491"/>
    <cellStyle name="Salida 2 4 2 3 6 2" xfId="37492"/>
    <cellStyle name="Salida 2 4 2 3 7" xfId="37493"/>
    <cellStyle name="Salida 2 4 2 3 7 2" xfId="37494"/>
    <cellStyle name="Salida 2 4 2 3 8" xfId="37495"/>
    <cellStyle name="Salida 2 4 2 3 8 2" xfId="37496"/>
    <cellStyle name="Salida 2 4 2 3 9" xfId="37497"/>
    <cellStyle name="Salida 2 4 2 3 9 2" xfId="37498"/>
    <cellStyle name="Salida 2 4 2 4" xfId="37499"/>
    <cellStyle name="Salida 2 4 2 4 2" xfId="37500"/>
    <cellStyle name="Salida 2 4 2 5" xfId="37501"/>
    <cellStyle name="Salida 2 4 2 5 2" xfId="37502"/>
    <cellStyle name="Salida 2 4 2 6" xfId="37503"/>
    <cellStyle name="Salida 2 4 2 6 2" xfId="37504"/>
    <cellStyle name="Salida 2 4 2 7" xfId="37505"/>
    <cellStyle name="Salida 2 4 2 7 2" xfId="37506"/>
    <cellStyle name="Salida 2 4 2 8" xfId="37507"/>
    <cellStyle name="Salida 2 4 2 8 2" xfId="37508"/>
    <cellStyle name="Salida 2 4 2 9" xfId="37509"/>
    <cellStyle name="Salida 2 4 2 9 2" xfId="37510"/>
    <cellStyle name="Salida 2 4 3" xfId="37511"/>
    <cellStyle name="Salida 2 4 3 10" xfId="37512"/>
    <cellStyle name="Salida 2 4 3 10 2" xfId="37513"/>
    <cellStyle name="Salida 2 4 3 11" xfId="37514"/>
    <cellStyle name="Salida 2 4 3 11 2" xfId="37515"/>
    <cellStyle name="Salida 2 4 3 12" xfId="37516"/>
    <cellStyle name="Salida 2 4 3 12 2" xfId="37517"/>
    <cellStyle name="Salida 2 4 3 13" xfId="37518"/>
    <cellStyle name="Salida 2 4 3 2" xfId="37519"/>
    <cellStyle name="Salida 2 4 3 2 10" xfId="37520"/>
    <cellStyle name="Salida 2 4 3 2 10 2" xfId="37521"/>
    <cellStyle name="Salida 2 4 3 2 11" xfId="37522"/>
    <cellStyle name="Salida 2 4 3 2 2" xfId="37523"/>
    <cellStyle name="Salida 2 4 3 2 2 2" xfId="37524"/>
    <cellStyle name="Salida 2 4 3 2 3" xfId="37525"/>
    <cellStyle name="Salida 2 4 3 2 3 2" xfId="37526"/>
    <cellStyle name="Salida 2 4 3 2 4" xfId="37527"/>
    <cellStyle name="Salida 2 4 3 2 4 2" xfId="37528"/>
    <cellStyle name="Salida 2 4 3 2 5" xfId="37529"/>
    <cellStyle name="Salida 2 4 3 2 5 2" xfId="37530"/>
    <cellStyle name="Salida 2 4 3 2 6" xfId="37531"/>
    <cellStyle name="Salida 2 4 3 2 6 2" xfId="37532"/>
    <cellStyle name="Salida 2 4 3 2 7" xfId="37533"/>
    <cellStyle name="Salida 2 4 3 2 7 2" xfId="37534"/>
    <cellStyle name="Salida 2 4 3 2 8" xfId="37535"/>
    <cellStyle name="Salida 2 4 3 2 8 2" xfId="37536"/>
    <cellStyle name="Salida 2 4 3 2 9" xfId="37537"/>
    <cellStyle name="Salida 2 4 3 2 9 2" xfId="37538"/>
    <cellStyle name="Salida 2 4 3 3" xfId="37539"/>
    <cellStyle name="Salida 2 4 3 3 10" xfId="37540"/>
    <cellStyle name="Salida 2 4 3 3 10 2" xfId="37541"/>
    <cellStyle name="Salida 2 4 3 3 11" xfId="37542"/>
    <cellStyle name="Salida 2 4 3 3 2" xfId="37543"/>
    <cellStyle name="Salida 2 4 3 3 2 2" xfId="37544"/>
    <cellStyle name="Salida 2 4 3 3 3" xfId="37545"/>
    <cellStyle name="Salida 2 4 3 3 3 2" xfId="37546"/>
    <cellStyle name="Salida 2 4 3 3 4" xfId="37547"/>
    <cellStyle name="Salida 2 4 3 3 4 2" xfId="37548"/>
    <cellStyle name="Salida 2 4 3 3 5" xfId="37549"/>
    <cellStyle name="Salida 2 4 3 3 5 2" xfId="37550"/>
    <cellStyle name="Salida 2 4 3 3 6" xfId="37551"/>
    <cellStyle name="Salida 2 4 3 3 6 2" xfId="37552"/>
    <cellStyle name="Salida 2 4 3 3 7" xfId="37553"/>
    <cellStyle name="Salida 2 4 3 3 7 2" xfId="37554"/>
    <cellStyle name="Salida 2 4 3 3 8" xfId="37555"/>
    <cellStyle name="Salida 2 4 3 3 8 2" xfId="37556"/>
    <cellStyle name="Salida 2 4 3 3 9" xfId="37557"/>
    <cellStyle name="Salida 2 4 3 3 9 2" xfId="37558"/>
    <cellStyle name="Salida 2 4 3 4" xfId="37559"/>
    <cellStyle name="Salida 2 4 3 4 2" xfId="37560"/>
    <cellStyle name="Salida 2 4 3 5" xfId="37561"/>
    <cellStyle name="Salida 2 4 3 5 2" xfId="37562"/>
    <cellStyle name="Salida 2 4 3 6" xfId="37563"/>
    <cellStyle name="Salida 2 4 3 6 2" xfId="37564"/>
    <cellStyle name="Salida 2 4 3 7" xfId="37565"/>
    <cellStyle name="Salida 2 4 3 7 2" xfId="37566"/>
    <cellStyle name="Salida 2 4 3 8" xfId="37567"/>
    <cellStyle name="Salida 2 4 3 8 2" xfId="37568"/>
    <cellStyle name="Salida 2 4 3 9" xfId="37569"/>
    <cellStyle name="Salida 2 4 3 9 2" xfId="37570"/>
    <cellStyle name="Salida 2 4 4" xfId="37571"/>
    <cellStyle name="Salida 2 4 4 10" xfId="37572"/>
    <cellStyle name="Salida 2 4 4 10 2" xfId="37573"/>
    <cellStyle name="Salida 2 4 4 11" xfId="37574"/>
    <cellStyle name="Salida 2 4 4 2" xfId="37575"/>
    <cellStyle name="Salida 2 4 4 2 2" xfId="37576"/>
    <cellStyle name="Salida 2 4 4 3" xfId="37577"/>
    <cellStyle name="Salida 2 4 4 3 2" xfId="37578"/>
    <cellStyle name="Salida 2 4 4 4" xfId="37579"/>
    <cellStyle name="Salida 2 4 4 4 2" xfId="37580"/>
    <cellStyle name="Salida 2 4 4 5" xfId="37581"/>
    <cellStyle name="Salida 2 4 4 5 2" xfId="37582"/>
    <cellStyle name="Salida 2 4 4 6" xfId="37583"/>
    <cellStyle name="Salida 2 4 4 6 2" xfId="37584"/>
    <cellStyle name="Salida 2 4 4 7" xfId="37585"/>
    <cellStyle name="Salida 2 4 4 7 2" xfId="37586"/>
    <cellStyle name="Salida 2 4 4 8" xfId="37587"/>
    <cellStyle name="Salida 2 4 4 8 2" xfId="37588"/>
    <cellStyle name="Salida 2 4 4 9" xfId="37589"/>
    <cellStyle name="Salida 2 4 4 9 2" xfId="37590"/>
    <cellStyle name="Salida 2 4 5" xfId="37591"/>
    <cellStyle name="Salida 2 4 5 10" xfId="37592"/>
    <cellStyle name="Salida 2 4 5 10 2" xfId="37593"/>
    <cellStyle name="Salida 2 4 5 11" xfId="37594"/>
    <cellStyle name="Salida 2 4 5 2" xfId="37595"/>
    <cellStyle name="Salida 2 4 5 2 2" xfId="37596"/>
    <cellStyle name="Salida 2 4 5 3" xfId="37597"/>
    <cellStyle name="Salida 2 4 5 3 2" xfId="37598"/>
    <cellStyle name="Salida 2 4 5 4" xfId="37599"/>
    <cellStyle name="Salida 2 4 5 4 2" xfId="37600"/>
    <cellStyle name="Salida 2 4 5 5" xfId="37601"/>
    <cellStyle name="Salida 2 4 5 5 2" xfId="37602"/>
    <cellStyle name="Salida 2 4 5 6" xfId="37603"/>
    <cellStyle name="Salida 2 4 5 6 2" xfId="37604"/>
    <cellStyle name="Salida 2 4 5 7" xfId="37605"/>
    <cellStyle name="Salida 2 4 5 7 2" xfId="37606"/>
    <cellStyle name="Salida 2 4 5 8" xfId="37607"/>
    <cellStyle name="Salida 2 4 5 8 2" xfId="37608"/>
    <cellStyle name="Salida 2 4 5 9" xfId="37609"/>
    <cellStyle name="Salida 2 4 5 9 2" xfId="37610"/>
    <cellStyle name="Salida 2 4 6" xfId="37611"/>
    <cellStyle name="Salida 2 4 6 2" xfId="37612"/>
    <cellStyle name="Salida 2 4 7" xfId="37613"/>
    <cellStyle name="Salida 2 4 7 2" xfId="37614"/>
    <cellStyle name="Salida 2 4 8" xfId="37615"/>
    <cellStyle name="Salida 2 4 8 2" xfId="37616"/>
    <cellStyle name="Salida 2 4 9" xfId="37617"/>
    <cellStyle name="Salida 2 4 9 2" xfId="37618"/>
    <cellStyle name="Salida 2 5" xfId="37619"/>
    <cellStyle name="Salida 2 5 10" xfId="37620"/>
    <cellStyle name="Salida 2 5 10 2" xfId="37621"/>
    <cellStyle name="Salida 2 5 11" xfId="37622"/>
    <cellStyle name="Salida 2 5 11 2" xfId="37623"/>
    <cellStyle name="Salida 2 5 12" xfId="37624"/>
    <cellStyle name="Salida 2 5 12 2" xfId="37625"/>
    <cellStyle name="Salida 2 5 13" xfId="37626"/>
    <cellStyle name="Salida 2 5 13 2" xfId="37627"/>
    <cellStyle name="Salida 2 5 14" xfId="37628"/>
    <cellStyle name="Salida 2 5 14 2" xfId="37629"/>
    <cellStyle name="Salida 2 5 15" xfId="37630"/>
    <cellStyle name="Salida 2 5 2" xfId="37631"/>
    <cellStyle name="Salida 2 5 2 10" xfId="37632"/>
    <cellStyle name="Salida 2 5 2 10 2" xfId="37633"/>
    <cellStyle name="Salida 2 5 2 11" xfId="37634"/>
    <cellStyle name="Salida 2 5 2 11 2" xfId="37635"/>
    <cellStyle name="Salida 2 5 2 12" xfId="37636"/>
    <cellStyle name="Salida 2 5 2 12 2" xfId="37637"/>
    <cellStyle name="Salida 2 5 2 13" xfId="37638"/>
    <cellStyle name="Salida 2 5 2 2" xfId="37639"/>
    <cellStyle name="Salida 2 5 2 2 10" xfId="37640"/>
    <cellStyle name="Salida 2 5 2 2 10 2" xfId="37641"/>
    <cellStyle name="Salida 2 5 2 2 11" xfId="37642"/>
    <cellStyle name="Salida 2 5 2 2 2" xfId="37643"/>
    <cellStyle name="Salida 2 5 2 2 2 2" xfId="37644"/>
    <cellStyle name="Salida 2 5 2 2 3" xfId="37645"/>
    <cellStyle name="Salida 2 5 2 2 3 2" xfId="37646"/>
    <cellStyle name="Salida 2 5 2 2 4" xfId="37647"/>
    <cellStyle name="Salida 2 5 2 2 4 2" xfId="37648"/>
    <cellStyle name="Salida 2 5 2 2 5" xfId="37649"/>
    <cellStyle name="Salida 2 5 2 2 5 2" xfId="37650"/>
    <cellStyle name="Salida 2 5 2 2 6" xfId="37651"/>
    <cellStyle name="Salida 2 5 2 2 6 2" xfId="37652"/>
    <cellStyle name="Salida 2 5 2 2 7" xfId="37653"/>
    <cellStyle name="Salida 2 5 2 2 7 2" xfId="37654"/>
    <cellStyle name="Salida 2 5 2 2 8" xfId="37655"/>
    <cellStyle name="Salida 2 5 2 2 8 2" xfId="37656"/>
    <cellStyle name="Salida 2 5 2 2 9" xfId="37657"/>
    <cellStyle name="Salida 2 5 2 2 9 2" xfId="37658"/>
    <cellStyle name="Salida 2 5 2 3" xfId="37659"/>
    <cellStyle name="Salida 2 5 2 3 10" xfId="37660"/>
    <cellStyle name="Salida 2 5 2 3 10 2" xfId="37661"/>
    <cellStyle name="Salida 2 5 2 3 11" xfId="37662"/>
    <cellStyle name="Salida 2 5 2 3 2" xfId="37663"/>
    <cellStyle name="Salida 2 5 2 3 2 2" xfId="37664"/>
    <cellStyle name="Salida 2 5 2 3 3" xfId="37665"/>
    <cellStyle name="Salida 2 5 2 3 3 2" xfId="37666"/>
    <cellStyle name="Salida 2 5 2 3 4" xfId="37667"/>
    <cellStyle name="Salida 2 5 2 3 4 2" xfId="37668"/>
    <cellStyle name="Salida 2 5 2 3 5" xfId="37669"/>
    <cellStyle name="Salida 2 5 2 3 5 2" xfId="37670"/>
    <cellStyle name="Salida 2 5 2 3 6" xfId="37671"/>
    <cellStyle name="Salida 2 5 2 3 6 2" xfId="37672"/>
    <cellStyle name="Salida 2 5 2 3 7" xfId="37673"/>
    <cellStyle name="Salida 2 5 2 3 7 2" xfId="37674"/>
    <cellStyle name="Salida 2 5 2 3 8" xfId="37675"/>
    <cellStyle name="Salida 2 5 2 3 8 2" xfId="37676"/>
    <cellStyle name="Salida 2 5 2 3 9" xfId="37677"/>
    <cellStyle name="Salida 2 5 2 3 9 2" xfId="37678"/>
    <cellStyle name="Salida 2 5 2 4" xfId="37679"/>
    <cellStyle name="Salida 2 5 2 4 2" xfId="37680"/>
    <cellStyle name="Salida 2 5 2 5" xfId="37681"/>
    <cellStyle name="Salida 2 5 2 5 2" xfId="37682"/>
    <cellStyle name="Salida 2 5 2 6" xfId="37683"/>
    <cellStyle name="Salida 2 5 2 6 2" xfId="37684"/>
    <cellStyle name="Salida 2 5 2 7" xfId="37685"/>
    <cellStyle name="Salida 2 5 2 7 2" xfId="37686"/>
    <cellStyle name="Salida 2 5 2 8" xfId="37687"/>
    <cellStyle name="Salida 2 5 2 8 2" xfId="37688"/>
    <cellStyle name="Salida 2 5 2 9" xfId="37689"/>
    <cellStyle name="Salida 2 5 2 9 2" xfId="37690"/>
    <cellStyle name="Salida 2 5 3" xfId="37691"/>
    <cellStyle name="Salida 2 5 3 10" xfId="37692"/>
    <cellStyle name="Salida 2 5 3 10 2" xfId="37693"/>
    <cellStyle name="Salida 2 5 3 11" xfId="37694"/>
    <cellStyle name="Salida 2 5 3 11 2" xfId="37695"/>
    <cellStyle name="Salida 2 5 3 12" xfId="37696"/>
    <cellStyle name="Salida 2 5 3 12 2" xfId="37697"/>
    <cellStyle name="Salida 2 5 3 13" xfId="37698"/>
    <cellStyle name="Salida 2 5 3 2" xfId="37699"/>
    <cellStyle name="Salida 2 5 3 2 10" xfId="37700"/>
    <cellStyle name="Salida 2 5 3 2 10 2" xfId="37701"/>
    <cellStyle name="Salida 2 5 3 2 11" xfId="37702"/>
    <cellStyle name="Salida 2 5 3 2 2" xfId="37703"/>
    <cellStyle name="Salida 2 5 3 2 2 2" xfId="37704"/>
    <cellStyle name="Salida 2 5 3 2 3" xfId="37705"/>
    <cellStyle name="Salida 2 5 3 2 3 2" xfId="37706"/>
    <cellStyle name="Salida 2 5 3 2 4" xfId="37707"/>
    <cellStyle name="Salida 2 5 3 2 4 2" xfId="37708"/>
    <cellStyle name="Salida 2 5 3 2 5" xfId="37709"/>
    <cellStyle name="Salida 2 5 3 2 5 2" xfId="37710"/>
    <cellStyle name="Salida 2 5 3 2 6" xfId="37711"/>
    <cellStyle name="Salida 2 5 3 2 6 2" xfId="37712"/>
    <cellStyle name="Salida 2 5 3 2 7" xfId="37713"/>
    <cellStyle name="Salida 2 5 3 2 7 2" xfId="37714"/>
    <cellStyle name="Salida 2 5 3 2 8" xfId="37715"/>
    <cellStyle name="Salida 2 5 3 2 8 2" xfId="37716"/>
    <cellStyle name="Salida 2 5 3 2 9" xfId="37717"/>
    <cellStyle name="Salida 2 5 3 2 9 2" xfId="37718"/>
    <cellStyle name="Salida 2 5 3 3" xfId="37719"/>
    <cellStyle name="Salida 2 5 3 3 10" xfId="37720"/>
    <cellStyle name="Salida 2 5 3 3 10 2" xfId="37721"/>
    <cellStyle name="Salida 2 5 3 3 11" xfId="37722"/>
    <cellStyle name="Salida 2 5 3 3 2" xfId="37723"/>
    <cellStyle name="Salida 2 5 3 3 2 2" xfId="37724"/>
    <cellStyle name="Salida 2 5 3 3 3" xfId="37725"/>
    <cellStyle name="Salida 2 5 3 3 3 2" xfId="37726"/>
    <cellStyle name="Salida 2 5 3 3 4" xfId="37727"/>
    <cellStyle name="Salida 2 5 3 3 4 2" xfId="37728"/>
    <cellStyle name="Salida 2 5 3 3 5" xfId="37729"/>
    <cellStyle name="Salida 2 5 3 3 5 2" xfId="37730"/>
    <cellStyle name="Salida 2 5 3 3 6" xfId="37731"/>
    <cellStyle name="Salida 2 5 3 3 6 2" xfId="37732"/>
    <cellStyle name="Salida 2 5 3 3 7" xfId="37733"/>
    <cellStyle name="Salida 2 5 3 3 7 2" xfId="37734"/>
    <cellStyle name="Salida 2 5 3 3 8" xfId="37735"/>
    <cellStyle name="Salida 2 5 3 3 8 2" xfId="37736"/>
    <cellStyle name="Salida 2 5 3 3 9" xfId="37737"/>
    <cellStyle name="Salida 2 5 3 3 9 2" xfId="37738"/>
    <cellStyle name="Salida 2 5 3 4" xfId="37739"/>
    <cellStyle name="Salida 2 5 3 4 2" xfId="37740"/>
    <cellStyle name="Salida 2 5 3 5" xfId="37741"/>
    <cellStyle name="Salida 2 5 3 5 2" xfId="37742"/>
    <cellStyle name="Salida 2 5 3 6" xfId="37743"/>
    <cellStyle name="Salida 2 5 3 6 2" xfId="37744"/>
    <cellStyle name="Salida 2 5 3 7" xfId="37745"/>
    <cellStyle name="Salida 2 5 3 7 2" xfId="37746"/>
    <cellStyle name="Salida 2 5 3 8" xfId="37747"/>
    <cellStyle name="Salida 2 5 3 8 2" xfId="37748"/>
    <cellStyle name="Salida 2 5 3 9" xfId="37749"/>
    <cellStyle name="Salida 2 5 3 9 2" xfId="37750"/>
    <cellStyle name="Salida 2 5 4" xfId="37751"/>
    <cellStyle name="Salida 2 5 4 10" xfId="37752"/>
    <cellStyle name="Salida 2 5 4 10 2" xfId="37753"/>
    <cellStyle name="Salida 2 5 4 11" xfId="37754"/>
    <cellStyle name="Salida 2 5 4 2" xfId="37755"/>
    <cellStyle name="Salida 2 5 4 2 2" xfId="37756"/>
    <cellStyle name="Salida 2 5 4 3" xfId="37757"/>
    <cellStyle name="Salida 2 5 4 3 2" xfId="37758"/>
    <cellStyle name="Salida 2 5 4 4" xfId="37759"/>
    <cellStyle name="Salida 2 5 4 4 2" xfId="37760"/>
    <cellStyle name="Salida 2 5 4 5" xfId="37761"/>
    <cellStyle name="Salida 2 5 4 5 2" xfId="37762"/>
    <cellStyle name="Salida 2 5 4 6" xfId="37763"/>
    <cellStyle name="Salida 2 5 4 6 2" xfId="37764"/>
    <cellStyle name="Salida 2 5 4 7" xfId="37765"/>
    <cellStyle name="Salida 2 5 4 7 2" xfId="37766"/>
    <cellStyle name="Salida 2 5 4 8" xfId="37767"/>
    <cellStyle name="Salida 2 5 4 8 2" xfId="37768"/>
    <cellStyle name="Salida 2 5 4 9" xfId="37769"/>
    <cellStyle name="Salida 2 5 4 9 2" xfId="37770"/>
    <cellStyle name="Salida 2 5 5" xfId="37771"/>
    <cellStyle name="Salida 2 5 5 10" xfId="37772"/>
    <cellStyle name="Salida 2 5 5 10 2" xfId="37773"/>
    <cellStyle name="Salida 2 5 5 11" xfId="37774"/>
    <cellStyle name="Salida 2 5 5 2" xfId="37775"/>
    <cellStyle name="Salida 2 5 5 2 2" xfId="37776"/>
    <cellStyle name="Salida 2 5 5 3" xfId="37777"/>
    <cellStyle name="Salida 2 5 5 3 2" xfId="37778"/>
    <cellStyle name="Salida 2 5 5 4" xfId="37779"/>
    <cellStyle name="Salida 2 5 5 4 2" xfId="37780"/>
    <cellStyle name="Salida 2 5 5 5" xfId="37781"/>
    <cellStyle name="Salida 2 5 5 5 2" xfId="37782"/>
    <cellStyle name="Salida 2 5 5 6" xfId="37783"/>
    <cellStyle name="Salida 2 5 5 6 2" xfId="37784"/>
    <cellStyle name="Salida 2 5 5 7" xfId="37785"/>
    <cellStyle name="Salida 2 5 5 7 2" xfId="37786"/>
    <cellStyle name="Salida 2 5 5 8" xfId="37787"/>
    <cellStyle name="Salida 2 5 5 8 2" xfId="37788"/>
    <cellStyle name="Salida 2 5 5 9" xfId="37789"/>
    <cellStyle name="Salida 2 5 5 9 2" xfId="37790"/>
    <cellStyle name="Salida 2 5 6" xfId="37791"/>
    <cellStyle name="Salida 2 5 6 2" xfId="37792"/>
    <cellStyle name="Salida 2 5 7" xfId="37793"/>
    <cellStyle name="Salida 2 5 7 2" xfId="37794"/>
    <cellStyle name="Salida 2 5 8" xfId="37795"/>
    <cellStyle name="Salida 2 5 8 2" xfId="37796"/>
    <cellStyle name="Salida 2 5 9" xfId="37797"/>
    <cellStyle name="Salida 2 5 9 2" xfId="37798"/>
    <cellStyle name="Salida 2 6" xfId="37799"/>
    <cellStyle name="Salida 2 6 10" xfId="37800"/>
    <cellStyle name="Salida 2 6 10 2" xfId="37801"/>
    <cellStyle name="Salida 2 6 11" xfId="37802"/>
    <cellStyle name="Salida 2 6 11 2" xfId="37803"/>
    <cellStyle name="Salida 2 6 12" xfId="37804"/>
    <cellStyle name="Salida 2 6 12 2" xfId="37805"/>
    <cellStyle name="Salida 2 6 13" xfId="37806"/>
    <cellStyle name="Salida 2 6 13 2" xfId="37807"/>
    <cellStyle name="Salida 2 6 14" xfId="37808"/>
    <cellStyle name="Salida 2 6 14 2" xfId="37809"/>
    <cellStyle name="Salida 2 6 15" xfId="37810"/>
    <cellStyle name="Salida 2 6 2" xfId="37811"/>
    <cellStyle name="Salida 2 6 2 10" xfId="37812"/>
    <cellStyle name="Salida 2 6 2 10 2" xfId="37813"/>
    <cellStyle name="Salida 2 6 2 11" xfId="37814"/>
    <cellStyle name="Salida 2 6 2 11 2" xfId="37815"/>
    <cellStyle name="Salida 2 6 2 12" xfId="37816"/>
    <cellStyle name="Salida 2 6 2 12 2" xfId="37817"/>
    <cellStyle name="Salida 2 6 2 13" xfId="37818"/>
    <cellStyle name="Salida 2 6 2 2" xfId="37819"/>
    <cellStyle name="Salida 2 6 2 2 10" xfId="37820"/>
    <cellStyle name="Salida 2 6 2 2 10 2" xfId="37821"/>
    <cellStyle name="Salida 2 6 2 2 11" xfId="37822"/>
    <cellStyle name="Salida 2 6 2 2 2" xfId="37823"/>
    <cellStyle name="Salida 2 6 2 2 2 2" xfId="37824"/>
    <cellStyle name="Salida 2 6 2 2 3" xfId="37825"/>
    <cellStyle name="Salida 2 6 2 2 3 2" xfId="37826"/>
    <cellStyle name="Salida 2 6 2 2 4" xfId="37827"/>
    <cellStyle name="Salida 2 6 2 2 4 2" xfId="37828"/>
    <cellStyle name="Salida 2 6 2 2 5" xfId="37829"/>
    <cellStyle name="Salida 2 6 2 2 5 2" xfId="37830"/>
    <cellStyle name="Salida 2 6 2 2 6" xfId="37831"/>
    <cellStyle name="Salida 2 6 2 2 6 2" xfId="37832"/>
    <cellStyle name="Salida 2 6 2 2 7" xfId="37833"/>
    <cellStyle name="Salida 2 6 2 2 7 2" xfId="37834"/>
    <cellStyle name="Salida 2 6 2 2 8" xfId="37835"/>
    <cellStyle name="Salida 2 6 2 2 8 2" xfId="37836"/>
    <cellStyle name="Salida 2 6 2 2 9" xfId="37837"/>
    <cellStyle name="Salida 2 6 2 2 9 2" xfId="37838"/>
    <cellStyle name="Salida 2 6 2 3" xfId="37839"/>
    <cellStyle name="Salida 2 6 2 3 10" xfId="37840"/>
    <cellStyle name="Salida 2 6 2 3 10 2" xfId="37841"/>
    <cellStyle name="Salida 2 6 2 3 11" xfId="37842"/>
    <cellStyle name="Salida 2 6 2 3 2" xfId="37843"/>
    <cellStyle name="Salida 2 6 2 3 2 2" xfId="37844"/>
    <cellStyle name="Salida 2 6 2 3 3" xfId="37845"/>
    <cellStyle name="Salida 2 6 2 3 3 2" xfId="37846"/>
    <cellStyle name="Salida 2 6 2 3 4" xfId="37847"/>
    <cellStyle name="Salida 2 6 2 3 4 2" xfId="37848"/>
    <cellStyle name="Salida 2 6 2 3 5" xfId="37849"/>
    <cellStyle name="Salida 2 6 2 3 5 2" xfId="37850"/>
    <cellStyle name="Salida 2 6 2 3 6" xfId="37851"/>
    <cellStyle name="Salida 2 6 2 3 6 2" xfId="37852"/>
    <cellStyle name="Salida 2 6 2 3 7" xfId="37853"/>
    <cellStyle name="Salida 2 6 2 3 7 2" xfId="37854"/>
    <cellStyle name="Salida 2 6 2 3 8" xfId="37855"/>
    <cellStyle name="Salida 2 6 2 3 8 2" xfId="37856"/>
    <cellStyle name="Salida 2 6 2 3 9" xfId="37857"/>
    <cellStyle name="Salida 2 6 2 3 9 2" xfId="37858"/>
    <cellStyle name="Salida 2 6 2 4" xfId="37859"/>
    <cellStyle name="Salida 2 6 2 4 2" xfId="37860"/>
    <cellStyle name="Salida 2 6 2 5" xfId="37861"/>
    <cellStyle name="Salida 2 6 2 5 2" xfId="37862"/>
    <cellStyle name="Salida 2 6 2 6" xfId="37863"/>
    <cellStyle name="Salida 2 6 2 6 2" xfId="37864"/>
    <cellStyle name="Salida 2 6 2 7" xfId="37865"/>
    <cellStyle name="Salida 2 6 2 7 2" xfId="37866"/>
    <cellStyle name="Salida 2 6 2 8" xfId="37867"/>
    <cellStyle name="Salida 2 6 2 8 2" xfId="37868"/>
    <cellStyle name="Salida 2 6 2 9" xfId="37869"/>
    <cellStyle name="Salida 2 6 2 9 2" xfId="37870"/>
    <cellStyle name="Salida 2 6 3" xfId="37871"/>
    <cellStyle name="Salida 2 6 3 10" xfId="37872"/>
    <cellStyle name="Salida 2 6 3 10 2" xfId="37873"/>
    <cellStyle name="Salida 2 6 3 11" xfId="37874"/>
    <cellStyle name="Salida 2 6 3 11 2" xfId="37875"/>
    <cellStyle name="Salida 2 6 3 12" xfId="37876"/>
    <cellStyle name="Salida 2 6 3 12 2" xfId="37877"/>
    <cellStyle name="Salida 2 6 3 13" xfId="37878"/>
    <cellStyle name="Salida 2 6 3 2" xfId="37879"/>
    <cellStyle name="Salida 2 6 3 2 10" xfId="37880"/>
    <cellStyle name="Salida 2 6 3 2 10 2" xfId="37881"/>
    <cellStyle name="Salida 2 6 3 2 11" xfId="37882"/>
    <cellStyle name="Salida 2 6 3 2 2" xfId="37883"/>
    <cellStyle name="Salida 2 6 3 2 2 2" xfId="37884"/>
    <cellStyle name="Salida 2 6 3 2 3" xfId="37885"/>
    <cellStyle name="Salida 2 6 3 2 3 2" xfId="37886"/>
    <cellStyle name="Salida 2 6 3 2 4" xfId="37887"/>
    <cellStyle name="Salida 2 6 3 2 4 2" xfId="37888"/>
    <cellStyle name="Salida 2 6 3 2 5" xfId="37889"/>
    <cellStyle name="Salida 2 6 3 2 5 2" xfId="37890"/>
    <cellStyle name="Salida 2 6 3 2 6" xfId="37891"/>
    <cellStyle name="Salida 2 6 3 2 6 2" xfId="37892"/>
    <cellStyle name="Salida 2 6 3 2 7" xfId="37893"/>
    <cellStyle name="Salida 2 6 3 2 7 2" xfId="37894"/>
    <cellStyle name="Salida 2 6 3 2 8" xfId="37895"/>
    <cellStyle name="Salida 2 6 3 2 8 2" xfId="37896"/>
    <cellStyle name="Salida 2 6 3 2 9" xfId="37897"/>
    <cellStyle name="Salida 2 6 3 2 9 2" xfId="37898"/>
    <cellStyle name="Salida 2 6 3 3" xfId="37899"/>
    <cellStyle name="Salida 2 6 3 3 10" xfId="37900"/>
    <cellStyle name="Salida 2 6 3 3 10 2" xfId="37901"/>
    <cellStyle name="Salida 2 6 3 3 11" xfId="37902"/>
    <cellStyle name="Salida 2 6 3 3 2" xfId="37903"/>
    <cellStyle name="Salida 2 6 3 3 2 2" xfId="37904"/>
    <cellStyle name="Salida 2 6 3 3 3" xfId="37905"/>
    <cellStyle name="Salida 2 6 3 3 3 2" xfId="37906"/>
    <cellStyle name="Salida 2 6 3 3 4" xfId="37907"/>
    <cellStyle name="Salida 2 6 3 3 4 2" xfId="37908"/>
    <cellStyle name="Salida 2 6 3 3 5" xfId="37909"/>
    <cellStyle name="Salida 2 6 3 3 5 2" xfId="37910"/>
    <cellStyle name="Salida 2 6 3 3 6" xfId="37911"/>
    <cellStyle name="Salida 2 6 3 3 6 2" xfId="37912"/>
    <cellStyle name="Salida 2 6 3 3 7" xfId="37913"/>
    <cellStyle name="Salida 2 6 3 3 7 2" xfId="37914"/>
    <cellStyle name="Salida 2 6 3 3 8" xfId="37915"/>
    <cellStyle name="Salida 2 6 3 3 8 2" xfId="37916"/>
    <cellStyle name="Salida 2 6 3 3 9" xfId="37917"/>
    <cellStyle name="Salida 2 6 3 3 9 2" xfId="37918"/>
    <cellStyle name="Salida 2 6 3 4" xfId="37919"/>
    <cellStyle name="Salida 2 6 3 4 2" xfId="37920"/>
    <cellStyle name="Salida 2 6 3 5" xfId="37921"/>
    <cellStyle name="Salida 2 6 3 5 2" xfId="37922"/>
    <cellStyle name="Salida 2 6 3 6" xfId="37923"/>
    <cellStyle name="Salida 2 6 3 6 2" xfId="37924"/>
    <cellStyle name="Salida 2 6 3 7" xfId="37925"/>
    <cellStyle name="Salida 2 6 3 7 2" xfId="37926"/>
    <cellStyle name="Salida 2 6 3 8" xfId="37927"/>
    <cellStyle name="Salida 2 6 3 8 2" xfId="37928"/>
    <cellStyle name="Salida 2 6 3 9" xfId="37929"/>
    <cellStyle name="Salida 2 6 3 9 2" xfId="37930"/>
    <cellStyle name="Salida 2 6 4" xfId="37931"/>
    <cellStyle name="Salida 2 6 4 10" xfId="37932"/>
    <cellStyle name="Salida 2 6 4 10 2" xfId="37933"/>
    <cellStyle name="Salida 2 6 4 11" xfId="37934"/>
    <cellStyle name="Salida 2 6 4 2" xfId="37935"/>
    <cellStyle name="Salida 2 6 4 2 2" xfId="37936"/>
    <cellStyle name="Salida 2 6 4 3" xfId="37937"/>
    <cellStyle name="Salida 2 6 4 3 2" xfId="37938"/>
    <cellStyle name="Salida 2 6 4 4" xfId="37939"/>
    <cellStyle name="Salida 2 6 4 4 2" xfId="37940"/>
    <cellStyle name="Salida 2 6 4 5" xfId="37941"/>
    <cellStyle name="Salida 2 6 4 5 2" xfId="37942"/>
    <cellStyle name="Salida 2 6 4 6" xfId="37943"/>
    <cellStyle name="Salida 2 6 4 6 2" xfId="37944"/>
    <cellStyle name="Salida 2 6 4 7" xfId="37945"/>
    <cellStyle name="Salida 2 6 4 7 2" xfId="37946"/>
    <cellStyle name="Salida 2 6 4 8" xfId="37947"/>
    <cellStyle name="Salida 2 6 4 8 2" xfId="37948"/>
    <cellStyle name="Salida 2 6 4 9" xfId="37949"/>
    <cellStyle name="Salida 2 6 4 9 2" xfId="37950"/>
    <cellStyle name="Salida 2 6 5" xfId="37951"/>
    <cellStyle name="Salida 2 6 5 10" xfId="37952"/>
    <cellStyle name="Salida 2 6 5 10 2" xfId="37953"/>
    <cellStyle name="Salida 2 6 5 11" xfId="37954"/>
    <cellStyle name="Salida 2 6 5 2" xfId="37955"/>
    <cellStyle name="Salida 2 6 5 2 2" xfId="37956"/>
    <cellStyle name="Salida 2 6 5 3" xfId="37957"/>
    <cellStyle name="Salida 2 6 5 3 2" xfId="37958"/>
    <cellStyle name="Salida 2 6 5 4" xfId="37959"/>
    <cellStyle name="Salida 2 6 5 4 2" xfId="37960"/>
    <cellStyle name="Salida 2 6 5 5" xfId="37961"/>
    <cellStyle name="Salida 2 6 5 5 2" xfId="37962"/>
    <cellStyle name="Salida 2 6 5 6" xfId="37963"/>
    <cellStyle name="Salida 2 6 5 6 2" xfId="37964"/>
    <cellStyle name="Salida 2 6 5 7" xfId="37965"/>
    <cellStyle name="Salida 2 6 5 7 2" xfId="37966"/>
    <cellStyle name="Salida 2 6 5 8" xfId="37967"/>
    <cellStyle name="Salida 2 6 5 8 2" xfId="37968"/>
    <cellStyle name="Salida 2 6 5 9" xfId="37969"/>
    <cellStyle name="Salida 2 6 5 9 2" xfId="37970"/>
    <cellStyle name="Salida 2 6 6" xfId="37971"/>
    <cellStyle name="Salida 2 6 6 2" xfId="37972"/>
    <cellStyle name="Salida 2 6 7" xfId="37973"/>
    <cellStyle name="Salida 2 6 7 2" xfId="37974"/>
    <cellStyle name="Salida 2 6 8" xfId="37975"/>
    <cellStyle name="Salida 2 6 8 2" xfId="37976"/>
    <cellStyle name="Salida 2 6 9" xfId="37977"/>
    <cellStyle name="Salida 2 6 9 2" xfId="37978"/>
    <cellStyle name="Salida 2 7" xfId="37979"/>
    <cellStyle name="Salida 2 7 10" xfId="37980"/>
    <cellStyle name="Salida 2 7 10 2" xfId="37981"/>
    <cellStyle name="Salida 2 7 11" xfId="37982"/>
    <cellStyle name="Salida 2 7 11 2" xfId="37983"/>
    <cellStyle name="Salida 2 7 12" xfId="37984"/>
    <cellStyle name="Salida 2 7 12 2" xfId="37985"/>
    <cellStyle name="Salida 2 7 13" xfId="37986"/>
    <cellStyle name="Salida 2 7 2" xfId="37987"/>
    <cellStyle name="Salida 2 7 2 10" xfId="37988"/>
    <cellStyle name="Salida 2 7 2 10 2" xfId="37989"/>
    <cellStyle name="Salida 2 7 2 11" xfId="37990"/>
    <cellStyle name="Salida 2 7 2 2" xfId="37991"/>
    <cellStyle name="Salida 2 7 2 2 2" xfId="37992"/>
    <cellStyle name="Salida 2 7 2 3" xfId="37993"/>
    <cellStyle name="Salida 2 7 2 3 2" xfId="37994"/>
    <cellStyle name="Salida 2 7 2 4" xfId="37995"/>
    <cellStyle name="Salida 2 7 2 4 2" xfId="37996"/>
    <cellStyle name="Salida 2 7 2 5" xfId="37997"/>
    <cellStyle name="Salida 2 7 2 5 2" xfId="37998"/>
    <cellStyle name="Salida 2 7 2 6" xfId="37999"/>
    <cellStyle name="Salida 2 7 2 6 2" xfId="38000"/>
    <cellStyle name="Salida 2 7 2 7" xfId="38001"/>
    <cellStyle name="Salida 2 7 2 7 2" xfId="38002"/>
    <cellStyle name="Salida 2 7 2 8" xfId="38003"/>
    <cellStyle name="Salida 2 7 2 8 2" xfId="38004"/>
    <cellStyle name="Salida 2 7 2 9" xfId="38005"/>
    <cellStyle name="Salida 2 7 2 9 2" xfId="38006"/>
    <cellStyle name="Salida 2 7 3" xfId="38007"/>
    <cellStyle name="Salida 2 7 3 10" xfId="38008"/>
    <cellStyle name="Salida 2 7 3 10 2" xfId="38009"/>
    <cellStyle name="Salida 2 7 3 11" xfId="38010"/>
    <cellStyle name="Salida 2 7 3 2" xfId="38011"/>
    <cellStyle name="Salida 2 7 3 2 2" xfId="38012"/>
    <cellStyle name="Salida 2 7 3 3" xfId="38013"/>
    <cellStyle name="Salida 2 7 3 3 2" xfId="38014"/>
    <cellStyle name="Salida 2 7 3 4" xfId="38015"/>
    <cellStyle name="Salida 2 7 3 4 2" xfId="38016"/>
    <cellStyle name="Salida 2 7 3 5" xfId="38017"/>
    <cellStyle name="Salida 2 7 3 5 2" xfId="38018"/>
    <cellStyle name="Salida 2 7 3 6" xfId="38019"/>
    <cellStyle name="Salida 2 7 3 6 2" xfId="38020"/>
    <cellStyle name="Salida 2 7 3 7" xfId="38021"/>
    <cellStyle name="Salida 2 7 3 7 2" xfId="38022"/>
    <cellStyle name="Salida 2 7 3 8" xfId="38023"/>
    <cellStyle name="Salida 2 7 3 8 2" xfId="38024"/>
    <cellStyle name="Salida 2 7 3 9" xfId="38025"/>
    <cellStyle name="Salida 2 7 3 9 2" xfId="38026"/>
    <cellStyle name="Salida 2 7 4" xfId="38027"/>
    <cellStyle name="Salida 2 7 4 2" xfId="38028"/>
    <cellStyle name="Salida 2 7 5" xfId="38029"/>
    <cellStyle name="Salida 2 7 5 2" xfId="38030"/>
    <cellStyle name="Salida 2 7 6" xfId="38031"/>
    <cellStyle name="Salida 2 7 6 2" xfId="38032"/>
    <cellStyle name="Salida 2 7 7" xfId="38033"/>
    <cellStyle name="Salida 2 7 7 2" xfId="38034"/>
    <cellStyle name="Salida 2 7 8" xfId="38035"/>
    <cellStyle name="Salida 2 7 8 2" xfId="38036"/>
    <cellStyle name="Salida 2 7 9" xfId="38037"/>
    <cellStyle name="Salida 2 7 9 2" xfId="38038"/>
    <cellStyle name="Salida 2 8" xfId="38039"/>
    <cellStyle name="Salida 2 8 10" xfId="38040"/>
    <cellStyle name="Salida 2 8 10 2" xfId="38041"/>
    <cellStyle name="Salida 2 8 11" xfId="38042"/>
    <cellStyle name="Salida 2 8 11 2" xfId="38043"/>
    <cellStyle name="Salida 2 8 12" xfId="38044"/>
    <cellStyle name="Salida 2 8 12 2" xfId="38045"/>
    <cellStyle name="Salida 2 8 13" xfId="38046"/>
    <cellStyle name="Salida 2 8 2" xfId="38047"/>
    <cellStyle name="Salida 2 8 2 10" xfId="38048"/>
    <cellStyle name="Salida 2 8 2 10 2" xfId="38049"/>
    <cellStyle name="Salida 2 8 2 11" xfId="38050"/>
    <cellStyle name="Salida 2 8 2 2" xfId="38051"/>
    <cellStyle name="Salida 2 8 2 2 2" xfId="38052"/>
    <cellStyle name="Salida 2 8 2 3" xfId="38053"/>
    <cellStyle name="Salida 2 8 2 3 2" xfId="38054"/>
    <cellStyle name="Salida 2 8 2 4" xfId="38055"/>
    <cellStyle name="Salida 2 8 2 4 2" xfId="38056"/>
    <cellStyle name="Salida 2 8 2 5" xfId="38057"/>
    <cellStyle name="Salida 2 8 2 5 2" xfId="38058"/>
    <cellStyle name="Salida 2 8 2 6" xfId="38059"/>
    <cellStyle name="Salida 2 8 2 6 2" xfId="38060"/>
    <cellStyle name="Salida 2 8 2 7" xfId="38061"/>
    <cellStyle name="Salida 2 8 2 7 2" xfId="38062"/>
    <cellStyle name="Salida 2 8 2 8" xfId="38063"/>
    <cellStyle name="Salida 2 8 2 8 2" xfId="38064"/>
    <cellStyle name="Salida 2 8 2 9" xfId="38065"/>
    <cellStyle name="Salida 2 8 2 9 2" xfId="38066"/>
    <cellStyle name="Salida 2 8 3" xfId="38067"/>
    <cellStyle name="Salida 2 8 3 10" xfId="38068"/>
    <cellStyle name="Salida 2 8 3 10 2" xfId="38069"/>
    <cellStyle name="Salida 2 8 3 11" xfId="38070"/>
    <cellStyle name="Salida 2 8 3 2" xfId="38071"/>
    <cellStyle name="Salida 2 8 3 2 2" xfId="38072"/>
    <cellStyle name="Salida 2 8 3 3" xfId="38073"/>
    <cellStyle name="Salida 2 8 3 3 2" xfId="38074"/>
    <cellStyle name="Salida 2 8 3 4" xfId="38075"/>
    <cellStyle name="Salida 2 8 3 4 2" xfId="38076"/>
    <cellStyle name="Salida 2 8 3 5" xfId="38077"/>
    <cellStyle name="Salida 2 8 3 5 2" xfId="38078"/>
    <cellStyle name="Salida 2 8 3 6" xfId="38079"/>
    <cellStyle name="Salida 2 8 3 6 2" xfId="38080"/>
    <cellStyle name="Salida 2 8 3 7" xfId="38081"/>
    <cellStyle name="Salida 2 8 3 7 2" xfId="38082"/>
    <cellStyle name="Salida 2 8 3 8" xfId="38083"/>
    <cellStyle name="Salida 2 8 3 8 2" xfId="38084"/>
    <cellStyle name="Salida 2 8 3 9" xfId="38085"/>
    <cellStyle name="Salida 2 8 3 9 2" xfId="38086"/>
    <cellStyle name="Salida 2 8 4" xfId="38087"/>
    <cellStyle name="Salida 2 8 4 2" xfId="38088"/>
    <cellStyle name="Salida 2 8 5" xfId="38089"/>
    <cellStyle name="Salida 2 8 5 2" xfId="38090"/>
    <cellStyle name="Salida 2 8 6" xfId="38091"/>
    <cellStyle name="Salida 2 8 6 2" xfId="38092"/>
    <cellStyle name="Salida 2 8 7" xfId="38093"/>
    <cellStyle name="Salida 2 8 7 2" xfId="38094"/>
    <cellStyle name="Salida 2 8 8" xfId="38095"/>
    <cellStyle name="Salida 2 8 8 2" xfId="38096"/>
    <cellStyle name="Salida 2 8 9" xfId="38097"/>
    <cellStyle name="Salida 2 8 9 2" xfId="38098"/>
    <cellStyle name="Salida 2 9" xfId="38099"/>
    <cellStyle name="Salida 2 9 2" xfId="38100"/>
    <cellStyle name="Salida 3" xfId="38101"/>
    <cellStyle name="Salida 3 10" xfId="38102"/>
    <cellStyle name="Salida 3 10 2" xfId="38103"/>
    <cellStyle name="Salida 3 11" xfId="38104"/>
    <cellStyle name="Salida 3 11 2" xfId="38105"/>
    <cellStyle name="Salida 3 12" xfId="38106"/>
    <cellStyle name="Salida 3 12 2" xfId="38107"/>
    <cellStyle name="Salida 3 13" xfId="38108"/>
    <cellStyle name="Salida 3 13 2" xfId="38109"/>
    <cellStyle name="Salida 3 14" xfId="38110"/>
    <cellStyle name="Salida 3 14 2" xfId="38111"/>
    <cellStyle name="Salida 3 15" xfId="38112"/>
    <cellStyle name="Salida 3 16" xfId="38113"/>
    <cellStyle name="Salida 3 17" xfId="38114"/>
    <cellStyle name="Salida 3 2" xfId="38115"/>
    <cellStyle name="Salida 3 2 10" xfId="38116"/>
    <cellStyle name="Salida 3 2 10 2" xfId="38117"/>
    <cellStyle name="Salida 3 2 11" xfId="38118"/>
    <cellStyle name="Salida 3 2 11 2" xfId="38119"/>
    <cellStyle name="Salida 3 2 12" xfId="38120"/>
    <cellStyle name="Salida 3 2 12 2" xfId="38121"/>
    <cellStyle name="Salida 3 2 13" xfId="38122"/>
    <cellStyle name="Salida 3 2 13 2" xfId="38123"/>
    <cellStyle name="Salida 3 2 14" xfId="38124"/>
    <cellStyle name="Salida 3 2 14 2" xfId="38125"/>
    <cellStyle name="Salida 3 2 15" xfId="38126"/>
    <cellStyle name="Salida 3 2 2" xfId="38127"/>
    <cellStyle name="Salida 3 2 2 10" xfId="38128"/>
    <cellStyle name="Salida 3 2 2 10 2" xfId="38129"/>
    <cellStyle name="Salida 3 2 2 11" xfId="38130"/>
    <cellStyle name="Salida 3 2 2 11 2" xfId="38131"/>
    <cellStyle name="Salida 3 2 2 12" xfId="38132"/>
    <cellStyle name="Salida 3 2 2 12 2" xfId="38133"/>
    <cellStyle name="Salida 3 2 2 13" xfId="38134"/>
    <cellStyle name="Salida 3 2 2 2" xfId="38135"/>
    <cellStyle name="Salida 3 2 2 2 10" xfId="38136"/>
    <cellStyle name="Salida 3 2 2 2 10 2" xfId="38137"/>
    <cellStyle name="Salida 3 2 2 2 11" xfId="38138"/>
    <cellStyle name="Salida 3 2 2 2 2" xfId="38139"/>
    <cellStyle name="Salida 3 2 2 2 2 2" xfId="38140"/>
    <cellStyle name="Salida 3 2 2 2 3" xfId="38141"/>
    <cellStyle name="Salida 3 2 2 2 3 2" xfId="38142"/>
    <cellStyle name="Salida 3 2 2 2 4" xfId="38143"/>
    <cellStyle name="Salida 3 2 2 2 4 2" xfId="38144"/>
    <cellStyle name="Salida 3 2 2 2 5" xfId="38145"/>
    <cellStyle name="Salida 3 2 2 2 5 2" xfId="38146"/>
    <cellStyle name="Salida 3 2 2 2 6" xfId="38147"/>
    <cellStyle name="Salida 3 2 2 2 6 2" xfId="38148"/>
    <cellStyle name="Salida 3 2 2 2 7" xfId="38149"/>
    <cellStyle name="Salida 3 2 2 2 7 2" xfId="38150"/>
    <cellStyle name="Salida 3 2 2 2 8" xfId="38151"/>
    <cellStyle name="Salida 3 2 2 2 8 2" xfId="38152"/>
    <cellStyle name="Salida 3 2 2 2 9" xfId="38153"/>
    <cellStyle name="Salida 3 2 2 2 9 2" xfId="38154"/>
    <cellStyle name="Salida 3 2 2 3" xfId="38155"/>
    <cellStyle name="Salida 3 2 2 3 10" xfId="38156"/>
    <cellStyle name="Salida 3 2 2 3 10 2" xfId="38157"/>
    <cellStyle name="Salida 3 2 2 3 11" xfId="38158"/>
    <cellStyle name="Salida 3 2 2 3 2" xfId="38159"/>
    <cellStyle name="Salida 3 2 2 3 2 2" xfId="38160"/>
    <cellStyle name="Salida 3 2 2 3 3" xfId="38161"/>
    <cellStyle name="Salida 3 2 2 3 3 2" xfId="38162"/>
    <cellStyle name="Salida 3 2 2 3 4" xfId="38163"/>
    <cellStyle name="Salida 3 2 2 3 4 2" xfId="38164"/>
    <cellStyle name="Salida 3 2 2 3 5" xfId="38165"/>
    <cellStyle name="Salida 3 2 2 3 5 2" xfId="38166"/>
    <cellStyle name="Salida 3 2 2 3 6" xfId="38167"/>
    <cellStyle name="Salida 3 2 2 3 6 2" xfId="38168"/>
    <cellStyle name="Salida 3 2 2 3 7" xfId="38169"/>
    <cellStyle name="Salida 3 2 2 3 7 2" xfId="38170"/>
    <cellStyle name="Salida 3 2 2 3 8" xfId="38171"/>
    <cellStyle name="Salida 3 2 2 3 8 2" xfId="38172"/>
    <cellStyle name="Salida 3 2 2 3 9" xfId="38173"/>
    <cellStyle name="Salida 3 2 2 3 9 2" xfId="38174"/>
    <cellStyle name="Salida 3 2 2 4" xfId="38175"/>
    <cellStyle name="Salida 3 2 2 4 2" xfId="38176"/>
    <cellStyle name="Salida 3 2 2 5" xfId="38177"/>
    <cellStyle name="Salida 3 2 2 5 2" xfId="38178"/>
    <cellStyle name="Salida 3 2 2 6" xfId="38179"/>
    <cellStyle name="Salida 3 2 2 6 2" xfId="38180"/>
    <cellStyle name="Salida 3 2 2 7" xfId="38181"/>
    <cellStyle name="Salida 3 2 2 7 2" xfId="38182"/>
    <cellStyle name="Salida 3 2 2 8" xfId="38183"/>
    <cellStyle name="Salida 3 2 2 8 2" xfId="38184"/>
    <cellStyle name="Salida 3 2 2 9" xfId="38185"/>
    <cellStyle name="Salida 3 2 2 9 2" xfId="38186"/>
    <cellStyle name="Salida 3 2 3" xfId="38187"/>
    <cellStyle name="Salida 3 2 3 10" xfId="38188"/>
    <cellStyle name="Salida 3 2 3 10 2" xfId="38189"/>
    <cellStyle name="Salida 3 2 3 11" xfId="38190"/>
    <cellStyle name="Salida 3 2 3 11 2" xfId="38191"/>
    <cellStyle name="Salida 3 2 3 12" xfId="38192"/>
    <cellStyle name="Salida 3 2 3 12 2" xfId="38193"/>
    <cellStyle name="Salida 3 2 3 13" xfId="38194"/>
    <cellStyle name="Salida 3 2 3 2" xfId="38195"/>
    <cellStyle name="Salida 3 2 3 2 10" xfId="38196"/>
    <cellStyle name="Salida 3 2 3 2 10 2" xfId="38197"/>
    <cellStyle name="Salida 3 2 3 2 11" xfId="38198"/>
    <cellStyle name="Salida 3 2 3 2 2" xfId="38199"/>
    <cellStyle name="Salida 3 2 3 2 2 2" xfId="38200"/>
    <cellStyle name="Salida 3 2 3 2 3" xfId="38201"/>
    <cellStyle name="Salida 3 2 3 2 3 2" xfId="38202"/>
    <cellStyle name="Salida 3 2 3 2 4" xfId="38203"/>
    <cellStyle name="Salida 3 2 3 2 4 2" xfId="38204"/>
    <cellStyle name="Salida 3 2 3 2 5" xfId="38205"/>
    <cellStyle name="Salida 3 2 3 2 5 2" xfId="38206"/>
    <cellStyle name="Salida 3 2 3 2 6" xfId="38207"/>
    <cellStyle name="Salida 3 2 3 2 6 2" xfId="38208"/>
    <cellStyle name="Salida 3 2 3 2 7" xfId="38209"/>
    <cellStyle name="Salida 3 2 3 2 7 2" xfId="38210"/>
    <cellStyle name="Salida 3 2 3 2 8" xfId="38211"/>
    <cellStyle name="Salida 3 2 3 2 8 2" xfId="38212"/>
    <cellStyle name="Salida 3 2 3 2 9" xfId="38213"/>
    <cellStyle name="Salida 3 2 3 2 9 2" xfId="38214"/>
    <cellStyle name="Salida 3 2 3 3" xfId="38215"/>
    <cellStyle name="Salida 3 2 3 3 10" xfId="38216"/>
    <cellStyle name="Salida 3 2 3 3 10 2" xfId="38217"/>
    <cellStyle name="Salida 3 2 3 3 11" xfId="38218"/>
    <cellStyle name="Salida 3 2 3 3 2" xfId="38219"/>
    <cellStyle name="Salida 3 2 3 3 2 2" xfId="38220"/>
    <cellStyle name="Salida 3 2 3 3 3" xfId="38221"/>
    <cellStyle name="Salida 3 2 3 3 3 2" xfId="38222"/>
    <cellStyle name="Salida 3 2 3 3 4" xfId="38223"/>
    <cellStyle name="Salida 3 2 3 3 4 2" xfId="38224"/>
    <cellStyle name="Salida 3 2 3 3 5" xfId="38225"/>
    <cellStyle name="Salida 3 2 3 3 5 2" xfId="38226"/>
    <cellStyle name="Salida 3 2 3 3 6" xfId="38227"/>
    <cellStyle name="Salida 3 2 3 3 6 2" xfId="38228"/>
    <cellStyle name="Salida 3 2 3 3 7" xfId="38229"/>
    <cellStyle name="Salida 3 2 3 3 7 2" xfId="38230"/>
    <cellStyle name="Salida 3 2 3 3 8" xfId="38231"/>
    <cellStyle name="Salida 3 2 3 3 8 2" xfId="38232"/>
    <cellStyle name="Salida 3 2 3 3 9" xfId="38233"/>
    <cellStyle name="Salida 3 2 3 3 9 2" xfId="38234"/>
    <cellStyle name="Salida 3 2 3 4" xfId="38235"/>
    <cellStyle name="Salida 3 2 3 4 2" xfId="38236"/>
    <cellStyle name="Salida 3 2 3 5" xfId="38237"/>
    <cellStyle name="Salida 3 2 3 5 2" xfId="38238"/>
    <cellStyle name="Salida 3 2 3 6" xfId="38239"/>
    <cellStyle name="Salida 3 2 3 6 2" xfId="38240"/>
    <cellStyle name="Salida 3 2 3 7" xfId="38241"/>
    <cellStyle name="Salida 3 2 3 7 2" xfId="38242"/>
    <cellStyle name="Salida 3 2 3 8" xfId="38243"/>
    <cellStyle name="Salida 3 2 3 8 2" xfId="38244"/>
    <cellStyle name="Salida 3 2 3 9" xfId="38245"/>
    <cellStyle name="Salida 3 2 3 9 2" xfId="38246"/>
    <cellStyle name="Salida 3 2 4" xfId="38247"/>
    <cellStyle name="Salida 3 2 4 10" xfId="38248"/>
    <cellStyle name="Salida 3 2 4 10 2" xfId="38249"/>
    <cellStyle name="Salida 3 2 4 11" xfId="38250"/>
    <cellStyle name="Salida 3 2 4 2" xfId="38251"/>
    <cellStyle name="Salida 3 2 4 2 2" xfId="38252"/>
    <cellStyle name="Salida 3 2 4 3" xfId="38253"/>
    <cellStyle name="Salida 3 2 4 3 2" xfId="38254"/>
    <cellStyle name="Salida 3 2 4 4" xfId="38255"/>
    <cellStyle name="Salida 3 2 4 4 2" xfId="38256"/>
    <cellStyle name="Salida 3 2 4 5" xfId="38257"/>
    <cellStyle name="Salida 3 2 4 5 2" xfId="38258"/>
    <cellStyle name="Salida 3 2 4 6" xfId="38259"/>
    <cellStyle name="Salida 3 2 4 6 2" xfId="38260"/>
    <cellStyle name="Salida 3 2 4 7" xfId="38261"/>
    <cellStyle name="Salida 3 2 4 7 2" xfId="38262"/>
    <cellStyle name="Salida 3 2 4 8" xfId="38263"/>
    <cellStyle name="Salida 3 2 4 8 2" xfId="38264"/>
    <cellStyle name="Salida 3 2 4 9" xfId="38265"/>
    <cellStyle name="Salida 3 2 4 9 2" xfId="38266"/>
    <cellStyle name="Salida 3 2 5" xfId="38267"/>
    <cellStyle name="Salida 3 2 5 10" xfId="38268"/>
    <cellStyle name="Salida 3 2 5 10 2" xfId="38269"/>
    <cellStyle name="Salida 3 2 5 11" xfId="38270"/>
    <cellStyle name="Salida 3 2 5 2" xfId="38271"/>
    <cellStyle name="Salida 3 2 5 2 2" xfId="38272"/>
    <cellStyle name="Salida 3 2 5 3" xfId="38273"/>
    <cellStyle name="Salida 3 2 5 3 2" xfId="38274"/>
    <cellStyle name="Salida 3 2 5 4" xfId="38275"/>
    <cellStyle name="Salida 3 2 5 4 2" xfId="38276"/>
    <cellStyle name="Salida 3 2 5 5" xfId="38277"/>
    <cellStyle name="Salida 3 2 5 5 2" xfId="38278"/>
    <cellStyle name="Salida 3 2 5 6" xfId="38279"/>
    <cellStyle name="Salida 3 2 5 6 2" xfId="38280"/>
    <cellStyle name="Salida 3 2 5 7" xfId="38281"/>
    <cellStyle name="Salida 3 2 5 7 2" xfId="38282"/>
    <cellStyle name="Salida 3 2 5 8" xfId="38283"/>
    <cellStyle name="Salida 3 2 5 8 2" xfId="38284"/>
    <cellStyle name="Salida 3 2 5 9" xfId="38285"/>
    <cellStyle name="Salida 3 2 5 9 2" xfId="38286"/>
    <cellStyle name="Salida 3 2 6" xfId="38287"/>
    <cellStyle name="Salida 3 2 6 2" xfId="38288"/>
    <cellStyle name="Salida 3 2 7" xfId="38289"/>
    <cellStyle name="Salida 3 2 7 2" xfId="38290"/>
    <cellStyle name="Salida 3 2 8" xfId="38291"/>
    <cellStyle name="Salida 3 2 8 2" xfId="38292"/>
    <cellStyle name="Salida 3 2 9" xfId="38293"/>
    <cellStyle name="Salida 3 2 9 2" xfId="38294"/>
    <cellStyle name="Salida 3 3" xfId="38295"/>
    <cellStyle name="Salida 3 3 10" xfId="38296"/>
    <cellStyle name="Salida 3 3 10 2" xfId="38297"/>
    <cellStyle name="Salida 3 3 11" xfId="38298"/>
    <cellStyle name="Salida 3 3 11 2" xfId="38299"/>
    <cellStyle name="Salida 3 3 12" xfId="38300"/>
    <cellStyle name="Salida 3 3 12 2" xfId="38301"/>
    <cellStyle name="Salida 3 3 13" xfId="38302"/>
    <cellStyle name="Salida 3 3 13 2" xfId="38303"/>
    <cellStyle name="Salida 3 3 14" xfId="38304"/>
    <cellStyle name="Salida 3 3 14 2" xfId="38305"/>
    <cellStyle name="Salida 3 3 15" xfId="38306"/>
    <cellStyle name="Salida 3 3 2" xfId="38307"/>
    <cellStyle name="Salida 3 3 2 10" xfId="38308"/>
    <cellStyle name="Salida 3 3 2 10 2" xfId="38309"/>
    <cellStyle name="Salida 3 3 2 11" xfId="38310"/>
    <cellStyle name="Salida 3 3 2 11 2" xfId="38311"/>
    <cellStyle name="Salida 3 3 2 12" xfId="38312"/>
    <cellStyle name="Salida 3 3 2 12 2" xfId="38313"/>
    <cellStyle name="Salida 3 3 2 13" xfId="38314"/>
    <cellStyle name="Salida 3 3 2 2" xfId="38315"/>
    <cellStyle name="Salida 3 3 2 2 10" xfId="38316"/>
    <cellStyle name="Salida 3 3 2 2 10 2" xfId="38317"/>
    <cellStyle name="Salida 3 3 2 2 11" xfId="38318"/>
    <cellStyle name="Salida 3 3 2 2 2" xfId="38319"/>
    <cellStyle name="Salida 3 3 2 2 2 2" xfId="38320"/>
    <cellStyle name="Salida 3 3 2 2 3" xfId="38321"/>
    <cellStyle name="Salida 3 3 2 2 3 2" xfId="38322"/>
    <cellStyle name="Salida 3 3 2 2 4" xfId="38323"/>
    <cellStyle name="Salida 3 3 2 2 4 2" xfId="38324"/>
    <cellStyle name="Salida 3 3 2 2 5" xfId="38325"/>
    <cellStyle name="Salida 3 3 2 2 5 2" xfId="38326"/>
    <cellStyle name="Salida 3 3 2 2 6" xfId="38327"/>
    <cellStyle name="Salida 3 3 2 2 6 2" xfId="38328"/>
    <cellStyle name="Salida 3 3 2 2 7" xfId="38329"/>
    <cellStyle name="Salida 3 3 2 2 7 2" xfId="38330"/>
    <cellStyle name="Salida 3 3 2 2 8" xfId="38331"/>
    <cellStyle name="Salida 3 3 2 2 8 2" xfId="38332"/>
    <cellStyle name="Salida 3 3 2 2 9" xfId="38333"/>
    <cellStyle name="Salida 3 3 2 2 9 2" xfId="38334"/>
    <cellStyle name="Salida 3 3 2 3" xfId="38335"/>
    <cellStyle name="Salida 3 3 2 3 10" xfId="38336"/>
    <cellStyle name="Salida 3 3 2 3 10 2" xfId="38337"/>
    <cellStyle name="Salida 3 3 2 3 11" xfId="38338"/>
    <cellStyle name="Salida 3 3 2 3 2" xfId="38339"/>
    <cellStyle name="Salida 3 3 2 3 2 2" xfId="38340"/>
    <cellStyle name="Salida 3 3 2 3 3" xfId="38341"/>
    <cellStyle name="Salida 3 3 2 3 3 2" xfId="38342"/>
    <cellStyle name="Salida 3 3 2 3 4" xfId="38343"/>
    <cellStyle name="Salida 3 3 2 3 4 2" xfId="38344"/>
    <cellStyle name="Salida 3 3 2 3 5" xfId="38345"/>
    <cellStyle name="Salida 3 3 2 3 5 2" xfId="38346"/>
    <cellStyle name="Salida 3 3 2 3 6" xfId="38347"/>
    <cellStyle name="Salida 3 3 2 3 6 2" xfId="38348"/>
    <cellStyle name="Salida 3 3 2 3 7" xfId="38349"/>
    <cellStyle name="Salida 3 3 2 3 7 2" xfId="38350"/>
    <cellStyle name="Salida 3 3 2 3 8" xfId="38351"/>
    <cellStyle name="Salida 3 3 2 3 8 2" xfId="38352"/>
    <cellStyle name="Salida 3 3 2 3 9" xfId="38353"/>
    <cellStyle name="Salida 3 3 2 3 9 2" xfId="38354"/>
    <cellStyle name="Salida 3 3 2 4" xfId="38355"/>
    <cellStyle name="Salida 3 3 2 4 2" xfId="38356"/>
    <cellStyle name="Salida 3 3 2 5" xfId="38357"/>
    <cellStyle name="Salida 3 3 2 5 2" xfId="38358"/>
    <cellStyle name="Salida 3 3 2 6" xfId="38359"/>
    <cellStyle name="Salida 3 3 2 6 2" xfId="38360"/>
    <cellStyle name="Salida 3 3 2 7" xfId="38361"/>
    <cellStyle name="Salida 3 3 2 7 2" xfId="38362"/>
    <cellStyle name="Salida 3 3 2 8" xfId="38363"/>
    <cellStyle name="Salida 3 3 2 8 2" xfId="38364"/>
    <cellStyle name="Salida 3 3 2 9" xfId="38365"/>
    <cellStyle name="Salida 3 3 2 9 2" xfId="38366"/>
    <cellStyle name="Salida 3 3 3" xfId="38367"/>
    <cellStyle name="Salida 3 3 3 10" xfId="38368"/>
    <cellStyle name="Salida 3 3 3 10 2" xfId="38369"/>
    <cellStyle name="Salida 3 3 3 11" xfId="38370"/>
    <cellStyle name="Salida 3 3 3 11 2" xfId="38371"/>
    <cellStyle name="Salida 3 3 3 12" xfId="38372"/>
    <cellStyle name="Salida 3 3 3 12 2" xfId="38373"/>
    <cellStyle name="Salida 3 3 3 13" xfId="38374"/>
    <cellStyle name="Salida 3 3 3 2" xfId="38375"/>
    <cellStyle name="Salida 3 3 3 2 10" xfId="38376"/>
    <cellStyle name="Salida 3 3 3 2 10 2" xfId="38377"/>
    <cellStyle name="Salida 3 3 3 2 11" xfId="38378"/>
    <cellStyle name="Salida 3 3 3 2 2" xfId="38379"/>
    <cellStyle name="Salida 3 3 3 2 2 2" xfId="38380"/>
    <cellStyle name="Salida 3 3 3 2 3" xfId="38381"/>
    <cellStyle name="Salida 3 3 3 2 3 2" xfId="38382"/>
    <cellStyle name="Salida 3 3 3 2 4" xfId="38383"/>
    <cellStyle name="Salida 3 3 3 2 4 2" xfId="38384"/>
    <cellStyle name="Salida 3 3 3 2 5" xfId="38385"/>
    <cellStyle name="Salida 3 3 3 2 5 2" xfId="38386"/>
    <cellStyle name="Salida 3 3 3 2 6" xfId="38387"/>
    <cellStyle name="Salida 3 3 3 2 6 2" xfId="38388"/>
    <cellStyle name="Salida 3 3 3 2 7" xfId="38389"/>
    <cellStyle name="Salida 3 3 3 2 7 2" xfId="38390"/>
    <cellStyle name="Salida 3 3 3 2 8" xfId="38391"/>
    <cellStyle name="Salida 3 3 3 2 8 2" xfId="38392"/>
    <cellStyle name="Salida 3 3 3 2 9" xfId="38393"/>
    <cellStyle name="Salida 3 3 3 2 9 2" xfId="38394"/>
    <cellStyle name="Salida 3 3 3 3" xfId="38395"/>
    <cellStyle name="Salida 3 3 3 3 10" xfId="38396"/>
    <cellStyle name="Salida 3 3 3 3 10 2" xfId="38397"/>
    <cellStyle name="Salida 3 3 3 3 11" xfId="38398"/>
    <cellStyle name="Salida 3 3 3 3 2" xfId="38399"/>
    <cellStyle name="Salida 3 3 3 3 2 2" xfId="38400"/>
    <cellStyle name="Salida 3 3 3 3 3" xfId="38401"/>
    <cellStyle name="Salida 3 3 3 3 3 2" xfId="38402"/>
    <cellStyle name="Salida 3 3 3 3 4" xfId="38403"/>
    <cellStyle name="Salida 3 3 3 3 4 2" xfId="38404"/>
    <cellStyle name="Salida 3 3 3 3 5" xfId="38405"/>
    <cellStyle name="Salida 3 3 3 3 5 2" xfId="38406"/>
    <cellStyle name="Salida 3 3 3 3 6" xfId="38407"/>
    <cellStyle name="Salida 3 3 3 3 6 2" xfId="38408"/>
    <cellStyle name="Salida 3 3 3 3 7" xfId="38409"/>
    <cellStyle name="Salida 3 3 3 3 7 2" xfId="38410"/>
    <cellStyle name="Salida 3 3 3 3 8" xfId="38411"/>
    <cellStyle name="Salida 3 3 3 3 8 2" xfId="38412"/>
    <cellStyle name="Salida 3 3 3 3 9" xfId="38413"/>
    <cellStyle name="Salida 3 3 3 3 9 2" xfId="38414"/>
    <cellStyle name="Salida 3 3 3 4" xfId="38415"/>
    <cellStyle name="Salida 3 3 3 4 2" xfId="38416"/>
    <cellStyle name="Salida 3 3 3 5" xfId="38417"/>
    <cellStyle name="Salida 3 3 3 5 2" xfId="38418"/>
    <cellStyle name="Salida 3 3 3 6" xfId="38419"/>
    <cellStyle name="Salida 3 3 3 6 2" xfId="38420"/>
    <cellStyle name="Salida 3 3 3 7" xfId="38421"/>
    <cellStyle name="Salida 3 3 3 7 2" xfId="38422"/>
    <cellStyle name="Salida 3 3 3 8" xfId="38423"/>
    <cellStyle name="Salida 3 3 3 8 2" xfId="38424"/>
    <cellStyle name="Salida 3 3 3 9" xfId="38425"/>
    <cellStyle name="Salida 3 3 3 9 2" xfId="38426"/>
    <cellStyle name="Salida 3 3 4" xfId="38427"/>
    <cellStyle name="Salida 3 3 4 10" xfId="38428"/>
    <cellStyle name="Salida 3 3 4 10 2" xfId="38429"/>
    <cellStyle name="Salida 3 3 4 11" xfId="38430"/>
    <cellStyle name="Salida 3 3 4 2" xfId="38431"/>
    <cellStyle name="Salida 3 3 4 2 2" xfId="38432"/>
    <cellStyle name="Salida 3 3 4 3" xfId="38433"/>
    <cellStyle name="Salida 3 3 4 3 2" xfId="38434"/>
    <cellStyle name="Salida 3 3 4 4" xfId="38435"/>
    <cellStyle name="Salida 3 3 4 4 2" xfId="38436"/>
    <cellStyle name="Salida 3 3 4 5" xfId="38437"/>
    <cellStyle name="Salida 3 3 4 5 2" xfId="38438"/>
    <cellStyle name="Salida 3 3 4 6" xfId="38439"/>
    <cellStyle name="Salida 3 3 4 6 2" xfId="38440"/>
    <cellStyle name="Salida 3 3 4 7" xfId="38441"/>
    <cellStyle name="Salida 3 3 4 7 2" xfId="38442"/>
    <cellStyle name="Salida 3 3 4 8" xfId="38443"/>
    <cellStyle name="Salida 3 3 4 8 2" xfId="38444"/>
    <cellStyle name="Salida 3 3 4 9" xfId="38445"/>
    <cellStyle name="Salida 3 3 4 9 2" xfId="38446"/>
    <cellStyle name="Salida 3 3 5" xfId="38447"/>
    <cellStyle name="Salida 3 3 5 10" xfId="38448"/>
    <cellStyle name="Salida 3 3 5 10 2" xfId="38449"/>
    <cellStyle name="Salida 3 3 5 11" xfId="38450"/>
    <cellStyle name="Salida 3 3 5 2" xfId="38451"/>
    <cellStyle name="Salida 3 3 5 2 2" xfId="38452"/>
    <cellStyle name="Salida 3 3 5 3" xfId="38453"/>
    <cellStyle name="Salida 3 3 5 3 2" xfId="38454"/>
    <cellStyle name="Salida 3 3 5 4" xfId="38455"/>
    <cellStyle name="Salida 3 3 5 4 2" xfId="38456"/>
    <cellStyle name="Salida 3 3 5 5" xfId="38457"/>
    <cellStyle name="Salida 3 3 5 5 2" xfId="38458"/>
    <cellStyle name="Salida 3 3 5 6" xfId="38459"/>
    <cellStyle name="Salida 3 3 5 6 2" xfId="38460"/>
    <cellStyle name="Salida 3 3 5 7" xfId="38461"/>
    <cellStyle name="Salida 3 3 5 7 2" xfId="38462"/>
    <cellStyle name="Salida 3 3 5 8" xfId="38463"/>
    <cellStyle name="Salida 3 3 5 8 2" xfId="38464"/>
    <cellStyle name="Salida 3 3 5 9" xfId="38465"/>
    <cellStyle name="Salida 3 3 5 9 2" xfId="38466"/>
    <cellStyle name="Salida 3 3 6" xfId="38467"/>
    <cellStyle name="Salida 3 3 6 2" xfId="38468"/>
    <cellStyle name="Salida 3 3 7" xfId="38469"/>
    <cellStyle name="Salida 3 3 7 2" xfId="38470"/>
    <cellStyle name="Salida 3 3 8" xfId="38471"/>
    <cellStyle name="Salida 3 3 8 2" xfId="38472"/>
    <cellStyle name="Salida 3 3 9" xfId="38473"/>
    <cellStyle name="Salida 3 3 9 2" xfId="38474"/>
    <cellStyle name="Salida 3 4" xfId="38475"/>
    <cellStyle name="Salida 3 4 10" xfId="38476"/>
    <cellStyle name="Salida 3 4 10 2" xfId="38477"/>
    <cellStyle name="Salida 3 4 11" xfId="38478"/>
    <cellStyle name="Salida 3 4 11 2" xfId="38479"/>
    <cellStyle name="Salida 3 4 12" xfId="38480"/>
    <cellStyle name="Salida 3 4 12 2" xfId="38481"/>
    <cellStyle name="Salida 3 4 13" xfId="38482"/>
    <cellStyle name="Salida 3 4 2" xfId="38483"/>
    <cellStyle name="Salida 3 4 2 10" xfId="38484"/>
    <cellStyle name="Salida 3 4 2 10 2" xfId="38485"/>
    <cellStyle name="Salida 3 4 2 11" xfId="38486"/>
    <cellStyle name="Salida 3 4 2 2" xfId="38487"/>
    <cellStyle name="Salida 3 4 2 2 2" xfId="38488"/>
    <cellStyle name="Salida 3 4 2 3" xfId="38489"/>
    <cellStyle name="Salida 3 4 2 3 2" xfId="38490"/>
    <cellStyle name="Salida 3 4 2 4" xfId="38491"/>
    <cellStyle name="Salida 3 4 2 4 2" xfId="38492"/>
    <cellStyle name="Salida 3 4 2 5" xfId="38493"/>
    <cellStyle name="Salida 3 4 2 5 2" xfId="38494"/>
    <cellStyle name="Salida 3 4 2 6" xfId="38495"/>
    <cellStyle name="Salida 3 4 2 6 2" xfId="38496"/>
    <cellStyle name="Salida 3 4 2 7" xfId="38497"/>
    <cellStyle name="Salida 3 4 2 7 2" xfId="38498"/>
    <cellStyle name="Salida 3 4 2 8" xfId="38499"/>
    <cellStyle name="Salida 3 4 2 8 2" xfId="38500"/>
    <cellStyle name="Salida 3 4 2 9" xfId="38501"/>
    <cellStyle name="Salida 3 4 2 9 2" xfId="38502"/>
    <cellStyle name="Salida 3 4 3" xfId="38503"/>
    <cellStyle name="Salida 3 4 3 10" xfId="38504"/>
    <cellStyle name="Salida 3 4 3 10 2" xfId="38505"/>
    <cellStyle name="Salida 3 4 3 11" xfId="38506"/>
    <cellStyle name="Salida 3 4 3 2" xfId="38507"/>
    <cellStyle name="Salida 3 4 3 2 2" xfId="38508"/>
    <cellStyle name="Salida 3 4 3 3" xfId="38509"/>
    <cellStyle name="Salida 3 4 3 3 2" xfId="38510"/>
    <cellStyle name="Salida 3 4 3 4" xfId="38511"/>
    <cellStyle name="Salida 3 4 3 4 2" xfId="38512"/>
    <cellStyle name="Salida 3 4 3 5" xfId="38513"/>
    <cellStyle name="Salida 3 4 3 5 2" xfId="38514"/>
    <cellStyle name="Salida 3 4 3 6" xfId="38515"/>
    <cellStyle name="Salida 3 4 3 6 2" xfId="38516"/>
    <cellStyle name="Salida 3 4 3 7" xfId="38517"/>
    <cellStyle name="Salida 3 4 3 7 2" xfId="38518"/>
    <cellStyle name="Salida 3 4 3 8" xfId="38519"/>
    <cellStyle name="Salida 3 4 3 8 2" xfId="38520"/>
    <cellStyle name="Salida 3 4 3 9" xfId="38521"/>
    <cellStyle name="Salida 3 4 3 9 2" xfId="38522"/>
    <cellStyle name="Salida 3 4 4" xfId="38523"/>
    <cellStyle name="Salida 3 4 4 2" xfId="38524"/>
    <cellStyle name="Salida 3 4 5" xfId="38525"/>
    <cellStyle name="Salida 3 4 5 2" xfId="38526"/>
    <cellStyle name="Salida 3 4 6" xfId="38527"/>
    <cellStyle name="Salida 3 4 6 2" xfId="38528"/>
    <cellStyle name="Salida 3 4 7" xfId="38529"/>
    <cellStyle name="Salida 3 4 7 2" xfId="38530"/>
    <cellStyle name="Salida 3 4 8" xfId="38531"/>
    <cellStyle name="Salida 3 4 8 2" xfId="38532"/>
    <cellStyle name="Salida 3 4 9" xfId="38533"/>
    <cellStyle name="Salida 3 4 9 2" xfId="38534"/>
    <cellStyle name="Salida 3 5" xfId="38535"/>
    <cellStyle name="Salida 3 5 10" xfId="38536"/>
    <cellStyle name="Salida 3 5 10 2" xfId="38537"/>
    <cellStyle name="Salida 3 5 11" xfId="38538"/>
    <cellStyle name="Salida 3 5 11 2" xfId="38539"/>
    <cellStyle name="Salida 3 5 12" xfId="38540"/>
    <cellStyle name="Salida 3 5 12 2" xfId="38541"/>
    <cellStyle name="Salida 3 5 13" xfId="38542"/>
    <cellStyle name="Salida 3 5 2" xfId="38543"/>
    <cellStyle name="Salida 3 5 2 10" xfId="38544"/>
    <cellStyle name="Salida 3 5 2 10 2" xfId="38545"/>
    <cellStyle name="Salida 3 5 2 11" xfId="38546"/>
    <cellStyle name="Salida 3 5 2 2" xfId="38547"/>
    <cellStyle name="Salida 3 5 2 2 2" xfId="38548"/>
    <cellStyle name="Salida 3 5 2 3" xfId="38549"/>
    <cellStyle name="Salida 3 5 2 3 2" xfId="38550"/>
    <cellStyle name="Salida 3 5 2 4" xfId="38551"/>
    <cellStyle name="Salida 3 5 2 4 2" xfId="38552"/>
    <cellStyle name="Salida 3 5 2 5" xfId="38553"/>
    <cellStyle name="Salida 3 5 2 5 2" xfId="38554"/>
    <cellStyle name="Salida 3 5 2 6" xfId="38555"/>
    <cellStyle name="Salida 3 5 2 6 2" xfId="38556"/>
    <cellStyle name="Salida 3 5 2 7" xfId="38557"/>
    <cellStyle name="Salida 3 5 2 7 2" xfId="38558"/>
    <cellStyle name="Salida 3 5 2 8" xfId="38559"/>
    <cellStyle name="Salida 3 5 2 8 2" xfId="38560"/>
    <cellStyle name="Salida 3 5 2 9" xfId="38561"/>
    <cellStyle name="Salida 3 5 2 9 2" xfId="38562"/>
    <cellStyle name="Salida 3 5 3" xfId="38563"/>
    <cellStyle name="Salida 3 5 3 10" xfId="38564"/>
    <cellStyle name="Salida 3 5 3 10 2" xfId="38565"/>
    <cellStyle name="Salida 3 5 3 11" xfId="38566"/>
    <cellStyle name="Salida 3 5 3 2" xfId="38567"/>
    <cellStyle name="Salida 3 5 3 2 2" xfId="38568"/>
    <cellStyle name="Salida 3 5 3 3" xfId="38569"/>
    <cellStyle name="Salida 3 5 3 3 2" xfId="38570"/>
    <cellStyle name="Salida 3 5 3 4" xfId="38571"/>
    <cellStyle name="Salida 3 5 3 4 2" xfId="38572"/>
    <cellStyle name="Salida 3 5 3 5" xfId="38573"/>
    <cellStyle name="Salida 3 5 3 5 2" xfId="38574"/>
    <cellStyle name="Salida 3 5 3 6" xfId="38575"/>
    <cellStyle name="Salida 3 5 3 6 2" xfId="38576"/>
    <cellStyle name="Salida 3 5 3 7" xfId="38577"/>
    <cellStyle name="Salida 3 5 3 7 2" xfId="38578"/>
    <cellStyle name="Salida 3 5 3 8" xfId="38579"/>
    <cellStyle name="Salida 3 5 3 8 2" xfId="38580"/>
    <cellStyle name="Salida 3 5 3 9" xfId="38581"/>
    <cellStyle name="Salida 3 5 3 9 2" xfId="38582"/>
    <cellStyle name="Salida 3 5 4" xfId="38583"/>
    <cellStyle name="Salida 3 5 4 2" xfId="38584"/>
    <cellStyle name="Salida 3 5 5" xfId="38585"/>
    <cellStyle name="Salida 3 5 5 2" xfId="38586"/>
    <cellStyle name="Salida 3 5 6" xfId="38587"/>
    <cellStyle name="Salida 3 5 6 2" xfId="38588"/>
    <cellStyle name="Salida 3 5 7" xfId="38589"/>
    <cellStyle name="Salida 3 5 7 2" xfId="38590"/>
    <cellStyle name="Salida 3 5 8" xfId="38591"/>
    <cellStyle name="Salida 3 5 8 2" xfId="38592"/>
    <cellStyle name="Salida 3 5 9" xfId="38593"/>
    <cellStyle name="Salida 3 5 9 2" xfId="38594"/>
    <cellStyle name="Salida 3 6" xfId="38595"/>
    <cellStyle name="Salida 3 6 2" xfId="38596"/>
    <cellStyle name="Salida 3 7" xfId="38597"/>
    <cellStyle name="Salida 3 7 2" xfId="38598"/>
    <cellStyle name="Salida 3 8" xfId="38599"/>
    <cellStyle name="Salida 3 8 2" xfId="38600"/>
    <cellStyle name="Salida 3 9" xfId="38601"/>
    <cellStyle name="Salida 3 9 2" xfId="38602"/>
    <cellStyle name="Salida 4" xfId="38603"/>
    <cellStyle name="Salida 4 10" xfId="38604"/>
    <cellStyle name="Salida 4 10 2" xfId="38605"/>
    <cellStyle name="Salida 4 11" xfId="38606"/>
    <cellStyle name="Salida 4 11 2" xfId="38607"/>
    <cellStyle name="Salida 4 12" xfId="38608"/>
    <cellStyle name="Salida 4 12 2" xfId="38609"/>
    <cellStyle name="Salida 4 13" xfId="38610"/>
    <cellStyle name="Salida 4 13 2" xfId="38611"/>
    <cellStyle name="Salida 4 14" xfId="38612"/>
    <cellStyle name="Salida 4 14 2" xfId="38613"/>
    <cellStyle name="Salida 4 15" xfId="38614"/>
    <cellStyle name="Salida 4 15 2" xfId="38615"/>
    <cellStyle name="Salida 4 16" xfId="38616"/>
    <cellStyle name="Salida 4 17" xfId="38617"/>
    <cellStyle name="Salida 4 18" xfId="38618"/>
    <cellStyle name="Salida 4 2" xfId="38619"/>
    <cellStyle name="Salida 4 2 10" xfId="38620"/>
    <cellStyle name="Salida 4 2 10 2" xfId="38621"/>
    <cellStyle name="Salida 4 2 11" xfId="38622"/>
    <cellStyle name="Salida 4 2 11 2" xfId="38623"/>
    <cellStyle name="Salida 4 2 12" xfId="38624"/>
    <cellStyle name="Salida 4 2 12 2" xfId="38625"/>
    <cellStyle name="Salida 4 2 13" xfId="38626"/>
    <cellStyle name="Salida 4 2 13 2" xfId="38627"/>
    <cellStyle name="Salida 4 2 14" xfId="38628"/>
    <cellStyle name="Salida 4 2 14 2" xfId="38629"/>
    <cellStyle name="Salida 4 2 15" xfId="38630"/>
    <cellStyle name="Salida 4 2 2" xfId="38631"/>
    <cellStyle name="Salida 4 2 2 10" xfId="38632"/>
    <cellStyle name="Salida 4 2 2 10 2" xfId="38633"/>
    <cellStyle name="Salida 4 2 2 11" xfId="38634"/>
    <cellStyle name="Salida 4 2 2 11 2" xfId="38635"/>
    <cellStyle name="Salida 4 2 2 12" xfId="38636"/>
    <cellStyle name="Salida 4 2 2 12 2" xfId="38637"/>
    <cellStyle name="Salida 4 2 2 13" xfId="38638"/>
    <cellStyle name="Salida 4 2 2 2" xfId="38639"/>
    <cellStyle name="Salida 4 2 2 2 10" xfId="38640"/>
    <cellStyle name="Salida 4 2 2 2 10 2" xfId="38641"/>
    <cellStyle name="Salida 4 2 2 2 11" xfId="38642"/>
    <cellStyle name="Salida 4 2 2 2 2" xfId="38643"/>
    <cellStyle name="Salida 4 2 2 2 2 2" xfId="38644"/>
    <cellStyle name="Salida 4 2 2 2 3" xfId="38645"/>
    <cellStyle name="Salida 4 2 2 2 3 2" xfId="38646"/>
    <cellStyle name="Salida 4 2 2 2 4" xfId="38647"/>
    <cellStyle name="Salida 4 2 2 2 4 2" xfId="38648"/>
    <cellStyle name="Salida 4 2 2 2 5" xfId="38649"/>
    <cellStyle name="Salida 4 2 2 2 5 2" xfId="38650"/>
    <cellStyle name="Salida 4 2 2 2 6" xfId="38651"/>
    <cellStyle name="Salida 4 2 2 2 6 2" xfId="38652"/>
    <cellStyle name="Salida 4 2 2 2 7" xfId="38653"/>
    <cellStyle name="Salida 4 2 2 2 7 2" xfId="38654"/>
    <cellStyle name="Salida 4 2 2 2 8" xfId="38655"/>
    <cellStyle name="Salida 4 2 2 2 8 2" xfId="38656"/>
    <cellStyle name="Salida 4 2 2 2 9" xfId="38657"/>
    <cellStyle name="Salida 4 2 2 2 9 2" xfId="38658"/>
    <cellStyle name="Salida 4 2 2 3" xfId="38659"/>
    <cellStyle name="Salida 4 2 2 3 10" xfId="38660"/>
    <cellStyle name="Salida 4 2 2 3 10 2" xfId="38661"/>
    <cellStyle name="Salida 4 2 2 3 11" xfId="38662"/>
    <cellStyle name="Salida 4 2 2 3 2" xfId="38663"/>
    <cellStyle name="Salida 4 2 2 3 2 2" xfId="38664"/>
    <cellStyle name="Salida 4 2 2 3 3" xfId="38665"/>
    <cellStyle name="Salida 4 2 2 3 3 2" xfId="38666"/>
    <cellStyle name="Salida 4 2 2 3 4" xfId="38667"/>
    <cellStyle name="Salida 4 2 2 3 4 2" xfId="38668"/>
    <cellStyle name="Salida 4 2 2 3 5" xfId="38669"/>
    <cellStyle name="Salida 4 2 2 3 5 2" xfId="38670"/>
    <cellStyle name="Salida 4 2 2 3 6" xfId="38671"/>
    <cellStyle name="Salida 4 2 2 3 6 2" xfId="38672"/>
    <cellStyle name="Salida 4 2 2 3 7" xfId="38673"/>
    <cellStyle name="Salida 4 2 2 3 7 2" xfId="38674"/>
    <cellStyle name="Salida 4 2 2 3 8" xfId="38675"/>
    <cellStyle name="Salida 4 2 2 3 8 2" xfId="38676"/>
    <cellStyle name="Salida 4 2 2 3 9" xfId="38677"/>
    <cellStyle name="Salida 4 2 2 3 9 2" xfId="38678"/>
    <cellStyle name="Salida 4 2 2 4" xfId="38679"/>
    <cellStyle name="Salida 4 2 2 4 2" xfId="38680"/>
    <cellStyle name="Salida 4 2 2 5" xfId="38681"/>
    <cellStyle name="Salida 4 2 2 5 2" xfId="38682"/>
    <cellStyle name="Salida 4 2 2 6" xfId="38683"/>
    <cellStyle name="Salida 4 2 2 6 2" xfId="38684"/>
    <cellStyle name="Salida 4 2 2 7" xfId="38685"/>
    <cellStyle name="Salida 4 2 2 7 2" xfId="38686"/>
    <cellStyle name="Salida 4 2 2 8" xfId="38687"/>
    <cellStyle name="Salida 4 2 2 8 2" xfId="38688"/>
    <cellStyle name="Salida 4 2 2 9" xfId="38689"/>
    <cellStyle name="Salida 4 2 2 9 2" xfId="38690"/>
    <cellStyle name="Salida 4 2 3" xfId="38691"/>
    <cellStyle name="Salida 4 2 3 10" xfId="38692"/>
    <cellStyle name="Salida 4 2 3 10 2" xfId="38693"/>
    <cellStyle name="Salida 4 2 3 11" xfId="38694"/>
    <cellStyle name="Salida 4 2 3 11 2" xfId="38695"/>
    <cellStyle name="Salida 4 2 3 12" xfId="38696"/>
    <cellStyle name="Salida 4 2 3 12 2" xfId="38697"/>
    <cellStyle name="Salida 4 2 3 13" xfId="38698"/>
    <cellStyle name="Salida 4 2 3 2" xfId="38699"/>
    <cellStyle name="Salida 4 2 3 2 10" xfId="38700"/>
    <cellStyle name="Salida 4 2 3 2 10 2" xfId="38701"/>
    <cellStyle name="Salida 4 2 3 2 11" xfId="38702"/>
    <cellStyle name="Salida 4 2 3 2 2" xfId="38703"/>
    <cellStyle name="Salida 4 2 3 2 2 2" xfId="38704"/>
    <cellStyle name="Salida 4 2 3 2 3" xfId="38705"/>
    <cellStyle name="Salida 4 2 3 2 3 2" xfId="38706"/>
    <cellStyle name="Salida 4 2 3 2 4" xfId="38707"/>
    <cellStyle name="Salida 4 2 3 2 4 2" xfId="38708"/>
    <cellStyle name="Salida 4 2 3 2 5" xfId="38709"/>
    <cellStyle name="Salida 4 2 3 2 5 2" xfId="38710"/>
    <cellStyle name="Salida 4 2 3 2 6" xfId="38711"/>
    <cellStyle name="Salida 4 2 3 2 6 2" xfId="38712"/>
    <cellStyle name="Salida 4 2 3 2 7" xfId="38713"/>
    <cellStyle name="Salida 4 2 3 2 7 2" xfId="38714"/>
    <cellStyle name="Salida 4 2 3 2 8" xfId="38715"/>
    <cellStyle name="Salida 4 2 3 2 8 2" xfId="38716"/>
    <cellStyle name="Salida 4 2 3 2 9" xfId="38717"/>
    <cellStyle name="Salida 4 2 3 2 9 2" xfId="38718"/>
    <cellStyle name="Salida 4 2 3 3" xfId="38719"/>
    <cellStyle name="Salida 4 2 3 3 10" xfId="38720"/>
    <cellStyle name="Salida 4 2 3 3 10 2" xfId="38721"/>
    <cellStyle name="Salida 4 2 3 3 11" xfId="38722"/>
    <cellStyle name="Salida 4 2 3 3 2" xfId="38723"/>
    <cellStyle name="Salida 4 2 3 3 2 2" xfId="38724"/>
    <cellStyle name="Salida 4 2 3 3 3" xfId="38725"/>
    <cellStyle name="Salida 4 2 3 3 3 2" xfId="38726"/>
    <cellStyle name="Salida 4 2 3 3 4" xfId="38727"/>
    <cellStyle name="Salida 4 2 3 3 4 2" xfId="38728"/>
    <cellStyle name="Salida 4 2 3 3 5" xfId="38729"/>
    <cellStyle name="Salida 4 2 3 3 5 2" xfId="38730"/>
    <cellStyle name="Salida 4 2 3 3 6" xfId="38731"/>
    <cellStyle name="Salida 4 2 3 3 6 2" xfId="38732"/>
    <cellStyle name="Salida 4 2 3 3 7" xfId="38733"/>
    <cellStyle name="Salida 4 2 3 3 7 2" xfId="38734"/>
    <cellStyle name="Salida 4 2 3 3 8" xfId="38735"/>
    <cellStyle name="Salida 4 2 3 3 8 2" xfId="38736"/>
    <cellStyle name="Salida 4 2 3 3 9" xfId="38737"/>
    <cellStyle name="Salida 4 2 3 3 9 2" xfId="38738"/>
    <cellStyle name="Salida 4 2 3 4" xfId="38739"/>
    <cellStyle name="Salida 4 2 3 4 2" xfId="38740"/>
    <cellStyle name="Salida 4 2 3 5" xfId="38741"/>
    <cellStyle name="Salida 4 2 3 5 2" xfId="38742"/>
    <cellStyle name="Salida 4 2 3 6" xfId="38743"/>
    <cellStyle name="Salida 4 2 3 6 2" xfId="38744"/>
    <cellStyle name="Salida 4 2 3 7" xfId="38745"/>
    <cellStyle name="Salida 4 2 3 7 2" xfId="38746"/>
    <cellStyle name="Salida 4 2 3 8" xfId="38747"/>
    <cellStyle name="Salida 4 2 3 8 2" xfId="38748"/>
    <cellStyle name="Salida 4 2 3 9" xfId="38749"/>
    <cellStyle name="Salida 4 2 3 9 2" xfId="38750"/>
    <cellStyle name="Salida 4 2 4" xfId="38751"/>
    <cellStyle name="Salida 4 2 4 10" xfId="38752"/>
    <cellStyle name="Salida 4 2 4 10 2" xfId="38753"/>
    <cellStyle name="Salida 4 2 4 11" xfId="38754"/>
    <cellStyle name="Salida 4 2 4 2" xfId="38755"/>
    <cellStyle name="Salida 4 2 4 2 2" xfId="38756"/>
    <cellStyle name="Salida 4 2 4 3" xfId="38757"/>
    <cellStyle name="Salida 4 2 4 3 2" xfId="38758"/>
    <cellStyle name="Salida 4 2 4 4" xfId="38759"/>
    <cellStyle name="Salida 4 2 4 4 2" xfId="38760"/>
    <cellStyle name="Salida 4 2 4 5" xfId="38761"/>
    <cellStyle name="Salida 4 2 4 5 2" xfId="38762"/>
    <cellStyle name="Salida 4 2 4 6" xfId="38763"/>
    <cellStyle name="Salida 4 2 4 6 2" xfId="38764"/>
    <cellStyle name="Salida 4 2 4 7" xfId="38765"/>
    <cellStyle name="Salida 4 2 4 7 2" xfId="38766"/>
    <cellStyle name="Salida 4 2 4 8" xfId="38767"/>
    <cellStyle name="Salida 4 2 4 8 2" xfId="38768"/>
    <cellStyle name="Salida 4 2 4 9" xfId="38769"/>
    <cellStyle name="Salida 4 2 4 9 2" xfId="38770"/>
    <cellStyle name="Salida 4 2 5" xfId="38771"/>
    <cellStyle name="Salida 4 2 5 10" xfId="38772"/>
    <cellStyle name="Salida 4 2 5 10 2" xfId="38773"/>
    <cellStyle name="Salida 4 2 5 11" xfId="38774"/>
    <cellStyle name="Salida 4 2 5 2" xfId="38775"/>
    <cellStyle name="Salida 4 2 5 2 2" xfId="38776"/>
    <cellStyle name="Salida 4 2 5 3" xfId="38777"/>
    <cellStyle name="Salida 4 2 5 3 2" xfId="38778"/>
    <cellStyle name="Salida 4 2 5 4" xfId="38779"/>
    <cellStyle name="Salida 4 2 5 4 2" xfId="38780"/>
    <cellStyle name="Salida 4 2 5 5" xfId="38781"/>
    <cellStyle name="Salida 4 2 5 5 2" xfId="38782"/>
    <cellStyle name="Salida 4 2 5 6" xfId="38783"/>
    <cellStyle name="Salida 4 2 5 6 2" xfId="38784"/>
    <cellStyle name="Salida 4 2 5 7" xfId="38785"/>
    <cellStyle name="Salida 4 2 5 7 2" xfId="38786"/>
    <cellStyle name="Salida 4 2 5 8" xfId="38787"/>
    <cellStyle name="Salida 4 2 5 8 2" xfId="38788"/>
    <cellStyle name="Salida 4 2 5 9" xfId="38789"/>
    <cellStyle name="Salida 4 2 5 9 2" xfId="38790"/>
    <cellStyle name="Salida 4 2 6" xfId="38791"/>
    <cellStyle name="Salida 4 2 6 2" xfId="38792"/>
    <cellStyle name="Salida 4 2 7" xfId="38793"/>
    <cellStyle name="Salida 4 2 7 2" xfId="38794"/>
    <cellStyle name="Salida 4 2 8" xfId="38795"/>
    <cellStyle name="Salida 4 2 8 2" xfId="38796"/>
    <cellStyle name="Salida 4 2 9" xfId="38797"/>
    <cellStyle name="Salida 4 2 9 2" xfId="38798"/>
    <cellStyle name="Salida 4 3" xfId="38799"/>
    <cellStyle name="Salida 4 3 10" xfId="38800"/>
    <cellStyle name="Salida 4 3 10 2" xfId="38801"/>
    <cellStyle name="Salida 4 3 11" xfId="38802"/>
    <cellStyle name="Salida 4 3 11 2" xfId="38803"/>
    <cellStyle name="Salida 4 3 12" xfId="38804"/>
    <cellStyle name="Salida 4 3 12 2" xfId="38805"/>
    <cellStyle name="Salida 4 3 13" xfId="38806"/>
    <cellStyle name="Salida 4 3 2" xfId="38807"/>
    <cellStyle name="Salida 4 3 2 10" xfId="38808"/>
    <cellStyle name="Salida 4 3 2 10 2" xfId="38809"/>
    <cellStyle name="Salida 4 3 2 11" xfId="38810"/>
    <cellStyle name="Salida 4 3 2 2" xfId="38811"/>
    <cellStyle name="Salida 4 3 2 2 2" xfId="38812"/>
    <cellStyle name="Salida 4 3 2 3" xfId="38813"/>
    <cellStyle name="Salida 4 3 2 3 2" xfId="38814"/>
    <cellStyle name="Salida 4 3 2 4" xfId="38815"/>
    <cellStyle name="Salida 4 3 2 4 2" xfId="38816"/>
    <cellStyle name="Salida 4 3 2 5" xfId="38817"/>
    <cellStyle name="Salida 4 3 2 5 2" xfId="38818"/>
    <cellStyle name="Salida 4 3 2 6" xfId="38819"/>
    <cellStyle name="Salida 4 3 2 6 2" xfId="38820"/>
    <cellStyle name="Salida 4 3 2 7" xfId="38821"/>
    <cellStyle name="Salida 4 3 2 7 2" xfId="38822"/>
    <cellStyle name="Salida 4 3 2 8" xfId="38823"/>
    <cellStyle name="Salida 4 3 2 8 2" xfId="38824"/>
    <cellStyle name="Salida 4 3 2 9" xfId="38825"/>
    <cellStyle name="Salida 4 3 2 9 2" xfId="38826"/>
    <cellStyle name="Salida 4 3 3" xfId="38827"/>
    <cellStyle name="Salida 4 3 3 10" xfId="38828"/>
    <cellStyle name="Salida 4 3 3 10 2" xfId="38829"/>
    <cellStyle name="Salida 4 3 3 11" xfId="38830"/>
    <cellStyle name="Salida 4 3 3 2" xfId="38831"/>
    <cellStyle name="Salida 4 3 3 2 2" xfId="38832"/>
    <cellStyle name="Salida 4 3 3 3" xfId="38833"/>
    <cellStyle name="Salida 4 3 3 3 2" xfId="38834"/>
    <cellStyle name="Salida 4 3 3 4" xfId="38835"/>
    <cellStyle name="Salida 4 3 3 4 2" xfId="38836"/>
    <cellStyle name="Salida 4 3 3 5" xfId="38837"/>
    <cellStyle name="Salida 4 3 3 5 2" xfId="38838"/>
    <cellStyle name="Salida 4 3 3 6" xfId="38839"/>
    <cellStyle name="Salida 4 3 3 6 2" xfId="38840"/>
    <cellStyle name="Salida 4 3 3 7" xfId="38841"/>
    <cellStyle name="Salida 4 3 3 7 2" xfId="38842"/>
    <cellStyle name="Salida 4 3 3 8" xfId="38843"/>
    <cellStyle name="Salida 4 3 3 8 2" xfId="38844"/>
    <cellStyle name="Salida 4 3 3 9" xfId="38845"/>
    <cellStyle name="Salida 4 3 3 9 2" xfId="38846"/>
    <cellStyle name="Salida 4 3 4" xfId="38847"/>
    <cellStyle name="Salida 4 3 4 2" xfId="38848"/>
    <cellStyle name="Salida 4 3 5" xfId="38849"/>
    <cellStyle name="Salida 4 3 5 2" xfId="38850"/>
    <cellStyle name="Salida 4 3 6" xfId="38851"/>
    <cellStyle name="Salida 4 3 6 2" xfId="38852"/>
    <cellStyle name="Salida 4 3 7" xfId="38853"/>
    <cellStyle name="Salida 4 3 7 2" xfId="38854"/>
    <cellStyle name="Salida 4 3 8" xfId="38855"/>
    <cellStyle name="Salida 4 3 8 2" xfId="38856"/>
    <cellStyle name="Salida 4 3 9" xfId="38857"/>
    <cellStyle name="Salida 4 3 9 2" xfId="38858"/>
    <cellStyle name="Salida 4 4" xfId="38859"/>
    <cellStyle name="Salida 4 4 10" xfId="38860"/>
    <cellStyle name="Salida 4 4 10 2" xfId="38861"/>
    <cellStyle name="Salida 4 4 11" xfId="38862"/>
    <cellStyle name="Salida 4 4 11 2" xfId="38863"/>
    <cellStyle name="Salida 4 4 12" xfId="38864"/>
    <cellStyle name="Salida 4 4 12 2" xfId="38865"/>
    <cellStyle name="Salida 4 4 13" xfId="38866"/>
    <cellStyle name="Salida 4 4 2" xfId="38867"/>
    <cellStyle name="Salida 4 4 2 10" xfId="38868"/>
    <cellStyle name="Salida 4 4 2 10 2" xfId="38869"/>
    <cellStyle name="Salida 4 4 2 11" xfId="38870"/>
    <cellStyle name="Salida 4 4 2 2" xfId="38871"/>
    <cellStyle name="Salida 4 4 2 2 2" xfId="38872"/>
    <cellStyle name="Salida 4 4 2 3" xfId="38873"/>
    <cellStyle name="Salida 4 4 2 3 2" xfId="38874"/>
    <cellStyle name="Salida 4 4 2 4" xfId="38875"/>
    <cellStyle name="Salida 4 4 2 4 2" xfId="38876"/>
    <cellStyle name="Salida 4 4 2 5" xfId="38877"/>
    <cellStyle name="Salida 4 4 2 5 2" xfId="38878"/>
    <cellStyle name="Salida 4 4 2 6" xfId="38879"/>
    <cellStyle name="Salida 4 4 2 6 2" xfId="38880"/>
    <cellStyle name="Salida 4 4 2 7" xfId="38881"/>
    <cellStyle name="Salida 4 4 2 7 2" xfId="38882"/>
    <cellStyle name="Salida 4 4 2 8" xfId="38883"/>
    <cellStyle name="Salida 4 4 2 8 2" xfId="38884"/>
    <cellStyle name="Salida 4 4 2 9" xfId="38885"/>
    <cellStyle name="Salida 4 4 2 9 2" xfId="38886"/>
    <cellStyle name="Salida 4 4 3" xfId="38887"/>
    <cellStyle name="Salida 4 4 3 10" xfId="38888"/>
    <cellStyle name="Salida 4 4 3 10 2" xfId="38889"/>
    <cellStyle name="Salida 4 4 3 11" xfId="38890"/>
    <cellStyle name="Salida 4 4 3 2" xfId="38891"/>
    <cellStyle name="Salida 4 4 3 2 2" xfId="38892"/>
    <cellStyle name="Salida 4 4 3 3" xfId="38893"/>
    <cellStyle name="Salida 4 4 3 3 2" xfId="38894"/>
    <cellStyle name="Salida 4 4 3 4" xfId="38895"/>
    <cellStyle name="Salida 4 4 3 4 2" xfId="38896"/>
    <cellStyle name="Salida 4 4 3 5" xfId="38897"/>
    <cellStyle name="Salida 4 4 3 5 2" xfId="38898"/>
    <cellStyle name="Salida 4 4 3 6" xfId="38899"/>
    <cellStyle name="Salida 4 4 3 6 2" xfId="38900"/>
    <cellStyle name="Salida 4 4 3 7" xfId="38901"/>
    <cellStyle name="Salida 4 4 3 7 2" xfId="38902"/>
    <cellStyle name="Salida 4 4 3 8" xfId="38903"/>
    <cellStyle name="Salida 4 4 3 8 2" xfId="38904"/>
    <cellStyle name="Salida 4 4 3 9" xfId="38905"/>
    <cellStyle name="Salida 4 4 3 9 2" xfId="38906"/>
    <cellStyle name="Salida 4 4 4" xfId="38907"/>
    <cellStyle name="Salida 4 4 4 2" xfId="38908"/>
    <cellStyle name="Salida 4 4 5" xfId="38909"/>
    <cellStyle name="Salida 4 4 5 2" xfId="38910"/>
    <cellStyle name="Salida 4 4 6" xfId="38911"/>
    <cellStyle name="Salida 4 4 6 2" xfId="38912"/>
    <cellStyle name="Salida 4 4 7" xfId="38913"/>
    <cellStyle name="Salida 4 4 7 2" xfId="38914"/>
    <cellStyle name="Salida 4 4 8" xfId="38915"/>
    <cellStyle name="Salida 4 4 8 2" xfId="38916"/>
    <cellStyle name="Salida 4 4 9" xfId="38917"/>
    <cellStyle name="Salida 4 4 9 2" xfId="38918"/>
    <cellStyle name="Salida 4 5" xfId="38919"/>
    <cellStyle name="Salida 4 5 10" xfId="38920"/>
    <cellStyle name="Salida 4 5 10 2" xfId="38921"/>
    <cellStyle name="Salida 4 5 11" xfId="38922"/>
    <cellStyle name="Salida 4 5 2" xfId="38923"/>
    <cellStyle name="Salida 4 5 2 2" xfId="38924"/>
    <cellStyle name="Salida 4 5 3" xfId="38925"/>
    <cellStyle name="Salida 4 5 3 2" xfId="38926"/>
    <cellStyle name="Salida 4 5 4" xfId="38927"/>
    <cellStyle name="Salida 4 5 4 2" xfId="38928"/>
    <cellStyle name="Salida 4 5 5" xfId="38929"/>
    <cellStyle name="Salida 4 5 5 2" xfId="38930"/>
    <cellStyle name="Salida 4 5 6" xfId="38931"/>
    <cellStyle name="Salida 4 5 6 2" xfId="38932"/>
    <cellStyle name="Salida 4 5 7" xfId="38933"/>
    <cellStyle name="Salida 4 5 7 2" xfId="38934"/>
    <cellStyle name="Salida 4 5 8" xfId="38935"/>
    <cellStyle name="Salida 4 5 8 2" xfId="38936"/>
    <cellStyle name="Salida 4 5 9" xfId="38937"/>
    <cellStyle name="Salida 4 5 9 2" xfId="38938"/>
    <cellStyle name="Salida 4 6" xfId="38939"/>
    <cellStyle name="Salida 4 6 10" xfId="38940"/>
    <cellStyle name="Salida 4 6 10 2" xfId="38941"/>
    <cellStyle name="Salida 4 6 11" xfId="38942"/>
    <cellStyle name="Salida 4 6 2" xfId="38943"/>
    <cellStyle name="Salida 4 6 2 2" xfId="38944"/>
    <cellStyle name="Salida 4 6 3" xfId="38945"/>
    <cellStyle name="Salida 4 6 3 2" xfId="38946"/>
    <cellStyle name="Salida 4 6 4" xfId="38947"/>
    <cellStyle name="Salida 4 6 4 2" xfId="38948"/>
    <cellStyle name="Salida 4 6 5" xfId="38949"/>
    <cellStyle name="Salida 4 6 5 2" xfId="38950"/>
    <cellStyle name="Salida 4 6 6" xfId="38951"/>
    <cellStyle name="Salida 4 6 6 2" xfId="38952"/>
    <cellStyle name="Salida 4 6 7" xfId="38953"/>
    <cellStyle name="Salida 4 6 7 2" xfId="38954"/>
    <cellStyle name="Salida 4 6 8" xfId="38955"/>
    <cellStyle name="Salida 4 6 8 2" xfId="38956"/>
    <cellStyle name="Salida 4 6 9" xfId="38957"/>
    <cellStyle name="Salida 4 6 9 2" xfId="38958"/>
    <cellStyle name="Salida 4 7" xfId="38959"/>
    <cellStyle name="Salida 4 7 2" xfId="38960"/>
    <cellStyle name="Salida 4 8" xfId="38961"/>
    <cellStyle name="Salida 4 8 2" xfId="38962"/>
    <cellStyle name="Salida 4 9" xfId="38963"/>
    <cellStyle name="Salida 4 9 2" xfId="38964"/>
    <cellStyle name="Salida 5" xfId="38965"/>
    <cellStyle name="Salida 5 10" xfId="38966"/>
    <cellStyle name="Salida 5 10 2" xfId="38967"/>
    <cellStyle name="Salida 5 11" xfId="38968"/>
    <cellStyle name="Salida 5 11 2" xfId="38969"/>
    <cellStyle name="Salida 5 12" xfId="38970"/>
    <cellStyle name="Salida 5 12 2" xfId="38971"/>
    <cellStyle name="Salida 5 13" xfId="38972"/>
    <cellStyle name="Salida 5 2" xfId="38973"/>
    <cellStyle name="Salida 5 2 10" xfId="38974"/>
    <cellStyle name="Salida 5 2 10 2" xfId="38975"/>
    <cellStyle name="Salida 5 2 11" xfId="38976"/>
    <cellStyle name="Salida 5 2 2" xfId="38977"/>
    <cellStyle name="Salida 5 2 2 2" xfId="38978"/>
    <cellStyle name="Salida 5 2 3" xfId="38979"/>
    <cellStyle name="Salida 5 2 3 2" xfId="38980"/>
    <cellStyle name="Salida 5 2 4" xfId="38981"/>
    <cellStyle name="Salida 5 2 4 2" xfId="38982"/>
    <cellStyle name="Salida 5 2 5" xfId="38983"/>
    <cellStyle name="Salida 5 2 5 2" xfId="38984"/>
    <cellStyle name="Salida 5 2 6" xfId="38985"/>
    <cellStyle name="Salida 5 2 6 2" xfId="38986"/>
    <cellStyle name="Salida 5 2 7" xfId="38987"/>
    <cellStyle name="Salida 5 2 7 2" xfId="38988"/>
    <cellStyle name="Salida 5 2 8" xfId="38989"/>
    <cellStyle name="Salida 5 2 8 2" xfId="38990"/>
    <cellStyle name="Salida 5 2 9" xfId="38991"/>
    <cellStyle name="Salida 5 2 9 2" xfId="38992"/>
    <cellStyle name="Salida 5 3" xfId="38993"/>
    <cellStyle name="Salida 5 3 10" xfId="38994"/>
    <cellStyle name="Salida 5 3 10 2" xfId="38995"/>
    <cellStyle name="Salida 5 3 11" xfId="38996"/>
    <cellStyle name="Salida 5 3 2" xfId="38997"/>
    <cellStyle name="Salida 5 3 2 2" xfId="38998"/>
    <cellStyle name="Salida 5 3 3" xfId="38999"/>
    <cellStyle name="Salida 5 3 3 2" xfId="39000"/>
    <cellStyle name="Salida 5 3 4" xfId="39001"/>
    <cellStyle name="Salida 5 3 4 2" xfId="39002"/>
    <cellStyle name="Salida 5 3 5" xfId="39003"/>
    <cellStyle name="Salida 5 3 5 2" xfId="39004"/>
    <cellStyle name="Salida 5 3 6" xfId="39005"/>
    <cellStyle name="Salida 5 3 6 2" xfId="39006"/>
    <cellStyle name="Salida 5 3 7" xfId="39007"/>
    <cellStyle name="Salida 5 3 7 2" xfId="39008"/>
    <cellStyle name="Salida 5 3 8" xfId="39009"/>
    <cellStyle name="Salida 5 3 8 2" xfId="39010"/>
    <cellStyle name="Salida 5 3 9" xfId="39011"/>
    <cellStyle name="Salida 5 3 9 2" xfId="39012"/>
    <cellStyle name="Salida 5 4" xfId="39013"/>
    <cellStyle name="Salida 5 4 2" xfId="39014"/>
    <cellStyle name="Salida 5 5" xfId="39015"/>
    <cellStyle name="Salida 5 5 2" xfId="39016"/>
    <cellStyle name="Salida 5 6" xfId="39017"/>
    <cellStyle name="Salida 5 6 2" xfId="39018"/>
    <cellStyle name="Salida 5 7" xfId="39019"/>
    <cellStyle name="Salida 5 7 2" xfId="39020"/>
    <cellStyle name="Salida 5 8" xfId="39021"/>
    <cellStyle name="Salida 5 8 2" xfId="39022"/>
    <cellStyle name="Salida 5 9" xfId="39023"/>
    <cellStyle name="Salida 5 9 2" xfId="39024"/>
    <cellStyle name="Salida 6" xfId="39025"/>
    <cellStyle name="Salida 6 10" xfId="39026"/>
    <cellStyle name="Salida 6 10 2" xfId="39027"/>
    <cellStyle name="Salida 6 11" xfId="39028"/>
    <cellStyle name="Salida 6 11 2" xfId="39029"/>
    <cellStyle name="Salida 6 12" xfId="39030"/>
    <cellStyle name="Salida 6 12 2" xfId="39031"/>
    <cellStyle name="Salida 6 13" xfId="39032"/>
    <cellStyle name="Salida 6 2" xfId="39033"/>
    <cellStyle name="Salida 6 2 10" xfId="39034"/>
    <cellStyle name="Salida 6 2 10 2" xfId="39035"/>
    <cellStyle name="Salida 6 2 11" xfId="39036"/>
    <cellStyle name="Salida 6 2 2" xfId="39037"/>
    <cellStyle name="Salida 6 2 2 2" xfId="39038"/>
    <cellStyle name="Salida 6 2 3" xfId="39039"/>
    <cellStyle name="Salida 6 2 3 2" xfId="39040"/>
    <cellStyle name="Salida 6 2 4" xfId="39041"/>
    <cellStyle name="Salida 6 2 4 2" xfId="39042"/>
    <cellStyle name="Salida 6 2 5" xfId="39043"/>
    <cellStyle name="Salida 6 2 5 2" xfId="39044"/>
    <cellStyle name="Salida 6 2 6" xfId="39045"/>
    <cellStyle name="Salida 6 2 6 2" xfId="39046"/>
    <cellStyle name="Salida 6 2 7" xfId="39047"/>
    <cellStyle name="Salida 6 2 7 2" xfId="39048"/>
    <cellStyle name="Salida 6 2 8" xfId="39049"/>
    <cellStyle name="Salida 6 2 8 2" xfId="39050"/>
    <cellStyle name="Salida 6 2 9" xfId="39051"/>
    <cellStyle name="Salida 6 2 9 2" xfId="39052"/>
    <cellStyle name="Salida 6 3" xfId="39053"/>
    <cellStyle name="Salida 6 3 10" xfId="39054"/>
    <cellStyle name="Salida 6 3 10 2" xfId="39055"/>
    <cellStyle name="Salida 6 3 11" xfId="39056"/>
    <cellStyle name="Salida 6 3 2" xfId="39057"/>
    <cellStyle name="Salida 6 3 2 2" xfId="39058"/>
    <cellStyle name="Salida 6 3 3" xfId="39059"/>
    <cellStyle name="Salida 6 3 3 2" xfId="39060"/>
    <cellStyle name="Salida 6 3 4" xfId="39061"/>
    <cellStyle name="Salida 6 3 4 2" xfId="39062"/>
    <cellStyle name="Salida 6 3 5" xfId="39063"/>
    <cellStyle name="Salida 6 3 5 2" xfId="39064"/>
    <cellStyle name="Salida 6 3 6" xfId="39065"/>
    <cellStyle name="Salida 6 3 6 2" xfId="39066"/>
    <cellStyle name="Salida 6 3 7" xfId="39067"/>
    <cellStyle name="Salida 6 3 7 2" xfId="39068"/>
    <cellStyle name="Salida 6 3 8" xfId="39069"/>
    <cellStyle name="Salida 6 3 8 2" xfId="39070"/>
    <cellStyle name="Salida 6 3 9" xfId="39071"/>
    <cellStyle name="Salida 6 3 9 2" xfId="39072"/>
    <cellStyle name="Salida 6 4" xfId="39073"/>
    <cellStyle name="Salida 6 4 2" xfId="39074"/>
    <cellStyle name="Salida 6 5" xfId="39075"/>
    <cellStyle name="Salida 6 5 2" xfId="39076"/>
    <cellStyle name="Salida 6 6" xfId="39077"/>
    <cellStyle name="Salida 6 6 2" xfId="39078"/>
    <cellStyle name="Salida 6 7" xfId="39079"/>
    <cellStyle name="Salida 6 7 2" xfId="39080"/>
    <cellStyle name="Salida 6 8" xfId="39081"/>
    <cellStyle name="Salida 6 8 2" xfId="39082"/>
    <cellStyle name="Salida 6 9" xfId="39083"/>
    <cellStyle name="Salida 6 9 2" xfId="39084"/>
    <cellStyle name="Salida 7" xfId="39085"/>
    <cellStyle name="Salida 7 10" xfId="39086"/>
    <cellStyle name="Salida 7 10 2" xfId="39087"/>
    <cellStyle name="Salida 7 11" xfId="39088"/>
    <cellStyle name="Salida 7 11 2" xfId="39089"/>
    <cellStyle name="Salida 7 12" xfId="39090"/>
    <cellStyle name="Salida 7 12 2" xfId="39091"/>
    <cellStyle name="Salida 7 13" xfId="39092"/>
    <cellStyle name="Salida 7 2" xfId="39093"/>
    <cellStyle name="Salida 7 2 10" xfId="39094"/>
    <cellStyle name="Salida 7 2 10 2" xfId="39095"/>
    <cellStyle name="Salida 7 2 11" xfId="39096"/>
    <cellStyle name="Salida 7 2 2" xfId="39097"/>
    <cellStyle name="Salida 7 2 2 2" xfId="39098"/>
    <cellStyle name="Salida 7 2 3" xfId="39099"/>
    <cellStyle name="Salida 7 2 3 2" xfId="39100"/>
    <cellStyle name="Salida 7 2 4" xfId="39101"/>
    <cellStyle name="Salida 7 2 4 2" xfId="39102"/>
    <cellStyle name="Salida 7 2 5" xfId="39103"/>
    <cellStyle name="Salida 7 2 5 2" xfId="39104"/>
    <cellStyle name="Salida 7 2 6" xfId="39105"/>
    <cellStyle name="Salida 7 2 6 2" xfId="39106"/>
    <cellStyle name="Salida 7 2 7" xfId="39107"/>
    <cellStyle name="Salida 7 2 7 2" xfId="39108"/>
    <cellStyle name="Salida 7 2 8" xfId="39109"/>
    <cellStyle name="Salida 7 2 8 2" xfId="39110"/>
    <cellStyle name="Salida 7 2 9" xfId="39111"/>
    <cellStyle name="Salida 7 2 9 2" xfId="39112"/>
    <cellStyle name="Salida 7 3" xfId="39113"/>
    <cellStyle name="Salida 7 3 10" xfId="39114"/>
    <cellStyle name="Salida 7 3 10 2" xfId="39115"/>
    <cellStyle name="Salida 7 3 11" xfId="39116"/>
    <cellStyle name="Salida 7 3 2" xfId="39117"/>
    <cellStyle name="Salida 7 3 2 2" xfId="39118"/>
    <cellStyle name="Salida 7 3 3" xfId="39119"/>
    <cellStyle name="Salida 7 3 3 2" xfId="39120"/>
    <cellStyle name="Salida 7 3 4" xfId="39121"/>
    <cellStyle name="Salida 7 3 4 2" xfId="39122"/>
    <cellStyle name="Salida 7 3 5" xfId="39123"/>
    <cellStyle name="Salida 7 3 5 2" xfId="39124"/>
    <cellStyle name="Salida 7 3 6" xfId="39125"/>
    <cellStyle name="Salida 7 3 6 2" xfId="39126"/>
    <cellStyle name="Salida 7 3 7" xfId="39127"/>
    <cellStyle name="Salida 7 3 7 2" xfId="39128"/>
    <cellStyle name="Salida 7 3 8" xfId="39129"/>
    <cellStyle name="Salida 7 3 8 2" xfId="39130"/>
    <cellStyle name="Salida 7 3 9" xfId="39131"/>
    <cellStyle name="Salida 7 3 9 2" xfId="39132"/>
    <cellStyle name="Salida 7 4" xfId="39133"/>
    <cellStyle name="Salida 7 4 2" xfId="39134"/>
    <cellStyle name="Salida 7 5" xfId="39135"/>
    <cellStyle name="Salida 7 5 2" xfId="39136"/>
    <cellStyle name="Salida 7 6" xfId="39137"/>
    <cellStyle name="Salida 7 6 2" xfId="39138"/>
    <cellStyle name="Salida 7 7" xfId="39139"/>
    <cellStyle name="Salida 7 7 2" xfId="39140"/>
    <cellStyle name="Salida 7 8" xfId="39141"/>
    <cellStyle name="Salida 7 8 2" xfId="39142"/>
    <cellStyle name="Salida 7 9" xfId="39143"/>
    <cellStyle name="Salida 7 9 2" xfId="39144"/>
    <cellStyle name="Salida 8" xfId="39145"/>
    <cellStyle name="Salida 9" xfId="39146"/>
    <cellStyle name="Texto de advertencia 2" xfId="39147"/>
    <cellStyle name="Texto de advertencia 2 2" xfId="39148"/>
    <cellStyle name="Texto de advertencia 2 3" xfId="39149"/>
    <cellStyle name="Texto de advertencia 2 4" xfId="39150"/>
    <cellStyle name="Texto de advertencia 3" xfId="39151"/>
    <cellStyle name="Texto de advertencia 4" xfId="39152"/>
    <cellStyle name="Texto de advertencia 5" xfId="39153"/>
    <cellStyle name="Texto de advertencia 6" xfId="39154"/>
    <cellStyle name="Texto de advertencia 7" xfId="39155"/>
    <cellStyle name="Texto de advertencia 8" xfId="39156"/>
    <cellStyle name="Texto explicativo 2" xfId="39157"/>
    <cellStyle name="Texto explicativo 2 2" xfId="39158"/>
    <cellStyle name="Texto explicativo 2 3" xfId="39159"/>
    <cellStyle name="Texto explicativo 2 4" xfId="39160"/>
    <cellStyle name="Texto explicativo 3" xfId="39161"/>
    <cellStyle name="Texto explicativo 4" xfId="39162"/>
    <cellStyle name="Texto explicativo 5" xfId="39163"/>
    <cellStyle name="Texto explicativo 6" xfId="39164"/>
    <cellStyle name="Texto explicativo 7" xfId="39165"/>
    <cellStyle name="Texto explicativo 8" xfId="39166"/>
    <cellStyle name="Título 1 2" xfId="39167"/>
    <cellStyle name="Título 1 2 2" xfId="39168"/>
    <cellStyle name="Título 1 2 3" xfId="39169"/>
    <cellStyle name="Título 1 2 4" xfId="39170"/>
    <cellStyle name="Título 1 3" xfId="39171"/>
    <cellStyle name="Título 1 4" xfId="39172"/>
    <cellStyle name="Título 1 5" xfId="39173"/>
    <cellStyle name="Título 1 6" xfId="39174"/>
    <cellStyle name="Título 1 7" xfId="39175"/>
    <cellStyle name="Título 1 8" xfId="39176"/>
    <cellStyle name="Título 10" xfId="39177"/>
    <cellStyle name="Título 2 2" xfId="39178"/>
    <cellStyle name="Título 2 2 2" xfId="39179"/>
    <cellStyle name="Título 2 2 3" xfId="39180"/>
    <cellStyle name="Título 2 2 4" xfId="39181"/>
    <cellStyle name="Título 2 3" xfId="39182"/>
    <cellStyle name="Título 2 4" xfId="39183"/>
    <cellStyle name="Título 2 5" xfId="39184"/>
    <cellStyle name="Título 2 6" xfId="39185"/>
    <cellStyle name="Título 2 7" xfId="39186"/>
    <cellStyle name="Título 2 8" xfId="39187"/>
    <cellStyle name="Título 3 2" xfId="39188"/>
    <cellStyle name="Título 3 2 10" xfId="39189"/>
    <cellStyle name="Título 3 2 10 2" xfId="39190"/>
    <cellStyle name="Título 3 2 11" xfId="39191"/>
    <cellStyle name="Título 3 2 11 2" xfId="39192"/>
    <cellStyle name="Título 3 2 12" xfId="39193"/>
    <cellStyle name="Título 3 2 12 2" xfId="39194"/>
    <cellStyle name="Título 3 2 13" xfId="39195"/>
    <cellStyle name="Título 3 2 13 2" xfId="39196"/>
    <cellStyle name="Título 3 2 14" xfId="39197"/>
    <cellStyle name="Título 3 2 14 2" xfId="39198"/>
    <cellStyle name="Título 3 2 15" xfId="39199"/>
    <cellStyle name="Título 3 2 15 2" xfId="39200"/>
    <cellStyle name="Título 3 2 16" xfId="39201"/>
    <cellStyle name="Título 3 2 17" xfId="39202"/>
    <cellStyle name="Título 3 2 18" xfId="39203"/>
    <cellStyle name="Título 3 2 2" xfId="39204"/>
    <cellStyle name="Título 3 2 2 10" xfId="39205"/>
    <cellStyle name="Título 3 2 2 10 2" xfId="39206"/>
    <cellStyle name="Título 3 2 2 11" xfId="39207"/>
    <cellStyle name="Título 3 2 2 11 2" xfId="39208"/>
    <cellStyle name="Título 3 2 2 12" xfId="39209"/>
    <cellStyle name="Título 3 2 2 12 2" xfId="39210"/>
    <cellStyle name="Título 3 2 2 13" xfId="39211"/>
    <cellStyle name="Título 3 2 2 14" xfId="39212"/>
    <cellStyle name="Título 3 2 2 15" xfId="39213"/>
    <cellStyle name="Título 3 2 2 2" xfId="39214"/>
    <cellStyle name="Título 3 2 2 2 2" xfId="39215"/>
    <cellStyle name="Título 3 2 2 2 2 2" xfId="39216"/>
    <cellStyle name="Título 3 2 2 2 2 2 2" xfId="39217"/>
    <cellStyle name="Título 3 2 2 2 2 3" xfId="39218"/>
    <cellStyle name="Título 3 2 2 2 3" xfId="39219"/>
    <cellStyle name="Título 3 2 2 2 3 2" xfId="39220"/>
    <cellStyle name="Título 3 2 2 2 4" xfId="39221"/>
    <cellStyle name="Título 3 2 2 3" xfId="39222"/>
    <cellStyle name="Título 3 2 2 3 2" xfId="39223"/>
    <cellStyle name="Título 3 2 2 4" xfId="39224"/>
    <cellStyle name="Título 3 2 2 4 2" xfId="39225"/>
    <cellStyle name="Título 3 2 2 5" xfId="39226"/>
    <cellStyle name="Título 3 2 2 5 2" xfId="39227"/>
    <cellStyle name="Título 3 2 2 6" xfId="39228"/>
    <cellStyle name="Título 3 2 2 6 2" xfId="39229"/>
    <cellStyle name="Título 3 2 2 7" xfId="39230"/>
    <cellStyle name="Título 3 2 2 7 2" xfId="39231"/>
    <cellStyle name="Título 3 2 2 8" xfId="39232"/>
    <cellStyle name="Título 3 2 2 8 2" xfId="39233"/>
    <cellStyle name="Título 3 2 2 9" xfId="39234"/>
    <cellStyle name="Título 3 2 2 9 2" xfId="39235"/>
    <cellStyle name="Título 3 2 3" xfId="39236"/>
    <cellStyle name="Título 3 2 3 10" xfId="39237"/>
    <cellStyle name="Título 3 2 3 10 2" xfId="39238"/>
    <cellStyle name="Título 3 2 3 11" xfId="39239"/>
    <cellStyle name="Título 3 2 3 11 2" xfId="39240"/>
    <cellStyle name="Título 3 2 3 12" xfId="39241"/>
    <cellStyle name="Título 3 2 3 13" xfId="39242"/>
    <cellStyle name="Título 3 2 3 14" xfId="39243"/>
    <cellStyle name="Título 3 2 3 2" xfId="39244"/>
    <cellStyle name="Título 3 2 3 2 2" xfId="39245"/>
    <cellStyle name="Título 3 2 3 2 2 2" xfId="39246"/>
    <cellStyle name="Título 3 2 3 2 2 2 2" xfId="39247"/>
    <cellStyle name="Título 3 2 3 2 2 3" xfId="39248"/>
    <cellStyle name="Título 3 2 3 2 3" xfId="39249"/>
    <cellStyle name="Título 3 2 3 2 3 2" xfId="39250"/>
    <cellStyle name="Título 3 2 3 2 4" xfId="39251"/>
    <cellStyle name="Título 3 2 3 3" xfId="39252"/>
    <cellStyle name="Título 3 2 3 3 2" xfId="39253"/>
    <cellStyle name="Título 3 2 3 4" xfId="39254"/>
    <cellStyle name="Título 3 2 3 4 2" xfId="39255"/>
    <cellStyle name="Título 3 2 3 5" xfId="39256"/>
    <cellStyle name="Título 3 2 3 5 2" xfId="39257"/>
    <cellStyle name="Título 3 2 3 6" xfId="39258"/>
    <cellStyle name="Título 3 2 3 6 2" xfId="39259"/>
    <cellStyle name="Título 3 2 3 7" xfId="39260"/>
    <cellStyle name="Título 3 2 3 7 2" xfId="39261"/>
    <cellStyle name="Título 3 2 3 8" xfId="39262"/>
    <cellStyle name="Título 3 2 3 8 2" xfId="39263"/>
    <cellStyle name="Título 3 2 3 9" xfId="39264"/>
    <cellStyle name="Título 3 2 3 9 2" xfId="39265"/>
    <cellStyle name="Título 3 2 4" xfId="39266"/>
    <cellStyle name="Título 3 2 4 2" xfId="39267"/>
    <cellStyle name="Título 3 2 4 2 2" xfId="39268"/>
    <cellStyle name="Título 3 2 4 2 2 2" xfId="39269"/>
    <cellStyle name="Título 3 2 4 2 3" xfId="39270"/>
    <cellStyle name="Título 3 2 4 3" xfId="39271"/>
    <cellStyle name="Título 3 2 4 3 2" xfId="39272"/>
    <cellStyle name="Título 3 2 4 4" xfId="39273"/>
    <cellStyle name="Título 3 2 5" xfId="39274"/>
    <cellStyle name="Título 3 2 5 2" xfId="39275"/>
    <cellStyle name="Título 3 2 5 2 2" xfId="39276"/>
    <cellStyle name="Título 3 2 5 2 2 2" xfId="39277"/>
    <cellStyle name="Título 3 2 5 2 3" xfId="39278"/>
    <cellStyle name="Título 3 2 5 3" xfId="39279"/>
    <cellStyle name="Título 3 2 5 3 2" xfId="39280"/>
    <cellStyle name="Título 3 2 5 4" xfId="39281"/>
    <cellStyle name="Título 3 2 6" xfId="39282"/>
    <cellStyle name="Título 3 2 6 2" xfId="39283"/>
    <cellStyle name="Título 3 2 7" xfId="39284"/>
    <cellStyle name="Título 3 2 7 2" xfId="39285"/>
    <cellStyle name="Título 3 2 8" xfId="39286"/>
    <cellStyle name="Título 3 2 8 2" xfId="39287"/>
    <cellStyle name="Título 3 2 9" xfId="39288"/>
    <cellStyle name="Título 3 2 9 2" xfId="39289"/>
    <cellStyle name="Título 3 3" xfId="39290"/>
    <cellStyle name="Título 3 3 10" xfId="39291"/>
    <cellStyle name="Título 3 3 10 2" xfId="39292"/>
    <cellStyle name="Título 3 3 11" xfId="39293"/>
    <cellStyle name="Título 3 3 11 2" xfId="39294"/>
    <cellStyle name="Título 3 3 12" xfId="39295"/>
    <cellStyle name="Título 3 3 13" xfId="39296"/>
    <cellStyle name="Título 3 3 14" xfId="39297"/>
    <cellStyle name="Título 3 3 2" xfId="39298"/>
    <cellStyle name="Título 3 3 2 2" xfId="39299"/>
    <cellStyle name="Título 3 3 2 2 2" xfId="39300"/>
    <cellStyle name="Título 3 3 2 2 2 2" xfId="39301"/>
    <cellStyle name="Título 3 3 2 2 3" xfId="39302"/>
    <cellStyle name="Título 3 3 2 3" xfId="39303"/>
    <cellStyle name="Título 3 3 2 3 2" xfId="39304"/>
    <cellStyle name="Título 3 3 2 4" xfId="39305"/>
    <cellStyle name="Título 3 3 3" xfId="39306"/>
    <cellStyle name="Título 3 3 3 2" xfId="39307"/>
    <cellStyle name="Título 3 3 4" xfId="39308"/>
    <cellStyle name="Título 3 3 4 2" xfId="39309"/>
    <cellStyle name="Título 3 3 5" xfId="39310"/>
    <cellStyle name="Título 3 3 5 2" xfId="39311"/>
    <cellStyle name="Título 3 3 6" xfId="39312"/>
    <cellStyle name="Título 3 3 6 2" xfId="39313"/>
    <cellStyle name="Título 3 3 7" xfId="39314"/>
    <cellStyle name="Título 3 3 7 2" xfId="39315"/>
    <cellStyle name="Título 3 3 8" xfId="39316"/>
    <cellStyle name="Título 3 3 8 2" xfId="39317"/>
    <cellStyle name="Título 3 3 9" xfId="39318"/>
    <cellStyle name="Título 3 3 9 2" xfId="39319"/>
    <cellStyle name="Título 3 4" xfId="39320"/>
    <cellStyle name="Título 3 4 2" xfId="39321"/>
    <cellStyle name="Título 3 4 2 2" xfId="39322"/>
    <cellStyle name="Título 3 4 2 2 2" xfId="39323"/>
    <cellStyle name="Título 3 4 2 3" xfId="39324"/>
    <cellStyle name="Título 3 4 3" xfId="39325"/>
    <cellStyle name="Título 3 4 3 2" xfId="39326"/>
    <cellStyle name="Título 3 4 4" xfId="39327"/>
    <cellStyle name="Título 3 5" xfId="39328"/>
    <cellStyle name="Título 3 5 2" xfId="39329"/>
    <cellStyle name="Título 3 5 2 2" xfId="39330"/>
    <cellStyle name="Título 3 5 3" xfId="39331"/>
    <cellStyle name="Título 3 6" xfId="39332"/>
    <cellStyle name="Título 3 6 2" xfId="39333"/>
    <cellStyle name="Título 3 7" xfId="39334"/>
    <cellStyle name="Título 3 8" xfId="39335"/>
    <cellStyle name="Título 4" xfId="39336"/>
    <cellStyle name="Título 4 2" xfId="39337"/>
    <cellStyle name="Título 4 3" xfId="39338"/>
    <cellStyle name="Título 4 4" xfId="39339"/>
    <cellStyle name="Título 5" xfId="39340"/>
    <cellStyle name="Título 6" xfId="39341"/>
    <cellStyle name="Título 7" xfId="39342"/>
    <cellStyle name="Título 8" xfId="39343"/>
    <cellStyle name="Título 9" xfId="39344"/>
    <cellStyle name="Total 2" xfId="39345"/>
    <cellStyle name="Total 2 10" xfId="39346"/>
    <cellStyle name="Total 2 10 2" xfId="39347"/>
    <cellStyle name="Total 2 11" xfId="39348"/>
    <cellStyle name="Total 2 11 2" xfId="39349"/>
    <cellStyle name="Total 2 12" xfId="39350"/>
    <cellStyle name="Total 2 12 2" xfId="39351"/>
    <cellStyle name="Total 2 13" xfId="39352"/>
    <cellStyle name="Total 2 13 2" xfId="39353"/>
    <cellStyle name="Total 2 14" xfId="39354"/>
    <cellStyle name="Total 2 14 2" xfId="39355"/>
    <cellStyle name="Total 2 15" xfId="39356"/>
    <cellStyle name="Total 2 15 2" xfId="39357"/>
    <cellStyle name="Total 2 16" xfId="39358"/>
    <cellStyle name="Total 2 16 2" xfId="39359"/>
    <cellStyle name="Total 2 17" xfId="39360"/>
    <cellStyle name="Total 2 17 2" xfId="39361"/>
    <cellStyle name="Total 2 18" xfId="39362"/>
    <cellStyle name="Total 2 18 2" xfId="39363"/>
    <cellStyle name="Total 2 19" xfId="39364"/>
    <cellStyle name="Total 2 2" xfId="39365"/>
    <cellStyle name="Total 2 2 10" xfId="39366"/>
    <cellStyle name="Total 2 2 10 2" xfId="39367"/>
    <cellStyle name="Total 2 2 11" xfId="39368"/>
    <cellStyle name="Total 2 2 11 2" xfId="39369"/>
    <cellStyle name="Total 2 2 12" xfId="39370"/>
    <cellStyle name="Total 2 2 12 2" xfId="39371"/>
    <cellStyle name="Total 2 2 13" xfId="39372"/>
    <cellStyle name="Total 2 2 13 2" xfId="39373"/>
    <cellStyle name="Total 2 2 14" xfId="39374"/>
    <cellStyle name="Total 2 2 14 2" xfId="39375"/>
    <cellStyle name="Total 2 2 15" xfId="39376"/>
    <cellStyle name="Total 2 2 15 2" xfId="39377"/>
    <cellStyle name="Total 2 2 16" xfId="39378"/>
    <cellStyle name="Total 2 2 17" xfId="39379"/>
    <cellStyle name="Total 2 2 18" xfId="39380"/>
    <cellStyle name="Total 2 2 2" xfId="39381"/>
    <cellStyle name="Total 2 2 2 10" xfId="39382"/>
    <cellStyle name="Total 2 2 2 10 2" xfId="39383"/>
    <cellStyle name="Total 2 2 2 11" xfId="39384"/>
    <cellStyle name="Total 2 2 2 11 2" xfId="39385"/>
    <cellStyle name="Total 2 2 2 12" xfId="39386"/>
    <cellStyle name="Total 2 2 2 12 2" xfId="39387"/>
    <cellStyle name="Total 2 2 2 13" xfId="39388"/>
    <cellStyle name="Total 2 2 2 13 2" xfId="39389"/>
    <cellStyle name="Total 2 2 2 14" xfId="39390"/>
    <cellStyle name="Total 2 2 2 14 2" xfId="39391"/>
    <cellStyle name="Total 2 2 2 15" xfId="39392"/>
    <cellStyle name="Total 2 2 2 2" xfId="39393"/>
    <cellStyle name="Total 2 2 2 2 10" xfId="39394"/>
    <cellStyle name="Total 2 2 2 2 10 2" xfId="39395"/>
    <cellStyle name="Total 2 2 2 2 11" xfId="39396"/>
    <cellStyle name="Total 2 2 2 2 11 2" xfId="39397"/>
    <cellStyle name="Total 2 2 2 2 12" xfId="39398"/>
    <cellStyle name="Total 2 2 2 2 12 2" xfId="39399"/>
    <cellStyle name="Total 2 2 2 2 13" xfId="39400"/>
    <cellStyle name="Total 2 2 2 2 2" xfId="39401"/>
    <cellStyle name="Total 2 2 2 2 2 10" xfId="39402"/>
    <cellStyle name="Total 2 2 2 2 2 10 2" xfId="39403"/>
    <cellStyle name="Total 2 2 2 2 2 11" xfId="39404"/>
    <cellStyle name="Total 2 2 2 2 2 2" xfId="39405"/>
    <cellStyle name="Total 2 2 2 2 2 2 2" xfId="39406"/>
    <cellStyle name="Total 2 2 2 2 2 3" xfId="39407"/>
    <cellStyle name="Total 2 2 2 2 2 3 2" xfId="39408"/>
    <cellStyle name="Total 2 2 2 2 2 4" xfId="39409"/>
    <cellStyle name="Total 2 2 2 2 2 4 2" xfId="39410"/>
    <cellStyle name="Total 2 2 2 2 2 5" xfId="39411"/>
    <cellStyle name="Total 2 2 2 2 2 5 2" xfId="39412"/>
    <cellStyle name="Total 2 2 2 2 2 6" xfId="39413"/>
    <cellStyle name="Total 2 2 2 2 2 6 2" xfId="39414"/>
    <cellStyle name="Total 2 2 2 2 2 7" xfId="39415"/>
    <cellStyle name="Total 2 2 2 2 2 7 2" xfId="39416"/>
    <cellStyle name="Total 2 2 2 2 2 8" xfId="39417"/>
    <cellStyle name="Total 2 2 2 2 2 8 2" xfId="39418"/>
    <cellStyle name="Total 2 2 2 2 2 9" xfId="39419"/>
    <cellStyle name="Total 2 2 2 2 2 9 2" xfId="39420"/>
    <cellStyle name="Total 2 2 2 2 3" xfId="39421"/>
    <cellStyle name="Total 2 2 2 2 3 10" xfId="39422"/>
    <cellStyle name="Total 2 2 2 2 3 10 2" xfId="39423"/>
    <cellStyle name="Total 2 2 2 2 3 11" xfId="39424"/>
    <cellStyle name="Total 2 2 2 2 3 2" xfId="39425"/>
    <cellStyle name="Total 2 2 2 2 3 2 2" xfId="39426"/>
    <cellStyle name="Total 2 2 2 2 3 3" xfId="39427"/>
    <cellStyle name="Total 2 2 2 2 3 3 2" xfId="39428"/>
    <cellStyle name="Total 2 2 2 2 3 4" xfId="39429"/>
    <cellStyle name="Total 2 2 2 2 3 4 2" xfId="39430"/>
    <cellStyle name="Total 2 2 2 2 3 5" xfId="39431"/>
    <cellStyle name="Total 2 2 2 2 3 5 2" xfId="39432"/>
    <cellStyle name="Total 2 2 2 2 3 6" xfId="39433"/>
    <cellStyle name="Total 2 2 2 2 3 6 2" xfId="39434"/>
    <cellStyle name="Total 2 2 2 2 3 7" xfId="39435"/>
    <cellStyle name="Total 2 2 2 2 3 7 2" xfId="39436"/>
    <cellStyle name="Total 2 2 2 2 3 8" xfId="39437"/>
    <cellStyle name="Total 2 2 2 2 3 8 2" xfId="39438"/>
    <cellStyle name="Total 2 2 2 2 3 9" xfId="39439"/>
    <cellStyle name="Total 2 2 2 2 3 9 2" xfId="39440"/>
    <cellStyle name="Total 2 2 2 2 4" xfId="39441"/>
    <cellStyle name="Total 2 2 2 2 4 2" xfId="39442"/>
    <cellStyle name="Total 2 2 2 2 5" xfId="39443"/>
    <cellStyle name="Total 2 2 2 2 5 2" xfId="39444"/>
    <cellStyle name="Total 2 2 2 2 6" xfId="39445"/>
    <cellStyle name="Total 2 2 2 2 6 2" xfId="39446"/>
    <cellStyle name="Total 2 2 2 2 7" xfId="39447"/>
    <cellStyle name="Total 2 2 2 2 7 2" xfId="39448"/>
    <cellStyle name="Total 2 2 2 2 8" xfId="39449"/>
    <cellStyle name="Total 2 2 2 2 8 2" xfId="39450"/>
    <cellStyle name="Total 2 2 2 2 9" xfId="39451"/>
    <cellStyle name="Total 2 2 2 2 9 2" xfId="39452"/>
    <cellStyle name="Total 2 2 2 3" xfId="39453"/>
    <cellStyle name="Total 2 2 2 3 10" xfId="39454"/>
    <cellStyle name="Total 2 2 2 3 10 2" xfId="39455"/>
    <cellStyle name="Total 2 2 2 3 11" xfId="39456"/>
    <cellStyle name="Total 2 2 2 3 11 2" xfId="39457"/>
    <cellStyle name="Total 2 2 2 3 12" xfId="39458"/>
    <cellStyle name="Total 2 2 2 3 12 2" xfId="39459"/>
    <cellStyle name="Total 2 2 2 3 13" xfId="39460"/>
    <cellStyle name="Total 2 2 2 3 2" xfId="39461"/>
    <cellStyle name="Total 2 2 2 3 2 10" xfId="39462"/>
    <cellStyle name="Total 2 2 2 3 2 10 2" xfId="39463"/>
    <cellStyle name="Total 2 2 2 3 2 11" xfId="39464"/>
    <cellStyle name="Total 2 2 2 3 2 2" xfId="39465"/>
    <cellStyle name="Total 2 2 2 3 2 2 2" xfId="39466"/>
    <cellStyle name="Total 2 2 2 3 2 3" xfId="39467"/>
    <cellStyle name="Total 2 2 2 3 2 3 2" xfId="39468"/>
    <cellStyle name="Total 2 2 2 3 2 4" xfId="39469"/>
    <cellStyle name="Total 2 2 2 3 2 4 2" xfId="39470"/>
    <cellStyle name="Total 2 2 2 3 2 5" xfId="39471"/>
    <cellStyle name="Total 2 2 2 3 2 5 2" xfId="39472"/>
    <cellStyle name="Total 2 2 2 3 2 6" xfId="39473"/>
    <cellStyle name="Total 2 2 2 3 2 6 2" xfId="39474"/>
    <cellStyle name="Total 2 2 2 3 2 7" xfId="39475"/>
    <cellStyle name="Total 2 2 2 3 2 7 2" xfId="39476"/>
    <cellStyle name="Total 2 2 2 3 2 8" xfId="39477"/>
    <cellStyle name="Total 2 2 2 3 2 8 2" xfId="39478"/>
    <cellStyle name="Total 2 2 2 3 2 9" xfId="39479"/>
    <cellStyle name="Total 2 2 2 3 2 9 2" xfId="39480"/>
    <cellStyle name="Total 2 2 2 3 3" xfId="39481"/>
    <cellStyle name="Total 2 2 2 3 3 10" xfId="39482"/>
    <cellStyle name="Total 2 2 2 3 3 10 2" xfId="39483"/>
    <cellStyle name="Total 2 2 2 3 3 11" xfId="39484"/>
    <cellStyle name="Total 2 2 2 3 3 2" xfId="39485"/>
    <cellStyle name="Total 2 2 2 3 3 2 2" xfId="39486"/>
    <cellStyle name="Total 2 2 2 3 3 3" xfId="39487"/>
    <cellStyle name="Total 2 2 2 3 3 3 2" xfId="39488"/>
    <cellStyle name="Total 2 2 2 3 3 4" xfId="39489"/>
    <cellStyle name="Total 2 2 2 3 3 4 2" xfId="39490"/>
    <cellStyle name="Total 2 2 2 3 3 5" xfId="39491"/>
    <cellStyle name="Total 2 2 2 3 3 5 2" xfId="39492"/>
    <cellStyle name="Total 2 2 2 3 3 6" xfId="39493"/>
    <cellStyle name="Total 2 2 2 3 3 6 2" xfId="39494"/>
    <cellStyle name="Total 2 2 2 3 3 7" xfId="39495"/>
    <cellStyle name="Total 2 2 2 3 3 7 2" xfId="39496"/>
    <cellStyle name="Total 2 2 2 3 3 8" xfId="39497"/>
    <cellStyle name="Total 2 2 2 3 3 8 2" xfId="39498"/>
    <cellStyle name="Total 2 2 2 3 3 9" xfId="39499"/>
    <cellStyle name="Total 2 2 2 3 3 9 2" xfId="39500"/>
    <cellStyle name="Total 2 2 2 3 4" xfId="39501"/>
    <cellStyle name="Total 2 2 2 3 4 2" xfId="39502"/>
    <cellStyle name="Total 2 2 2 3 5" xfId="39503"/>
    <cellStyle name="Total 2 2 2 3 5 2" xfId="39504"/>
    <cellStyle name="Total 2 2 2 3 6" xfId="39505"/>
    <cellStyle name="Total 2 2 2 3 6 2" xfId="39506"/>
    <cellStyle name="Total 2 2 2 3 7" xfId="39507"/>
    <cellStyle name="Total 2 2 2 3 7 2" xfId="39508"/>
    <cellStyle name="Total 2 2 2 3 8" xfId="39509"/>
    <cellStyle name="Total 2 2 2 3 8 2" xfId="39510"/>
    <cellStyle name="Total 2 2 2 3 9" xfId="39511"/>
    <cellStyle name="Total 2 2 2 3 9 2" xfId="39512"/>
    <cellStyle name="Total 2 2 2 4" xfId="39513"/>
    <cellStyle name="Total 2 2 2 4 10" xfId="39514"/>
    <cellStyle name="Total 2 2 2 4 10 2" xfId="39515"/>
    <cellStyle name="Total 2 2 2 4 11" xfId="39516"/>
    <cellStyle name="Total 2 2 2 4 2" xfId="39517"/>
    <cellStyle name="Total 2 2 2 4 2 2" xfId="39518"/>
    <cellStyle name="Total 2 2 2 4 3" xfId="39519"/>
    <cellStyle name="Total 2 2 2 4 3 2" xfId="39520"/>
    <cellStyle name="Total 2 2 2 4 4" xfId="39521"/>
    <cellStyle name="Total 2 2 2 4 4 2" xfId="39522"/>
    <cellStyle name="Total 2 2 2 4 5" xfId="39523"/>
    <cellStyle name="Total 2 2 2 4 5 2" xfId="39524"/>
    <cellStyle name="Total 2 2 2 4 6" xfId="39525"/>
    <cellStyle name="Total 2 2 2 4 6 2" xfId="39526"/>
    <cellStyle name="Total 2 2 2 4 7" xfId="39527"/>
    <cellStyle name="Total 2 2 2 4 7 2" xfId="39528"/>
    <cellStyle name="Total 2 2 2 4 8" xfId="39529"/>
    <cellStyle name="Total 2 2 2 4 8 2" xfId="39530"/>
    <cellStyle name="Total 2 2 2 4 9" xfId="39531"/>
    <cellStyle name="Total 2 2 2 4 9 2" xfId="39532"/>
    <cellStyle name="Total 2 2 2 5" xfId="39533"/>
    <cellStyle name="Total 2 2 2 5 10" xfId="39534"/>
    <cellStyle name="Total 2 2 2 5 10 2" xfId="39535"/>
    <cellStyle name="Total 2 2 2 5 11" xfId="39536"/>
    <cellStyle name="Total 2 2 2 5 2" xfId="39537"/>
    <cellStyle name="Total 2 2 2 5 2 2" xfId="39538"/>
    <cellStyle name="Total 2 2 2 5 3" xfId="39539"/>
    <cellStyle name="Total 2 2 2 5 3 2" xfId="39540"/>
    <cellStyle name="Total 2 2 2 5 4" xfId="39541"/>
    <cellStyle name="Total 2 2 2 5 4 2" xfId="39542"/>
    <cellStyle name="Total 2 2 2 5 5" xfId="39543"/>
    <cellStyle name="Total 2 2 2 5 5 2" xfId="39544"/>
    <cellStyle name="Total 2 2 2 5 6" xfId="39545"/>
    <cellStyle name="Total 2 2 2 5 6 2" xfId="39546"/>
    <cellStyle name="Total 2 2 2 5 7" xfId="39547"/>
    <cellStyle name="Total 2 2 2 5 7 2" xfId="39548"/>
    <cellStyle name="Total 2 2 2 5 8" xfId="39549"/>
    <cellStyle name="Total 2 2 2 5 8 2" xfId="39550"/>
    <cellStyle name="Total 2 2 2 5 9" xfId="39551"/>
    <cellStyle name="Total 2 2 2 5 9 2" xfId="39552"/>
    <cellStyle name="Total 2 2 2 6" xfId="39553"/>
    <cellStyle name="Total 2 2 2 6 2" xfId="39554"/>
    <cellStyle name="Total 2 2 2 7" xfId="39555"/>
    <cellStyle name="Total 2 2 2 7 2" xfId="39556"/>
    <cellStyle name="Total 2 2 2 8" xfId="39557"/>
    <cellStyle name="Total 2 2 2 8 2" xfId="39558"/>
    <cellStyle name="Total 2 2 2 9" xfId="39559"/>
    <cellStyle name="Total 2 2 2 9 2" xfId="39560"/>
    <cellStyle name="Total 2 2 3" xfId="39561"/>
    <cellStyle name="Total 2 2 3 10" xfId="39562"/>
    <cellStyle name="Total 2 2 3 10 2" xfId="39563"/>
    <cellStyle name="Total 2 2 3 11" xfId="39564"/>
    <cellStyle name="Total 2 2 3 11 2" xfId="39565"/>
    <cellStyle name="Total 2 2 3 12" xfId="39566"/>
    <cellStyle name="Total 2 2 3 12 2" xfId="39567"/>
    <cellStyle name="Total 2 2 3 13" xfId="39568"/>
    <cellStyle name="Total 2 2 3 13 2" xfId="39569"/>
    <cellStyle name="Total 2 2 3 14" xfId="39570"/>
    <cellStyle name="Total 2 2 3 14 2" xfId="39571"/>
    <cellStyle name="Total 2 2 3 15" xfId="39572"/>
    <cellStyle name="Total 2 2 3 2" xfId="39573"/>
    <cellStyle name="Total 2 2 3 2 10" xfId="39574"/>
    <cellStyle name="Total 2 2 3 2 10 2" xfId="39575"/>
    <cellStyle name="Total 2 2 3 2 11" xfId="39576"/>
    <cellStyle name="Total 2 2 3 2 11 2" xfId="39577"/>
    <cellStyle name="Total 2 2 3 2 12" xfId="39578"/>
    <cellStyle name="Total 2 2 3 2 12 2" xfId="39579"/>
    <cellStyle name="Total 2 2 3 2 13" xfId="39580"/>
    <cellStyle name="Total 2 2 3 2 2" xfId="39581"/>
    <cellStyle name="Total 2 2 3 2 2 10" xfId="39582"/>
    <cellStyle name="Total 2 2 3 2 2 10 2" xfId="39583"/>
    <cellStyle name="Total 2 2 3 2 2 11" xfId="39584"/>
    <cellStyle name="Total 2 2 3 2 2 2" xfId="39585"/>
    <cellStyle name="Total 2 2 3 2 2 2 2" xfId="39586"/>
    <cellStyle name="Total 2 2 3 2 2 3" xfId="39587"/>
    <cellStyle name="Total 2 2 3 2 2 3 2" xfId="39588"/>
    <cellStyle name="Total 2 2 3 2 2 4" xfId="39589"/>
    <cellStyle name="Total 2 2 3 2 2 4 2" xfId="39590"/>
    <cellStyle name="Total 2 2 3 2 2 5" xfId="39591"/>
    <cellStyle name="Total 2 2 3 2 2 5 2" xfId="39592"/>
    <cellStyle name="Total 2 2 3 2 2 6" xfId="39593"/>
    <cellStyle name="Total 2 2 3 2 2 6 2" xfId="39594"/>
    <cellStyle name="Total 2 2 3 2 2 7" xfId="39595"/>
    <cellStyle name="Total 2 2 3 2 2 7 2" xfId="39596"/>
    <cellStyle name="Total 2 2 3 2 2 8" xfId="39597"/>
    <cellStyle name="Total 2 2 3 2 2 8 2" xfId="39598"/>
    <cellStyle name="Total 2 2 3 2 2 9" xfId="39599"/>
    <cellStyle name="Total 2 2 3 2 2 9 2" xfId="39600"/>
    <cellStyle name="Total 2 2 3 2 3" xfId="39601"/>
    <cellStyle name="Total 2 2 3 2 3 10" xfId="39602"/>
    <cellStyle name="Total 2 2 3 2 3 10 2" xfId="39603"/>
    <cellStyle name="Total 2 2 3 2 3 11" xfId="39604"/>
    <cellStyle name="Total 2 2 3 2 3 2" xfId="39605"/>
    <cellStyle name="Total 2 2 3 2 3 2 2" xfId="39606"/>
    <cellStyle name="Total 2 2 3 2 3 3" xfId="39607"/>
    <cellStyle name="Total 2 2 3 2 3 3 2" xfId="39608"/>
    <cellStyle name="Total 2 2 3 2 3 4" xfId="39609"/>
    <cellStyle name="Total 2 2 3 2 3 4 2" xfId="39610"/>
    <cellStyle name="Total 2 2 3 2 3 5" xfId="39611"/>
    <cellStyle name="Total 2 2 3 2 3 5 2" xfId="39612"/>
    <cellStyle name="Total 2 2 3 2 3 6" xfId="39613"/>
    <cellStyle name="Total 2 2 3 2 3 6 2" xfId="39614"/>
    <cellStyle name="Total 2 2 3 2 3 7" xfId="39615"/>
    <cellStyle name="Total 2 2 3 2 3 7 2" xfId="39616"/>
    <cellStyle name="Total 2 2 3 2 3 8" xfId="39617"/>
    <cellStyle name="Total 2 2 3 2 3 8 2" xfId="39618"/>
    <cellStyle name="Total 2 2 3 2 3 9" xfId="39619"/>
    <cellStyle name="Total 2 2 3 2 3 9 2" xfId="39620"/>
    <cellStyle name="Total 2 2 3 2 4" xfId="39621"/>
    <cellStyle name="Total 2 2 3 2 4 2" xfId="39622"/>
    <cellStyle name="Total 2 2 3 2 5" xfId="39623"/>
    <cellStyle name="Total 2 2 3 2 5 2" xfId="39624"/>
    <cellStyle name="Total 2 2 3 2 6" xfId="39625"/>
    <cellStyle name="Total 2 2 3 2 6 2" xfId="39626"/>
    <cellStyle name="Total 2 2 3 2 7" xfId="39627"/>
    <cellStyle name="Total 2 2 3 2 7 2" xfId="39628"/>
    <cellStyle name="Total 2 2 3 2 8" xfId="39629"/>
    <cellStyle name="Total 2 2 3 2 8 2" xfId="39630"/>
    <cellStyle name="Total 2 2 3 2 9" xfId="39631"/>
    <cellStyle name="Total 2 2 3 2 9 2" xfId="39632"/>
    <cellStyle name="Total 2 2 3 3" xfId="39633"/>
    <cellStyle name="Total 2 2 3 3 10" xfId="39634"/>
    <cellStyle name="Total 2 2 3 3 10 2" xfId="39635"/>
    <cellStyle name="Total 2 2 3 3 11" xfId="39636"/>
    <cellStyle name="Total 2 2 3 3 11 2" xfId="39637"/>
    <cellStyle name="Total 2 2 3 3 12" xfId="39638"/>
    <cellStyle name="Total 2 2 3 3 12 2" xfId="39639"/>
    <cellStyle name="Total 2 2 3 3 13" xfId="39640"/>
    <cellStyle name="Total 2 2 3 3 2" xfId="39641"/>
    <cellStyle name="Total 2 2 3 3 2 10" xfId="39642"/>
    <cellStyle name="Total 2 2 3 3 2 10 2" xfId="39643"/>
    <cellStyle name="Total 2 2 3 3 2 11" xfId="39644"/>
    <cellStyle name="Total 2 2 3 3 2 2" xfId="39645"/>
    <cellStyle name="Total 2 2 3 3 2 2 2" xfId="39646"/>
    <cellStyle name="Total 2 2 3 3 2 3" xfId="39647"/>
    <cellStyle name="Total 2 2 3 3 2 3 2" xfId="39648"/>
    <cellStyle name="Total 2 2 3 3 2 4" xfId="39649"/>
    <cellStyle name="Total 2 2 3 3 2 4 2" xfId="39650"/>
    <cellStyle name="Total 2 2 3 3 2 5" xfId="39651"/>
    <cellStyle name="Total 2 2 3 3 2 5 2" xfId="39652"/>
    <cellStyle name="Total 2 2 3 3 2 6" xfId="39653"/>
    <cellStyle name="Total 2 2 3 3 2 6 2" xfId="39654"/>
    <cellStyle name="Total 2 2 3 3 2 7" xfId="39655"/>
    <cellStyle name="Total 2 2 3 3 2 7 2" xfId="39656"/>
    <cellStyle name="Total 2 2 3 3 2 8" xfId="39657"/>
    <cellStyle name="Total 2 2 3 3 2 8 2" xfId="39658"/>
    <cellStyle name="Total 2 2 3 3 2 9" xfId="39659"/>
    <cellStyle name="Total 2 2 3 3 2 9 2" xfId="39660"/>
    <cellStyle name="Total 2 2 3 3 3" xfId="39661"/>
    <cellStyle name="Total 2 2 3 3 3 10" xfId="39662"/>
    <cellStyle name="Total 2 2 3 3 3 10 2" xfId="39663"/>
    <cellStyle name="Total 2 2 3 3 3 11" xfId="39664"/>
    <cellStyle name="Total 2 2 3 3 3 2" xfId="39665"/>
    <cellStyle name="Total 2 2 3 3 3 2 2" xfId="39666"/>
    <cellStyle name="Total 2 2 3 3 3 3" xfId="39667"/>
    <cellStyle name="Total 2 2 3 3 3 3 2" xfId="39668"/>
    <cellStyle name="Total 2 2 3 3 3 4" xfId="39669"/>
    <cellStyle name="Total 2 2 3 3 3 4 2" xfId="39670"/>
    <cellStyle name="Total 2 2 3 3 3 5" xfId="39671"/>
    <cellStyle name="Total 2 2 3 3 3 5 2" xfId="39672"/>
    <cellStyle name="Total 2 2 3 3 3 6" xfId="39673"/>
    <cellStyle name="Total 2 2 3 3 3 6 2" xfId="39674"/>
    <cellStyle name="Total 2 2 3 3 3 7" xfId="39675"/>
    <cellStyle name="Total 2 2 3 3 3 7 2" xfId="39676"/>
    <cellStyle name="Total 2 2 3 3 3 8" xfId="39677"/>
    <cellStyle name="Total 2 2 3 3 3 8 2" xfId="39678"/>
    <cellStyle name="Total 2 2 3 3 3 9" xfId="39679"/>
    <cellStyle name="Total 2 2 3 3 3 9 2" xfId="39680"/>
    <cellStyle name="Total 2 2 3 3 4" xfId="39681"/>
    <cellStyle name="Total 2 2 3 3 4 2" xfId="39682"/>
    <cellStyle name="Total 2 2 3 3 5" xfId="39683"/>
    <cellStyle name="Total 2 2 3 3 5 2" xfId="39684"/>
    <cellStyle name="Total 2 2 3 3 6" xfId="39685"/>
    <cellStyle name="Total 2 2 3 3 6 2" xfId="39686"/>
    <cellStyle name="Total 2 2 3 3 7" xfId="39687"/>
    <cellStyle name="Total 2 2 3 3 7 2" xfId="39688"/>
    <cellStyle name="Total 2 2 3 3 8" xfId="39689"/>
    <cellStyle name="Total 2 2 3 3 8 2" xfId="39690"/>
    <cellStyle name="Total 2 2 3 3 9" xfId="39691"/>
    <cellStyle name="Total 2 2 3 3 9 2" xfId="39692"/>
    <cellStyle name="Total 2 2 3 4" xfId="39693"/>
    <cellStyle name="Total 2 2 3 4 10" xfId="39694"/>
    <cellStyle name="Total 2 2 3 4 10 2" xfId="39695"/>
    <cellStyle name="Total 2 2 3 4 11" xfId="39696"/>
    <cellStyle name="Total 2 2 3 4 2" xfId="39697"/>
    <cellStyle name="Total 2 2 3 4 2 2" xfId="39698"/>
    <cellStyle name="Total 2 2 3 4 3" xfId="39699"/>
    <cellStyle name="Total 2 2 3 4 3 2" xfId="39700"/>
    <cellStyle name="Total 2 2 3 4 4" xfId="39701"/>
    <cellStyle name="Total 2 2 3 4 4 2" xfId="39702"/>
    <cellStyle name="Total 2 2 3 4 5" xfId="39703"/>
    <cellStyle name="Total 2 2 3 4 5 2" xfId="39704"/>
    <cellStyle name="Total 2 2 3 4 6" xfId="39705"/>
    <cellStyle name="Total 2 2 3 4 6 2" xfId="39706"/>
    <cellStyle name="Total 2 2 3 4 7" xfId="39707"/>
    <cellStyle name="Total 2 2 3 4 7 2" xfId="39708"/>
    <cellStyle name="Total 2 2 3 4 8" xfId="39709"/>
    <cellStyle name="Total 2 2 3 4 8 2" xfId="39710"/>
    <cellStyle name="Total 2 2 3 4 9" xfId="39711"/>
    <cellStyle name="Total 2 2 3 4 9 2" xfId="39712"/>
    <cellStyle name="Total 2 2 3 5" xfId="39713"/>
    <cellStyle name="Total 2 2 3 5 10" xfId="39714"/>
    <cellStyle name="Total 2 2 3 5 10 2" xfId="39715"/>
    <cellStyle name="Total 2 2 3 5 11" xfId="39716"/>
    <cellStyle name="Total 2 2 3 5 2" xfId="39717"/>
    <cellStyle name="Total 2 2 3 5 2 2" xfId="39718"/>
    <cellStyle name="Total 2 2 3 5 3" xfId="39719"/>
    <cellStyle name="Total 2 2 3 5 3 2" xfId="39720"/>
    <cellStyle name="Total 2 2 3 5 4" xfId="39721"/>
    <cellStyle name="Total 2 2 3 5 4 2" xfId="39722"/>
    <cellStyle name="Total 2 2 3 5 5" xfId="39723"/>
    <cellStyle name="Total 2 2 3 5 5 2" xfId="39724"/>
    <cellStyle name="Total 2 2 3 5 6" xfId="39725"/>
    <cellStyle name="Total 2 2 3 5 6 2" xfId="39726"/>
    <cellStyle name="Total 2 2 3 5 7" xfId="39727"/>
    <cellStyle name="Total 2 2 3 5 7 2" xfId="39728"/>
    <cellStyle name="Total 2 2 3 5 8" xfId="39729"/>
    <cellStyle name="Total 2 2 3 5 8 2" xfId="39730"/>
    <cellStyle name="Total 2 2 3 5 9" xfId="39731"/>
    <cellStyle name="Total 2 2 3 5 9 2" xfId="39732"/>
    <cellStyle name="Total 2 2 3 6" xfId="39733"/>
    <cellStyle name="Total 2 2 3 6 2" xfId="39734"/>
    <cellStyle name="Total 2 2 3 7" xfId="39735"/>
    <cellStyle name="Total 2 2 3 7 2" xfId="39736"/>
    <cellStyle name="Total 2 2 3 8" xfId="39737"/>
    <cellStyle name="Total 2 2 3 8 2" xfId="39738"/>
    <cellStyle name="Total 2 2 3 9" xfId="39739"/>
    <cellStyle name="Total 2 2 3 9 2" xfId="39740"/>
    <cellStyle name="Total 2 2 4" xfId="39741"/>
    <cellStyle name="Total 2 2 4 10" xfId="39742"/>
    <cellStyle name="Total 2 2 4 10 2" xfId="39743"/>
    <cellStyle name="Total 2 2 4 11" xfId="39744"/>
    <cellStyle name="Total 2 2 4 11 2" xfId="39745"/>
    <cellStyle name="Total 2 2 4 12" xfId="39746"/>
    <cellStyle name="Total 2 2 4 12 2" xfId="39747"/>
    <cellStyle name="Total 2 2 4 13" xfId="39748"/>
    <cellStyle name="Total 2 2 4 2" xfId="39749"/>
    <cellStyle name="Total 2 2 4 2 10" xfId="39750"/>
    <cellStyle name="Total 2 2 4 2 10 2" xfId="39751"/>
    <cellStyle name="Total 2 2 4 2 11" xfId="39752"/>
    <cellStyle name="Total 2 2 4 2 2" xfId="39753"/>
    <cellStyle name="Total 2 2 4 2 2 2" xfId="39754"/>
    <cellStyle name="Total 2 2 4 2 3" xfId="39755"/>
    <cellStyle name="Total 2 2 4 2 3 2" xfId="39756"/>
    <cellStyle name="Total 2 2 4 2 4" xfId="39757"/>
    <cellStyle name="Total 2 2 4 2 4 2" xfId="39758"/>
    <cellStyle name="Total 2 2 4 2 5" xfId="39759"/>
    <cellStyle name="Total 2 2 4 2 5 2" xfId="39760"/>
    <cellStyle name="Total 2 2 4 2 6" xfId="39761"/>
    <cellStyle name="Total 2 2 4 2 6 2" xfId="39762"/>
    <cellStyle name="Total 2 2 4 2 7" xfId="39763"/>
    <cellStyle name="Total 2 2 4 2 7 2" xfId="39764"/>
    <cellStyle name="Total 2 2 4 2 8" xfId="39765"/>
    <cellStyle name="Total 2 2 4 2 8 2" xfId="39766"/>
    <cellStyle name="Total 2 2 4 2 9" xfId="39767"/>
    <cellStyle name="Total 2 2 4 2 9 2" xfId="39768"/>
    <cellStyle name="Total 2 2 4 3" xfId="39769"/>
    <cellStyle name="Total 2 2 4 3 10" xfId="39770"/>
    <cellStyle name="Total 2 2 4 3 10 2" xfId="39771"/>
    <cellStyle name="Total 2 2 4 3 11" xfId="39772"/>
    <cellStyle name="Total 2 2 4 3 2" xfId="39773"/>
    <cellStyle name="Total 2 2 4 3 2 2" xfId="39774"/>
    <cellStyle name="Total 2 2 4 3 3" xfId="39775"/>
    <cellStyle name="Total 2 2 4 3 3 2" xfId="39776"/>
    <cellStyle name="Total 2 2 4 3 4" xfId="39777"/>
    <cellStyle name="Total 2 2 4 3 4 2" xfId="39778"/>
    <cellStyle name="Total 2 2 4 3 5" xfId="39779"/>
    <cellStyle name="Total 2 2 4 3 5 2" xfId="39780"/>
    <cellStyle name="Total 2 2 4 3 6" xfId="39781"/>
    <cellStyle name="Total 2 2 4 3 6 2" xfId="39782"/>
    <cellStyle name="Total 2 2 4 3 7" xfId="39783"/>
    <cellStyle name="Total 2 2 4 3 7 2" xfId="39784"/>
    <cellStyle name="Total 2 2 4 3 8" xfId="39785"/>
    <cellStyle name="Total 2 2 4 3 8 2" xfId="39786"/>
    <cellStyle name="Total 2 2 4 3 9" xfId="39787"/>
    <cellStyle name="Total 2 2 4 3 9 2" xfId="39788"/>
    <cellStyle name="Total 2 2 4 4" xfId="39789"/>
    <cellStyle name="Total 2 2 4 4 2" xfId="39790"/>
    <cellStyle name="Total 2 2 4 5" xfId="39791"/>
    <cellStyle name="Total 2 2 4 5 2" xfId="39792"/>
    <cellStyle name="Total 2 2 4 6" xfId="39793"/>
    <cellStyle name="Total 2 2 4 6 2" xfId="39794"/>
    <cellStyle name="Total 2 2 4 7" xfId="39795"/>
    <cellStyle name="Total 2 2 4 7 2" xfId="39796"/>
    <cellStyle name="Total 2 2 4 8" xfId="39797"/>
    <cellStyle name="Total 2 2 4 8 2" xfId="39798"/>
    <cellStyle name="Total 2 2 4 9" xfId="39799"/>
    <cellStyle name="Total 2 2 4 9 2" xfId="39800"/>
    <cellStyle name="Total 2 2 5" xfId="39801"/>
    <cellStyle name="Total 2 2 5 10" xfId="39802"/>
    <cellStyle name="Total 2 2 5 10 2" xfId="39803"/>
    <cellStyle name="Total 2 2 5 11" xfId="39804"/>
    <cellStyle name="Total 2 2 5 11 2" xfId="39805"/>
    <cellStyle name="Total 2 2 5 12" xfId="39806"/>
    <cellStyle name="Total 2 2 5 12 2" xfId="39807"/>
    <cellStyle name="Total 2 2 5 13" xfId="39808"/>
    <cellStyle name="Total 2 2 5 2" xfId="39809"/>
    <cellStyle name="Total 2 2 5 2 10" xfId="39810"/>
    <cellStyle name="Total 2 2 5 2 10 2" xfId="39811"/>
    <cellStyle name="Total 2 2 5 2 11" xfId="39812"/>
    <cellStyle name="Total 2 2 5 2 2" xfId="39813"/>
    <cellStyle name="Total 2 2 5 2 2 2" xfId="39814"/>
    <cellStyle name="Total 2 2 5 2 3" xfId="39815"/>
    <cellStyle name="Total 2 2 5 2 3 2" xfId="39816"/>
    <cellStyle name="Total 2 2 5 2 4" xfId="39817"/>
    <cellStyle name="Total 2 2 5 2 4 2" xfId="39818"/>
    <cellStyle name="Total 2 2 5 2 5" xfId="39819"/>
    <cellStyle name="Total 2 2 5 2 5 2" xfId="39820"/>
    <cellStyle name="Total 2 2 5 2 6" xfId="39821"/>
    <cellStyle name="Total 2 2 5 2 6 2" xfId="39822"/>
    <cellStyle name="Total 2 2 5 2 7" xfId="39823"/>
    <cellStyle name="Total 2 2 5 2 7 2" xfId="39824"/>
    <cellStyle name="Total 2 2 5 2 8" xfId="39825"/>
    <cellStyle name="Total 2 2 5 2 8 2" xfId="39826"/>
    <cellStyle name="Total 2 2 5 2 9" xfId="39827"/>
    <cellStyle name="Total 2 2 5 2 9 2" xfId="39828"/>
    <cellStyle name="Total 2 2 5 3" xfId="39829"/>
    <cellStyle name="Total 2 2 5 3 10" xfId="39830"/>
    <cellStyle name="Total 2 2 5 3 10 2" xfId="39831"/>
    <cellStyle name="Total 2 2 5 3 11" xfId="39832"/>
    <cellStyle name="Total 2 2 5 3 2" xfId="39833"/>
    <cellStyle name="Total 2 2 5 3 2 2" xfId="39834"/>
    <cellStyle name="Total 2 2 5 3 3" xfId="39835"/>
    <cellStyle name="Total 2 2 5 3 3 2" xfId="39836"/>
    <cellStyle name="Total 2 2 5 3 4" xfId="39837"/>
    <cellStyle name="Total 2 2 5 3 4 2" xfId="39838"/>
    <cellStyle name="Total 2 2 5 3 5" xfId="39839"/>
    <cellStyle name="Total 2 2 5 3 5 2" xfId="39840"/>
    <cellStyle name="Total 2 2 5 3 6" xfId="39841"/>
    <cellStyle name="Total 2 2 5 3 6 2" xfId="39842"/>
    <cellStyle name="Total 2 2 5 3 7" xfId="39843"/>
    <cellStyle name="Total 2 2 5 3 7 2" xfId="39844"/>
    <cellStyle name="Total 2 2 5 3 8" xfId="39845"/>
    <cellStyle name="Total 2 2 5 3 8 2" xfId="39846"/>
    <cellStyle name="Total 2 2 5 3 9" xfId="39847"/>
    <cellStyle name="Total 2 2 5 3 9 2" xfId="39848"/>
    <cellStyle name="Total 2 2 5 4" xfId="39849"/>
    <cellStyle name="Total 2 2 5 4 2" xfId="39850"/>
    <cellStyle name="Total 2 2 5 5" xfId="39851"/>
    <cellStyle name="Total 2 2 5 5 2" xfId="39852"/>
    <cellStyle name="Total 2 2 5 6" xfId="39853"/>
    <cellStyle name="Total 2 2 5 6 2" xfId="39854"/>
    <cellStyle name="Total 2 2 5 7" xfId="39855"/>
    <cellStyle name="Total 2 2 5 7 2" xfId="39856"/>
    <cellStyle name="Total 2 2 5 8" xfId="39857"/>
    <cellStyle name="Total 2 2 5 8 2" xfId="39858"/>
    <cellStyle name="Total 2 2 5 9" xfId="39859"/>
    <cellStyle name="Total 2 2 5 9 2" xfId="39860"/>
    <cellStyle name="Total 2 2 6" xfId="39861"/>
    <cellStyle name="Total 2 2 6 2" xfId="39862"/>
    <cellStyle name="Total 2 2 7" xfId="39863"/>
    <cellStyle name="Total 2 2 7 2" xfId="39864"/>
    <cellStyle name="Total 2 2 8" xfId="39865"/>
    <cellStyle name="Total 2 2 8 2" xfId="39866"/>
    <cellStyle name="Total 2 2 9" xfId="39867"/>
    <cellStyle name="Total 2 2 9 2" xfId="39868"/>
    <cellStyle name="Total 2 20" xfId="39869"/>
    <cellStyle name="Total 2 21" xfId="39870"/>
    <cellStyle name="Total 2 3" xfId="39871"/>
    <cellStyle name="Total 2 3 10" xfId="39872"/>
    <cellStyle name="Total 2 3 10 2" xfId="39873"/>
    <cellStyle name="Total 2 3 11" xfId="39874"/>
    <cellStyle name="Total 2 3 11 2" xfId="39875"/>
    <cellStyle name="Total 2 3 12" xfId="39876"/>
    <cellStyle name="Total 2 3 12 2" xfId="39877"/>
    <cellStyle name="Total 2 3 13" xfId="39878"/>
    <cellStyle name="Total 2 3 13 2" xfId="39879"/>
    <cellStyle name="Total 2 3 14" xfId="39880"/>
    <cellStyle name="Total 2 3 14 2" xfId="39881"/>
    <cellStyle name="Total 2 3 15" xfId="39882"/>
    <cellStyle name="Total 2 3 16" xfId="39883"/>
    <cellStyle name="Total 2 3 17" xfId="39884"/>
    <cellStyle name="Total 2 3 2" xfId="39885"/>
    <cellStyle name="Total 2 3 2 10" xfId="39886"/>
    <cellStyle name="Total 2 3 2 10 2" xfId="39887"/>
    <cellStyle name="Total 2 3 2 11" xfId="39888"/>
    <cellStyle name="Total 2 3 2 11 2" xfId="39889"/>
    <cellStyle name="Total 2 3 2 12" xfId="39890"/>
    <cellStyle name="Total 2 3 2 12 2" xfId="39891"/>
    <cellStyle name="Total 2 3 2 13" xfId="39892"/>
    <cellStyle name="Total 2 3 2 13 2" xfId="39893"/>
    <cellStyle name="Total 2 3 2 14" xfId="39894"/>
    <cellStyle name="Total 2 3 2 14 2" xfId="39895"/>
    <cellStyle name="Total 2 3 2 15" xfId="39896"/>
    <cellStyle name="Total 2 3 2 2" xfId="39897"/>
    <cellStyle name="Total 2 3 2 2 10" xfId="39898"/>
    <cellStyle name="Total 2 3 2 2 10 2" xfId="39899"/>
    <cellStyle name="Total 2 3 2 2 11" xfId="39900"/>
    <cellStyle name="Total 2 3 2 2 11 2" xfId="39901"/>
    <cellStyle name="Total 2 3 2 2 12" xfId="39902"/>
    <cellStyle name="Total 2 3 2 2 12 2" xfId="39903"/>
    <cellStyle name="Total 2 3 2 2 13" xfId="39904"/>
    <cellStyle name="Total 2 3 2 2 2" xfId="39905"/>
    <cellStyle name="Total 2 3 2 2 2 10" xfId="39906"/>
    <cellStyle name="Total 2 3 2 2 2 10 2" xfId="39907"/>
    <cellStyle name="Total 2 3 2 2 2 11" xfId="39908"/>
    <cellStyle name="Total 2 3 2 2 2 2" xfId="39909"/>
    <cellStyle name="Total 2 3 2 2 2 2 2" xfId="39910"/>
    <cellStyle name="Total 2 3 2 2 2 3" xfId="39911"/>
    <cellStyle name="Total 2 3 2 2 2 3 2" xfId="39912"/>
    <cellStyle name="Total 2 3 2 2 2 4" xfId="39913"/>
    <cellStyle name="Total 2 3 2 2 2 4 2" xfId="39914"/>
    <cellStyle name="Total 2 3 2 2 2 5" xfId="39915"/>
    <cellStyle name="Total 2 3 2 2 2 5 2" xfId="39916"/>
    <cellStyle name="Total 2 3 2 2 2 6" xfId="39917"/>
    <cellStyle name="Total 2 3 2 2 2 6 2" xfId="39918"/>
    <cellStyle name="Total 2 3 2 2 2 7" xfId="39919"/>
    <cellStyle name="Total 2 3 2 2 2 7 2" xfId="39920"/>
    <cellStyle name="Total 2 3 2 2 2 8" xfId="39921"/>
    <cellStyle name="Total 2 3 2 2 2 8 2" xfId="39922"/>
    <cellStyle name="Total 2 3 2 2 2 9" xfId="39923"/>
    <cellStyle name="Total 2 3 2 2 2 9 2" xfId="39924"/>
    <cellStyle name="Total 2 3 2 2 3" xfId="39925"/>
    <cellStyle name="Total 2 3 2 2 3 10" xfId="39926"/>
    <cellStyle name="Total 2 3 2 2 3 10 2" xfId="39927"/>
    <cellStyle name="Total 2 3 2 2 3 11" xfId="39928"/>
    <cellStyle name="Total 2 3 2 2 3 2" xfId="39929"/>
    <cellStyle name="Total 2 3 2 2 3 2 2" xfId="39930"/>
    <cellStyle name="Total 2 3 2 2 3 3" xfId="39931"/>
    <cellStyle name="Total 2 3 2 2 3 3 2" xfId="39932"/>
    <cellStyle name="Total 2 3 2 2 3 4" xfId="39933"/>
    <cellStyle name="Total 2 3 2 2 3 4 2" xfId="39934"/>
    <cellStyle name="Total 2 3 2 2 3 5" xfId="39935"/>
    <cellStyle name="Total 2 3 2 2 3 5 2" xfId="39936"/>
    <cellStyle name="Total 2 3 2 2 3 6" xfId="39937"/>
    <cellStyle name="Total 2 3 2 2 3 6 2" xfId="39938"/>
    <cellStyle name="Total 2 3 2 2 3 7" xfId="39939"/>
    <cellStyle name="Total 2 3 2 2 3 7 2" xfId="39940"/>
    <cellStyle name="Total 2 3 2 2 3 8" xfId="39941"/>
    <cellStyle name="Total 2 3 2 2 3 8 2" xfId="39942"/>
    <cellStyle name="Total 2 3 2 2 3 9" xfId="39943"/>
    <cellStyle name="Total 2 3 2 2 3 9 2" xfId="39944"/>
    <cellStyle name="Total 2 3 2 2 4" xfId="39945"/>
    <cellStyle name="Total 2 3 2 2 4 2" xfId="39946"/>
    <cellStyle name="Total 2 3 2 2 5" xfId="39947"/>
    <cellStyle name="Total 2 3 2 2 5 2" xfId="39948"/>
    <cellStyle name="Total 2 3 2 2 6" xfId="39949"/>
    <cellStyle name="Total 2 3 2 2 6 2" xfId="39950"/>
    <cellStyle name="Total 2 3 2 2 7" xfId="39951"/>
    <cellStyle name="Total 2 3 2 2 7 2" xfId="39952"/>
    <cellStyle name="Total 2 3 2 2 8" xfId="39953"/>
    <cellStyle name="Total 2 3 2 2 8 2" xfId="39954"/>
    <cellStyle name="Total 2 3 2 2 9" xfId="39955"/>
    <cellStyle name="Total 2 3 2 2 9 2" xfId="39956"/>
    <cellStyle name="Total 2 3 2 3" xfId="39957"/>
    <cellStyle name="Total 2 3 2 3 10" xfId="39958"/>
    <cellStyle name="Total 2 3 2 3 10 2" xfId="39959"/>
    <cellStyle name="Total 2 3 2 3 11" xfId="39960"/>
    <cellStyle name="Total 2 3 2 3 11 2" xfId="39961"/>
    <cellStyle name="Total 2 3 2 3 12" xfId="39962"/>
    <cellStyle name="Total 2 3 2 3 12 2" xfId="39963"/>
    <cellStyle name="Total 2 3 2 3 13" xfId="39964"/>
    <cellStyle name="Total 2 3 2 3 2" xfId="39965"/>
    <cellStyle name="Total 2 3 2 3 2 10" xfId="39966"/>
    <cellStyle name="Total 2 3 2 3 2 10 2" xfId="39967"/>
    <cellStyle name="Total 2 3 2 3 2 11" xfId="39968"/>
    <cellStyle name="Total 2 3 2 3 2 2" xfId="39969"/>
    <cellStyle name="Total 2 3 2 3 2 2 2" xfId="39970"/>
    <cellStyle name="Total 2 3 2 3 2 3" xfId="39971"/>
    <cellStyle name="Total 2 3 2 3 2 3 2" xfId="39972"/>
    <cellStyle name="Total 2 3 2 3 2 4" xfId="39973"/>
    <cellStyle name="Total 2 3 2 3 2 4 2" xfId="39974"/>
    <cellStyle name="Total 2 3 2 3 2 5" xfId="39975"/>
    <cellStyle name="Total 2 3 2 3 2 5 2" xfId="39976"/>
    <cellStyle name="Total 2 3 2 3 2 6" xfId="39977"/>
    <cellStyle name="Total 2 3 2 3 2 6 2" xfId="39978"/>
    <cellStyle name="Total 2 3 2 3 2 7" xfId="39979"/>
    <cellStyle name="Total 2 3 2 3 2 7 2" xfId="39980"/>
    <cellStyle name="Total 2 3 2 3 2 8" xfId="39981"/>
    <cellStyle name="Total 2 3 2 3 2 8 2" xfId="39982"/>
    <cellStyle name="Total 2 3 2 3 2 9" xfId="39983"/>
    <cellStyle name="Total 2 3 2 3 2 9 2" xfId="39984"/>
    <cellStyle name="Total 2 3 2 3 3" xfId="39985"/>
    <cellStyle name="Total 2 3 2 3 3 10" xfId="39986"/>
    <cellStyle name="Total 2 3 2 3 3 10 2" xfId="39987"/>
    <cellStyle name="Total 2 3 2 3 3 11" xfId="39988"/>
    <cellStyle name="Total 2 3 2 3 3 2" xfId="39989"/>
    <cellStyle name="Total 2 3 2 3 3 2 2" xfId="39990"/>
    <cellStyle name="Total 2 3 2 3 3 3" xfId="39991"/>
    <cellStyle name="Total 2 3 2 3 3 3 2" xfId="39992"/>
    <cellStyle name="Total 2 3 2 3 3 4" xfId="39993"/>
    <cellStyle name="Total 2 3 2 3 3 4 2" xfId="39994"/>
    <cellStyle name="Total 2 3 2 3 3 5" xfId="39995"/>
    <cellStyle name="Total 2 3 2 3 3 5 2" xfId="39996"/>
    <cellStyle name="Total 2 3 2 3 3 6" xfId="39997"/>
    <cellStyle name="Total 2 3 2 3 3 6 2" xfId="39998"/>
    <cellStyle name="Total 2 3 2 3 3 7" xfId="39999"/>
    <cellStyle name="Total 2 3 2 3 3 7 2" xfId="40000"/>
    <cellStyle name="Total 2 3 2 3 3 8" xfId="40001"/>
    <cellStyle name="Total 2 3 2 3 3 8 2" xfId="40002"/>
    <cellStyle name="Total 2 3 2 3 3 9" xfId="40003"/>
    <cellStyle name="Total 2 3 2 3 3 9 2" xfId="40004"/>
    <cellStyle name="Total 2 3 2 3 4" xfId="40005"/>
    <cellStyle name="Total 2 3 2 3 4 2" xfId="40006"/>
    <cellStyle name="Total 2 3 2 3 5" xfId="40007"/>
    <cellStyle name="Total 2 3 2 3 5 2" xfId="40008"/>
    <cellStyle name="Total 2 3 2 3 6" xfId="40009"/>
    <cellStyle name="Total 2 3 2 3 6 2" xfId="40010"/>
    <cellStyle name="Total 2 3 2 3 7" xfId="40011"/>
    <cellStyle name="Total 2 3 2 3 7 2" xfId="40012"/>
    <cellStyle name="Total 2 3 2 3 8" xfId="40013"/>
    <cellStyle name="Total 2 3 2 3 8 2" xfId="40014"/>
    <cellStyle name="Total 2 3 2 3 9" xfId="40015"/>
    <cellStyle name="Total 2 3 2 3 9 2" xfId="40016"/>
    <cellStyle name="Total 2 3 2 4" xfId="40017"/>
    <cellStyle name="Total 2 3 2 4 10" xfId="40018"/>
    <cellStyle name="Total 2 3 2 4 10 2" xfId="40019"/>
    <cellStyle name="Total 2 3 2 4 11" xfId="40020"/>
    <cellStyle name="Total 2 3 2 4 2" xfId="40021"/>
    <cellStyle name="Total 2 3 2 4 2 2" xfId="40022"/>
    <cellStyle name="Total 2 3 2 4 3" xfId="40023"/>
    <cellStyle name="Total 2 3 2 4 3 2" xfId="40024"/>
    <cellStyle name="Total 2 3 2 4 4" xfId="40025"/>
    <cellStyle name="Total 2 3 2 4 4 2" xfId="40026"/>
    <cellStyle name="Total 2 3 2 4 5" xfId="40027"/>
    <cellStyle name="Total 2 3 2 4 5 2" xfId="40028"/>
    <cellStyle name="Total 2 3 2 4 6" xfId="40029"/>
    <cellStyle name="Total 2 3 2 4 6 2" xfId="40030"/>
    <cellStyle name="Total 2 3 2 4 7" xfId="40031"/>
    <cellStyle name="Total 2 3 2 4 7 2" xfId="40032"/>
    <cellStyle name="Total 2 3 2 4 8" xfId="40033"/>
    <cellStyle name="Total 2 3 2 4 8 2" xfId="40034"/>
    <cellStyle name="Total 2 3 2 4 9" xfId="40035"/>
    <cellStyle name="Total 2 3 2 4 9 2" xfId="40036"/>
    <cellStyle name="Total 2 3 2 5" xfId="40037"/>
    <cellStyle name="Total 2 3 2 5 10" xfId="40038"/>
    <cellStyle name="Total 2 3 2 5 10 2" xfId="40039"/>
    <cellStyle name="Total 2 3 2 5 11" xfId="40040"/>
    <cellStyle name="Total 2 3 2 5 2" xfId="40041"/>
    <cellStyle name="Total 2 3 2 5 2 2" xfId="40042"/>
    <cellStyle name="Total 2 3 2 5 3" xfId="40043"/>
    <cellStyle name="Total 2 3 2 5 3 2" xfId="40044"/>
    <cellStyle name="Total 2 3 2 5 4" xfId="40045"/>
    <cellStyle name="Total 2 3 2 5 4 2" xfId="40046"/>
    <cellStyle name="Total 2 3 2 5 5" xfId="40047"/>
    <cellStyle name="Total 2 3 2 5 5 2" xfId="40048"/>
    <cellStyle name="Total 2 3 2 5 6" xfId="40049"/>
    <cellStyle name="Total 2 3 2 5 6 2" xfId="40050"/>
    <cellStyle name="Total 2 3 2 5 7" xfId="40051"/>
    <cellStyle name="Total 2 3 2 5 7 2" xfId="40052"/>
    <cellStyle name="Total 2 3 2 5 8" xfId="40053"/>
    <cellStyle name="Total 2 3 2 5 8 2" xfId="40054"/>
    <cellStyle name="Total 2 3 2 5 9" xfId="40055"/>
    <cellStyle name="Total 2 3 2 5 9 2" xfId="40056"/>
    <cellStyle name="Total 2 3 2 6" xfId="40057"/>
    <cellStyle name="Total 2 3 2 6 2" xfId="40058"/>
    <cellStyle name="Total 2 3 2 7" xfId="40059"/>
    <cellStyle name="Total 2 3 2 7 2" xfId="40060"/>
    <cellStyle name="Total 2 3 2 8" xfId="40061"/>
    <cellStyle name="Total 2 3 2 8 2" xfId="40062"/>
    <cellStyle name="Total 2 3 2 9" xfId="40063"/>
    <cellStyle name="Total 2 3 2 9 2" xfId="40064"/>
    <cellStyle name="Total 2 3 3" xfId="40065"/>
    <cellStyle name="Total 2 3 3 10" xfId="40066"/>
    <cellStyle name="Total 2 3 3 10 2" xfId="40067"/>
    <cellStyle name="Total 2 3 3 11" xfId="40068"/>
    <cellStyle name="Total 2 3 3 11 2" xfId="40069"/>
    <cellStyle name="Total 2 3 3 12" xfId="40070"/>
    <cellStyle name="Total 2 3 3 12 2" xfId="40071"/>
    <cellStyle name="Total 2 3 3 13" xfId="40072"/>
    <cellStyle name="Total 2 3 3 13 2" xfId="40073"/>
    <cellStyle name="Total 2 3 3 14" xfId="40074"/>
    <cellStyle name="Total 2 3 3 14 2" xfId="40075"/>
    <cellStyle name="Total 2 3 3 15" xfId="40076"/>
    <cellStyle name="Total 2 3 3 2" xfId="40077"/>
    <cellStyle name="Total 2 3 3 2 10" xfId="40078"/>
    <cellStyle name="Total 2 3 3 2 10 2" xfId="40079"/>
    <cellStyle name="Total 2 3 3 2 11" xfId="40080"/>
    <cellStyle name="Total 2 3 3 2 11 2" xfId="40081"/>
    <cellStyle name="Total 2 3 3 2 12" xfId="40082"/>
    <cellStyle name="Total 2 3 3 2 12 2" xfId="40083"/>
    <cellStyle name="Total 2 3 3 2 13" xfId="40084"/>
    <cellStyle name="Total 2 3 3 2 2" xfId="40085"/>
    <cellStyle name="Total 2 3 3 2 2 10" xfId="40086"/>
    <cellStyle name="Total 2 3 3 2 2 10 2" xfId="40087"/>
    <cellStyle name="Total 2 3 3 2 2 11" xfId="40088"/>
    <cellStyle name="Total 2 3 3 2 2 2" xfId="40089"/>
    <cellStyle name="Total 2 3 3 2 2 2 2" xfId="40090"/>
    <cellStyle name="Total 2 3 3 2 2 3" xfId="40091"/>
    <cellStyle name="Total 2 3 3 2 2 3 2" xfId="40092"/>
    <cellStyle name="Total 2 3 3 2 2 4" xfId="40093"/>
    <cellStyle name="Total 2 3 3 2 2 4 2" xfId="40094"/>
    <cellStyle name="Total 2 3 3 2 2 5" xfId="40095"/>
    <cellStyle name="Total 2 3 3 2 2 5 2" xfId="40096"/>
    <cellStyle name="Total 2 3 3 2 2 6" xfId="40097"/>
    <cellStyle name="Total 2 3 3 2 2 6 2" xfId="40098"/>
    <cellStyle name="Total 2 3 3 2 2 7" xfId="40099"/>
    <cellStyle name="Total 2 3 3 2 2 7 2" xfId="40100"/>
    <cellStyle name="Total 2 3 3 2 2 8" xfId="40101"/>
    <cellStyle name="Total 2 3 3 2 2 8 2" xfId="40102"/>
    <cellStyle name="Total 2 3 3 2 2 9" xfId="40103"/>
    <cellStyle name="Total 2 3 3 2 2 9 2" xfId="40104"/>
    <cellStyle name="Total 2 3 3 2 3" xfId="40105"/>
    <cellStyle name="Total 2 3 3 2 3 10" xfId="40106"/>
    <cellStyle name="Total 2 3 3 2 3 10 2" xfId="40107"/>
    <cellStyle name="Total 2 3 3 2 3 11" xfId="40108"/>
    <cellStyle name="Total 2 3 3 2 3 2" xfId="40109"/>
    <cellStyle name="Total 2 3 3 2 3 2 2" xfId="40110"/>
    <cellStyle name="Total 2 3 3 2 3 3" xfId="40111"/>
    <cellStyle name="Total 2 3 3 2 3 3 2" xfId="40112"/>
    <cellStyle name="Total 2 3 3 2 3 4" xfId="40113"/>
    <cellStyle name="Total 2 3 3 2 3 4 2" xfId="40114"/>
    <cellStyle name="Total 2 3 3 2 3 5" xfId="40115"/>
    <cellStyle name="Total 2 3 3 2 3 5 2" xfId="40116"/>
    <cellStyle name="Total 2 3 3 2 3 6" xfId="40117"/>
    <cellStyle name="Total 2 3 3 2 3 6 2" xfId="40118"/>
    <cellStyle name="Total 2 3 3 2 3 7" xfId="40119"/>
    <cellStyle name="Total 2 3 3 2 3 7 2" xfId="40120"/>
    <cellStyle name="Total 2 3 3 2 3 8" xfId="40121"/>
    <cellStyle name="Total 2 3 3 2 3 8 2" xfId="40122"/>
    <cellStyle name="Total 2 3 3 2 3 9" xfId="40123"/>
    <cellStyle name="Total 2 3 3 2 3 9 2" xfId="40124"/>
    <cellStyle name="Total 2 3 3 2 4" xfId="40125"/>
    <cellStyle name="Total 2 3 3 2 4 2" xfId="40126"/>
    <cellStyle name="Total 2 3 3 2 5" xfId="40127"/>
    <cellStyle name="Total 2 3 3 2 5 2" xfId="40128"/>
    <cellStyle name="Total 2 3 3 2 6" xfId="40129"/>
    <cellStyle name="Total 2 3 3 2 6 2" xfId="40130"/>
    <cellStyle name="Total 2 3 3 2 7" xfId="40131"/>
    <cellStyle name="Total 2 3 3 2 7 2" xfId="40132"/>
    <cellStyle name="Total 2 3 3 2 8" xfId="40133"/>
    <cellStyle name="Total 2 3 3 2 8 2" xfId="40134"/>
    <cellStyle name="Total 2 3 3 2 9" xfId="40135"/>
    <cellStyle name="Total 2 3 3 2 9 2" xfId="40136"/>
    <cellStyle name="Total 2 3 3 3" xfId="40137"/>
    <cellStyle name="Total 2 3 3 3 10" xfId="40138"/>
    <cellStyle name="Total 2 3 3 3 10 2" xfId="40139"/>
    <cellStyle name="Total 2 3 3 3 11" xfId="40140"/>
    <cellStyle name="Total 2 3 3 3 11 2" xfId="40141"/>
    <cellStyle name="Total 2 3 3 3 12" xfId="40142"/>
    <cellStyle name="Total 2 3 3 3 12 2" xfId="40143"/>
    <cellStyle name="Total 2 3 3 3 13" xfId="40144"/>
    <cellStyle name="Total 2 3 3 3 2" xfId="40145"/>
    <cellStyle name="Total 2 3 3 3 2 10" xfId="40146"/>
    <cellStyle name="Total 2 3 3 3 2 10 2" xfId="40147"/>
    <cellStyle name="Total 2 3 3 3 2 11" xfId="40148"/>
    <cellStyle name="Total 2 3 3 3 2 2" xfId="40149"/>
    <cellStyle name="Total 2 3 3 3 2 2 2" xfId="40150"/>
    <cellStyle name="Total 2 3 3 3 2 3" xfId="40151"/>
    <cellStyle name="Total 2 3 3 3 2 3 2" xfId="40152"/>
    <cellStyle name="Total 2 3 3 3 2 4" xfId="40153"/>
    <cellStyle name="Total 2 3 3 3 2 4 2" xfId="40154"/>
    <cellStyle name="Total 2 3 3 3 2 5" xfId="40155"/>
    <cellStyle name="Total 2 3 3 3 2 5 2" xfId="40156"/>
    <cellStyle name="Total 2 3 3 3 2 6" xfId="40157"/>
    <cellStyle name="Total 2 3 3 3 2 6 2" xfId="40158"/>
    <cellStyle name="Total 2 3 3 3 2 7" xfId="40159"/>
    <cellStyle name="Total 2 3 3 3 2 7 2" xfId="40160"/>
    <cellStyle name="Total 2 3 3 3 2 8" xfId="40161"/>
    <cellStyle name="Total 2 3 3 3 2 8 2" xfId="40162"/>
    <cellStyle name="Total 2 3 3 3 2 9" xfId="40163"/>
    <cellStyle name="Total 2 3 3 3 2 9 2" xfId="40164"/>
    <cellStyle name="Total 2 3 3 3 3" xfId="40165"/>
    <cellStyle name="Total 2 3 3 3 3 10" xfId="40166"/>
    <cellStyle name="Total 2 3 3 3 3 10 2" xfId="40167"/>
    <cellStyle name="Total 2 3 3 3 3 11" xfId="40168"/>
    <cellStyle name="Total 2 3 3 3 3 2" xfId="40169"/>
    <cellStyle name="Total 2 3 3 3 3 2 2" xfId="40170"/>
    <cellStyle name="Total 2 3 3 3 3 3" xfId="40171"/>
    <cellStyle name="Total 2 3 3 3 3 3 2" xfId="40172"/>
    <cellStyle name="Total 2 3 3 3 3 4" xfId="40173"/>
    <cellStyle name="Total 2 3 3 3 3 4 2" xfId="40174"/>
    <cellStyle name="Total 2 3 3 3 3 5" xfId="40175"/>
    <cellStyle name="Total 2 3 3 3 3 5 2" xfId="40176"/>
    <cellStyle name="Total 2 3 3 3 3 6" xfId="40177"/>
    <cellStyle name="Total 2 3 3 3 3 6 2" xfId="40178"/>
    <cellStyle name="Total 2 3 3 3 3 7" xfId="40179"/>
    <cellStyle name="Total 2 3 3 3 3 7 2" xfId="40180"/>
    <cellStyle name="Total 2 3 3 3 3 8" xfId="40181"/>
    <cellStyle name="Total 2 3 3 3 3 8 2" xfId="40182"/>
    <cellStyle name="Total 2 3 3 3 3 9" xfId="40183"/>
    <cellStyle name="Total 2 3 3 3 3 9 2" xfId="40184"/>
    <cellStyle name="Total 2 3 3 3 4" xfId="40185"/>
    <cellStyle name="Total 2 3 3 3 4 2" xfId="40186"/>
    <cellStyle name="Total 2 3 3 3 5" xfId="40187"/>
    <cellStyle name="Total 2 3 3 3 5 2" xfId="40188"/>
    <cellStyle name="Total 2 3 3 3 6" xfId="40189"/>
    <cellStyle name="Total 2 3 3 3 6 2" xfId="40190"/>
    <cellStyle name="Total 2 3 3 3 7" xfId="40191"/>
    <cellStyle name="Total 2 3 3 3 7 2" xfId="40192"/>
    <cellStyle name="Total 2 3 3 3 8" xfId="40193"/>
    <cellStyle name="Total 2 3 3 3 8 2" xfId="40194"/>
    <cellStyle name="Total 2 3 3 3 9" xfId="40195"/>
    <cellStyle name="Total 2 3 3 3 9 2" xfId="40196"/>
    <cellStyle name="Total 2 3 3 4" xfId="40197"/>
    <cellStyle name="Total 2 3 3 4 10" xfId="40198"/>
    <cellStyle name="Total 2 3 3 4 10 2" xfId="40199"/>
    <cellStyle name="Total 2 3 3 4 11" xfId="40200"/>
    <cellStyle name="Total 2 3 3 4 2" xfId="40201"/>
    <cellStyle name="Total 2 3 3 4 2 2" xfId="40202"/>
    <cellStyle name="Total 2 3 3 4 3" xfId="40203"/>
    <cellStyle name="Total 2 3 3 4 3 2" xfId="40204"/>
    <cellStyle name="Total 2 3 3 4 4" xfId="40205"/>
    <cellStyle name="Total 2 3 3 4 4 2" xfId="40206"/>
    <cellStyle name="Total 2 3 3 4 5" xfId="40207"/>
    <cellStyle name="Total 2 3 3 4 5 2" xfId="40208"/>
    <cellStyle name="Total 2 3 3 4 6" xfId="40209"/>
    <cellStyle name="Total 2 3 3 4 6 2" xfId="40210"/>
    <cellStyle name="Total 2 3 3 4 7" xfId="40211"/>
    <cellStyle name="Total 2 3 3 4 7 2" xfId="40212"/>
    <cellStyle name="Total 2 3 3 4 8" xfId="40213"/>
    <cellStyle name="Total 2 3 3 4 8 2" xfId="40214"/>
    <cellStyle name="Total 2 3 3 4 9" xfId="40215"/>
    <cellStyle name="Total 2 3 3 4 9 2" xfId="40216"/>
    <cellStyle name="Total 2 3 3 5" xfId="40217"/>
    <cellStyle name="Total 2 3 3 5 10" xfId="40218"/>
    <cellStyle name="Total 2 3 3 5 10 2" xfId="40219"/>
    <cellStyle name="Total 2 3 3 5 11" xfId="40220"/>
    <cellStyle name="Total 2 3 3 5 2" xfId="40221"/>
    <cellStyle name="Total 2 3 3 5 2 2" xfId="40222"/>
    <cellStyle name="Total 2 3 3 5 3" xfId="40223"/>
    <cellStyle name="Total 2 3 3 5 3 2" xfId="40224"/>
    <cellStyle name="Total 2 3 3 5 4" xfId="40225"/>
    <cellStyle name="Total 2 3 3 5 4 2" xfId="40226"/>
    <cellStyle name="Total 2 3 3 5 5" xfId="40227"/>
    <cellStyle name="Total 2 3 3 5 5 2" xfId="40228"/>
    <cellStyle name="Total 2 3 3 5 6" xfId="40229"/>
    <cellStyle name="Total 2 3 3 5 6 2" xfId="40230"/>
    <cellStyle name="Total 2 3 3 5 7" xfId="40231"/>
    <cellStyle name="Total 2 3 3 5 7 2" xfId="40232"/>
    <cellStyle name="Total 2 3 3 5 8" xfId="40233"/>
    <cellStyle name="Total 2 3 3 5 8 2" xfId="40234"/>
    <cellStyle name="Total 2 3 3 5 9" xfId="40235"/>
    <cellStyle name="Total 2 3 3 5 9 2" xfId="40236"/>
    <cellStyle name="Total 2 3 3 6" xfId="40237"/>
    <cellStyle name="Total 2 3 3 6 2" xfId="40238"/>
    <cellStyle name="Total 2 3 3 7" xfId="40239"/>
    <cellStyle name="Total 2 3 3 7 2" xfId="40240"/>
    <cellStyle name="Total 2 3 3 8" xfId="40241"/>
    <cellStyle name="Total 2 3 3 8 2" xfId="40242"/>
    <cellStyle name="Total 2 3 3 9" xfId="40243"/>
    <cellStyle name="Total 2 3 3 9 2" xfId="40244"/>
    <cellStyle name="Total 2 3 4" xfId="40245"/>
    <cellStyle name="Total 2 3 4 10" xfId="40246"/>
    <cellStyle name="Total 2 3 4 10 2" xfId="40247"/>
    <cellStyle name="Total 2 3 4 11" xfId="40248"/>
    <cellStyle name="Total 2 3 4 11 2" xfId="40249"/>
    <cellStyle name="Total 2 3 4 12" xfId="40250"/>
    <cellStyle name="Total 2 3 4 12 2" xfId="40251"/>
    <cellStyle name="Total 2 3 4 13" xfId="40252"/>
    <cellStyle name="Total 2 3 4 2" xfId="40253"/>
    <cellStyle name="Total 2 3 4 2 10" xfId="40254"/>
    <cellStyle name="Total 2 3 4 2 10 2" xfId="40255"/>
    <cellStyle name="Total 2 3 4 2 11" xfId="40256"/>
    <cellStyle name="Total 2 3 4 2 2" xfId="40257"/>
    <cellStyle name="Total 2 3 4 2 2 2" xfId="40258"/>
    <cellStyle name="Total 2 3 4 2 3" xfId="40259"/>
    <cellStyle name="Total 2 3 4 2 3 2" xfId="40260"/>
    <cellStyle name="Total 2 3 4 2 4" xfId="40261"/>
    <cellStyle name="Total 2 3 4 2 4 2" xfId="40262"/>
    <cellStyle name="Total 2 3 4 2 5" xfId="40263"/>
    <cellStyle name="Total 2 3 4 2 5 2" xfId="40264"/>
    <cellStyle name="Total 2 3 4 2 6" xfId="40265"/>
    <cellStyle name="Total 2 3 4 2 6 2" xfId="40266"/>
    <cellStyle name="Total 2 3 4 2 7" xfId="40267"/>
    <cellStyle name="Total 2 3 4 2 7 2" xfId="40268"/>
    <cellStyle name="Total 2 3 4 2 8" xfId="40269"/>
    <cellStyle name="Total 2 3 4 2 8 2" xfId="40270"/>
    <cellStyle name="Total 2 3 4 2 9" xfId="40271"/>
    <cellStyle name="Total 2 3 4 2 9 2" xfId="40272"/>
    <cellStyle name="Total 2 3 4 3" xfId="40273"/>
    <cellStyle name="Total 2 3 4 3 10" xfId="40274"/>
    <cellStyle name="Total 2 3 4 3 10 2" xfId="40275"/>
    <cellStyle name="Total 2 3 4 3 11" xfId="40276"/>
    <cellStyle name="Total 2 3 4 3 2" xfId="40277"/>
    <cellStyle name="Total 2 3 4 3 2 2" xfId="40278"/>
    <cellStyle name="Total 2 3 4 3 3" xfId="40279"/>
    <cellStyle name="Total 2 3 4 3 3 2" xfId="40280"/>
    <cellStyle name="Total 2 3 4 3 4" xfId="40281"/>
    <cellStyle name="Total 2 3 4 3 4 2" xfId="40282"/>
    <cellStyle name="Total 2 3 4 3 5" xfId="40283"/>
    <cellStyle name="Total 2 3 4 3 5 2" xfId="40284"/>
    <cellStyle name="Total 2 3 4 3 6" xfId="40285"/>
    <cellStyle name="Total 2 3 4 3 6 2" xfId="40286"/>
    <cellStyle name="Total 2 3 4 3 7" xfId="40287"/>
    <cellStyle name="Total 2 3 4 3 7 2" xfId="40288"/>
    <cellStyle name="Total 2 3 4 3 8" xfId="40289"/>
    <cellStyle name="Total 2 3 4 3 8 2" xfId="40290"/>
    <cellStyle name="Total 2 3 4 3 9" xfId="40291"/>
    <cellStyle name="Total 2 3 4 3 9 2" xfId="40292"/>
    <cellStyle name="Total 2 3 4 4" xfId="40293"/>
    <cellStyle name="Total 2 3 4 4 2" xfId="40294"/>
    <cellStyle name="Total 2 3 4 5" xfId="40295"/>
    <cellStyle name="Total 2 3 4 5 2" xfId="40296"/>
    <cellStyle name="Total 2 3 4 6" xfId="40297"/>
    <cellStyle name="Total 2 3 4 6 2" xfId="40298"/>
    <cellStyle name="Total 2 3 4 7" xfId="40299"/>
    <cellStyle name="Total 2 3 4 7 2" xfId="40300"/>
    <cellStyle name="Total 2 3 4 8" xfId="40301"/>
    <cellStyle name="Total 2 3 4 8 2" xfId="40302"/>
    <cellStyle name="Total 2 3 4 9" xfId="40303"/>
    <cellStyle name="Total 2 3 4 9 2" xfId="40304"/>
    <cellStyle name="Total 2 3 5" xfId="40305"/>
    <cellStyle name="Total 2 3 5 10" xfId="40306"/>
    <cellStyle name="Total 2 3 5 10 2" xfId="40307"/>
    <cellStyle name="Total 2 3 5 11" xfId="40308"/>
    <cellStyle name="Total 2 3 5 11 2" xfId="40309"/>
    <cellStyle name="Total 2 3 5 12" xfId="40310"/>
    <cellStyle name="Total 2 3 5 12 2" xfId="40311"/>
    <cellStyle name="Total 2 3 5 13" xfId="40312"/>
    <cellStyle name="Total 2 3 5 2" xfId="40313"/>
    <cellStyle name="Total 2 3 5 2 10" xfId="40314"/>
    <cellStyle name="Total 2 3 5 2 10 2" xfId="40315"/>
    <cellStyle name="Total 2 3 5 2 11" xfId="40316"/>
    <cellStyle name="Total 2 3 5 2 2" xfId="40317"/>
    <cellStyle name="Total 2 3 5 2 2 2" xfId="40318"/>
    <cellStyle name="Total 2 3 5 2 3" xfId="40319"/>
    <cellStyle name="Total 2 3 5 2 3 2" xfId="40320"/>
    <cellStyle name="Total 2 3 5 2 4" xfId="40321"/>
    <cellStyle name="Total 2 3 5 2 4 2" xfId="40322"/>
    <cellStyle name="Total 2 3 5 2 5" xfId="40323"/>
    <cellStyle name="Total 2 3 5 2 5 2" xfId="40324"/>
    <cellStyle name="Total 2 3 5 2 6" xfId="40325"/>
    <cellStyle name="Total 2 3 5 2 6 2" xfId="40326"/>
    <cellStyle name="Total 2 3 5 2 7" xfId="40327"/>
    <cellStyle name="Total 2 3 5 2 7 2" xfId="40328"/>
    <cellStyle name="Total 2 3 5 2 8" xfId="40329"/>
    <cellStyle name="Total 2 3 5 2 8 2" xfId="40330"/>
    <cellStyle name="Total 2 3 5 2 9" xfId="40331"/>
    <cellStyle name="Total 2 3 5 2 9 2" xfId="40332"/>
    <cellStyle name="Total 2 3 5 3" xfId="40333"/>
    <cellStyle name="Total 2 3 5 3 10" xfId="40334"/>
    <cellStyle name="Total 2 3 5 3 10 2" xfId="40335"/>
    <cellStyle name="Total 2 3 5 3 11" xfId="40336"/>
    <cellStyle name="Total 2 3 5 3 2" xfId="40337"/>
    <cellStyle name="Total 2 3 5 3 2 2" xfId="40338"/>
    <cellStyle name="Total 2 3 5 3 3" xfId="40339"/>
    <cellStyle name="Total 2 3 5 3 3 2" xfId="40340"/>
    <cellStyle name="Total 2 3 5 3 4" xfId="40341"/>
    <cellStyle name="Total 2 3 5 3 4 2" xfId="40342"/>
    <cellStyle name="Total 2 3 5 3 5" xfId="40343"/>
    <cellStyle name="Total 2 3 5 3 5 2" xfId="40344"/>
    <cellStyle name="Total 2 3 5 3 6" xfId="40345"/>
    <cellStyle name="Total 2 3 5 3 6 2" xfId="40346"/>
    <cellStyle name="Total 2 3 5 3 7" xfId="40347"/>
    <cellStyle name="Total 2 3 5 3 7 2" xfId="40348"/>
    <cellStyle name="Total 2 3 5 3 8" xfId="40349"/>
    <cellStyle name="Total 2 3 5 3 8 2" xfId="40350"/>
    <cellStyle name="Total 2 3 5 3 9" xfId="40351"/>
    <cellStyle name="Total 2 3 5 3 9 2" xfId="40352"/>
    <cellStyle name="Total 2 3 5 4" xfId="40353"/>
    <cellStyle name="Total 2 3 5 4 2" xfId="40354"/>
    <cellStyle name="Total 2 3 5 5" xfId="40355"/>
    <cellStyle name="Total 2 3 5 5 2" xfId="40356"/>
    <cellStyle name="Total 2 3 5 6" xfId="40357"/>
    <cellStyle name="Total 2 3 5 6 2" xfId="40358"/>
    <cellStyle name="Total 2 3 5 7" xfId="40359"/>
    <cellStyle name="Total 2 3 5 7 2" xfId="40360"/>
    <cellStyle name="Total 2 3 5 8" xfId="40361"/>
    <cellStyle name="Total 2 3 5 8 2" xfId="40362"/>
    <cellStyle name="Total 2 3 5 9" xfId="40363"/>
    <cellStyle name="Total 2 3 5 9 2" xfId="40364"/>
    <cellStyle name="Total 2 3 6" xfId="40365"/>
    <cellStyle name="Total 2 3 6 2" xfId="40366"/>
    <cellStyle name="Total 2 3 7" xfId="40367"/>
    <cellStyle name="Total 2 3 7 2" xfId="40368"/>
    <cellStyle name="Total 2 3 8" xfId="40369"/>
    <cellStyle name="Total 2 3 8 2" xfId="40370"/>
    <cellStyle name="Total 2 3 9" xfId="40371"/>
    <cellStyle name="Total 2 3 9 2" xfId="40372"/>
    <cellStyle name="Total 2 4" xfId="40373"/>
    <cellStyle name="Total 2 4 10" xfId="40374"/>
    <cellStyle name="Total 2 4 10 2" xfId="40375"/>
    <cellStyle name="Total 2 4 11" xfId="40376"/>
    <cellStyle name="Total 2 4 11 2" xfId="40377"/>
    <cellStyle name="Total 2 4 12" xfId="40378"/>
    <cellStyle name="Total 2 4 12 2" xfId="40379"/>
    <cellStyle name="Total 2 4 13" xfId="40380"/>
    <cellStyle name="Total 2 4 13 2" xfId="40381"/>
    <cellStyle name="Total 2 4 14" xfId="40382"/>
    <cellStyle name="Total 2 4 14 2" xfId="40383"/>
    <cellStyle name="Total 2 4 15" xfId="40384"/>
    <cellStyle name="Total 2 4 2" xfId="40385"/>
    <cellStyle name="Total 2 4 2 10" xfId="40386"/>
    <cellStyle name="Total 2 4 2 10 2" xfId="40387"/>
    <cellStyle name="Total 2 4 2 11" xfId="40388"/>
    <cellStyle name="Total 2 4 2 11 2" xfId="40389"/>
    <cellStyle name="Total 2 4 2 12" xfId="40390"/>
    <cellStyle name="Total 2 4 2 12 2" xfId="40391"/>
    <cellStyle name="Total 2 4 2 13" xfId="40392"/>
    <cellStyle name="Total 2 4 2 2" xfId="40393"/>
    <cellStyle name="Total 2 4 2 2 10" xfId="40394"/>
    <cellStyle name="Total 2 4 2 2 10 2" xfId="40395"/>
    <cellStyle name="Total 2 4 2 2 11" xfId="40396"/>
    <cellStyle name="Total 2 4 2 2 2" xfId="40397"/>
    <cellStyle name="Total 2 4 2 2 2 2" xfId="40398"/>
    <cellStyle name="Total 2 4 2 2 3" xfId="40399"/>
    <cellStyle name="Total 2 4 2 2 3 2" xfId="40400"/>
    <cellStyle name="Total 2 4 2 2 4" xfId="40401"/>
    <cellStyle name="Total 2 4 2 2 4 2" xfId="40402"/>
    <cellStyle name="Total 2 4 2 2 5" xfId="40403"/>
    <cellStyle name="Total 2 4 2 2 5 2" xfId="40404"/>
    <cellStyle name="Total 2 4 2 2 6" xfId="40405"/>
    <cellStyle name="Total 2 4 2 2 6 2" xfId="40406"/>
    <cellStyle name="Total 2 4 2 2 7" xfId="40407"/>
    <cellStyle name="Total 2 4 2 2 7 2" xfId="40408"/>
    <cellStyle name="Total 2 4 2 2 8" xfId="40409"/>
    <cellStyle name="Total 2 4 2 2 8 2" xfId="40410"/>
    <cellStyle name="Total 2 4 2 2 9" xfId="40411"/>
    <cellStyle name="Total 2 4 2 2 9 2" xfId="40412"/>
    <cellStyle name="Total 2 4 2 3" xfId="40413"/>
    <cellStyle name="Total 2 4 2 3 10" xfId="40414"/>
    <cellStyle name="Total 2 4 2 3 10 2" xfId="40415"/>
    <cellStyle name="Total 2 4 2 3 11" xfId="40416"/>
    <cellStyle name="Total 2 4 2 3 2" xfId="40417"/>
    <cellStyle name="Total 2 4 2 3 2 2" xfId="40418"/>
    <cellStyle name="Total 2 4 2 3 3" xfId="40419"/>
    <cellStyle name="Total 2 4 2 3 3 2" xfId="40420"/>
    <cellStyle name="Total 2 4 2 3 4" xfId="40421"/>
    <cellStyle name="Total 2 4 2 3 4 2" xfId="40422"/>
    <cellStyle name="Total 2 4 2 3 5" xfId="40423"/>
    <cellStyle name="Total 2 4 2 3 5 2" xfId="40424"/>
    <cellStyle name="Total 2 4 2 3 6" xfId="40425"/>
    <cellStyle name="Total 2 4 2 3 6 2" xfId="40426"/>
    <cellStyle name="Total 2 4 2 3 7" xfId="40427"/>
    <cellStyle name="Total 2 4 2 3 7 2" xfId="40428"/>
    <cellStyle name="Total 2 4 2 3 8" xfId="40429"/>
    <cellStyle name="Total 2 4 2 3 8 2" xfId="40430"/>
    <cellStyle name="Total 2 4 2 3 9" xfId="40431"/>
    <cellStyle name="Total 2 4 2 3 9 2" xfId="40432"/>
    <cellStyle name="Total 2 4 2 4" xfId="40433"/>
    <cellStyle name="Total 2 4 2 4 2" xfId="40434"/>
    <cellStyle name="Total 2 4 2 5" xfId="40435"/>
    <cellStyle name="Total 2 4 2 5 2" xfId="40436"/>
    <cellStyle name="Total 2 4 2 6" xfId="40437"/>
    <cellStyle name="Total 2 4 2 6 2" xfId="40438"/>
    <cellStyle name="Total 2 4 2 7" xfId="40439"/>
    <cellStyle name="Total 2 4 2 7 2" xfId="40440"/>
    <cellStyle name="Total 2 4 2 8" xfId="40441"/>
    <cellStyle name="Total 2 4 2 8 2" xfId="40442"/>
    <cellStyle name="Total 2 4 2 9" xfId="40443"/>
    <cellStyle name="Total 2 4 2 9 2" xfId="40444"/>
    <cellStyle name="Total 2 4 3" xfId="40445"/>
    <cellStyle name="Total 2 4 3 10" xfId="40446"/>
    <cellStyle name="Total 2 4 3 10 2" xfId="40447"/>
    <cellStyle name="Total 2 4 3 11" xfId="40448"/>
    <cellStyle name="Total 2 4 3 11 2" xfId="40449"/>
    <cellStyle name="Total 2 4 3 12" xfId="40450"/>
    <cellStyle name="Total 2 4 3 12 2" xfId="40451"/>
    <cellStyle name="Total 2 4 3 13" xfId="40452"/>
    <cellStyle name="Total 2 4 3 2" xfId="40453"/>
    <cellStyle name="Total 2 4 3 2 10" xfId="40454"/>
    <cellStyle name="Total 2 4 3 2 10 2" xfId="40455"/>
    <cellStyle name="Total 2 4 3 2 11" xfId="40456"/>
    <cellStyle name="Total 2 4 3 2 2" xfId="40457"/>
    <cellStyle name="Total 2 4 3 2 2 2" xfId="40458"/>
    <cellStyle name="Total 2 4 3 2 3" xfId="40459"/>
    <cellStyle name="Total 2 4 3 2 3 2" xfId="40460"/>
    <cellStyle name="Total 2 4 3 2 4" xfId="40461"/>
    <cellStyle name="Total 2 4 3 2 4 2" xfId="40462"/>
    <cellStyle name="Total 2 4 3 2 5" xfId="40463"/>
    <cellStyle name="Total 2 4 3 2 5 2" xfId="40464"/>
    <cellStyle name="Total 2 4 3 2 6" xfId="40465"/>
    <cellStyle name="Total 2 4 3 2 6 2" xfId="40466"/>
    <cellStyle name="Total 2 4 3 2 7" xfId="40467"/>
    <cellStyle name="Total 2 4 3 2 7 2" xfId="40468"/>
    <cellStyle name="Total 2 4 3 2 8" xfId="40469"/>
    <cellStyle name="Total 2 4 3 2 8 2" xfId="40470"/>
    <cellStyle name="Total 2 4 3 2 9" xfId="40471"/>
    <cellStyle name="Total 2 4 3 2 9 2" xfId="40472"/>
    <cellStyle name="Total 2 4 3 3" xfId="40473"/>
    <cellStyle name="Total 2 4 3 3 10" xfId="40474"/>
    <cellStyle name="Total 2 4 3 3 10 2" xfId="40475"/>
    <cellStyle name="Total 2 4 3 3 11" xfId="40476"/>
    <cellStyle name="Total 2 4 3 3 2" xfId="40477"/>
    <cellStyle name="Total 2 4 3 3 2 2" xfId="40478"/>
    <cellStyle name="Total 2 4 3 3 3" xfId="40479"/>
    <cellStyle name="Total 2 4 3 3 3 2" xfId="40480"/>
    <cellStyle name="Total 2 4 3 3 4" xfId="40481"/>
    <cellStyle name="Total 2 4 3 3 4 2" xfId="40482"/>
    <cellStyle name="Total 2 4 3 3 5" xfId="40483"/>
    <cellStyle name="Total 2 4 3 3 5 2" xfId="40484"/>
    <cellStyle name="Total 2 4 3 3 6" xfId="40485"/>
    <cellStyle name="Total 2 4 3 3 6 2" xfId="40486"/>
    <cellStyle name="Total 2 4 3 3 7" xfId="40487"/>
    <cellStyle name="Total 2 4 3 3 7 2" xfId="40488"/>
    <cellStyle name="Total 2 4 3 3 8" xfId="40489"/>
    <cellStyle name="Total 2 4 3 3 8 2" xfId="40490"/>
    <cellStyle name="Total 2 4 3 3 9" xfId="40491"/>
    <cellStyle name="Total 2 4 3 3 9 2" xfId="40492"/>
    <cellStyle name="Total 2 4 3 4" xfId="40493"/>
    <cellStyle name="Total 2 4 3 4 2" xfId="40494"/>
    <cellStyle name="Total 2 4 3 5" xfId="40495"/>
    <cellStyle name="Total 2 4 3 5 2" xfId="40496"/>
    <cellStyle name="Total 2 4 3 6" xfId="40497"/>
    <cellStyle name="Total 2 4 3 6 2" xfId="40498"/>
    <cellStyle name="Total 2 4 3 7" xfId="40499"/>
    <cellStyle name="Total 2 4 3 7 2" xfId="40500"/>
    <cellStyle name="Total 2 4 3 8" xfId="40501"/>
    <cellStyle name="Total 2 4 3 8 2" xfId="40502"/>
    <cellStyle name="Total 2 4 3 9" xfId="40503"/>
    <cellStyle name="Total 2 4 3 9 2" xfId="40504"/>
    <cellStyle name="Total 2 4 4" xfId="40505"/>
    <cellStyle name="Total 2 4 4 10" xfId="40506"/>
    <cellStyle name="Total 2 4 4 10 2" xfId="40507"/>
    <cellStyle name="Total 2 4 4 11" xfId="40508"/>
    <cellStyle name="Total 2 4 4 2" xfId="40509"/>
    <cellStyle name="Total 2 4 4 2 2" xfId="40510"/>
    <cellStyle name="Total 2 4 4 3" xfId="40511"/>
    <cellStyle name="Total 2 4 4 3 2" xfId="40512"/>
    <cellStyle name="Total 2 4 4 4" xfId="40513"/>
    <cellStyle name="Total 2 4 4 4 2" xfId="40514"/>
    <cellStyle name="Total 2 4 4 5" xfId="40515"/>
    <cellStyle name="Total 2 4 4 5 2" xfId="40516"/>
    <cellStyle name="Total 2 4 4 6" xfId="40517"/>
    <cellStyle name="Total 2 4 4 6 2" xfId="40518"/>
    <cellStyle name="Total 2 4 4 7" xfId="40519"/>
    <cellStyle name="Total 2 4 4 7 2" xfId="40520"/>
    <cellStyle name="Total 2 4 4 8" xfId="40521"/>
    <cellStyle name="Total 2 4 4 8 2" xfId="40522"/>
    <cellStyle name="Total 2 4 4 9" xfId="40523"/>
    <cellStyle name="Total 2 4 4 9 2" xfId="40524"/>
    <cellStyle name="Total 2 4 5" xfId="40525"/>
    <cellStyle name="Total 2 4 5 10" xfId="40526"/>
    <cellStyle name="Total 2 4 5 10 2" xfId="40527"/>
    <cellStyle name="Total 2 4 5 11" xfId="40528"/>
    <cellStyle name="Total 2 4 5 2" xfId="40529"/>
    <cellStyle name="Total 2 4 5 2 2" xfId="40530"/>
    <cellStyle name="Total 2 4 5 3" xfId="40531"/>
    <cellStyle name="Total 2 4 5 3 2" xfId="40532"/>
    <cellStyle name="Total 2 4 5 4" xfId="40533"/>
    <cellStyle name="Total 2 4 5 4 2" xfId="40534"/>
    <cellStyle name="Total 2 4 5 5" xfId="40535"/>
    <cellStyle name="Total 2 4 5 5 2" xfId="40536"/>
    <cellStyle name="Total 2 4 5 6" xfId="40537"/>
    <cellStyle name="Total 2 4 5 6 2" xfId="40538"/>
    <cellStyle name="Total 2 4 5 7" xfId="40539"/>
    <cellStyle name="Total 2 4 5 7 2" xfId="40540"/>
    <cellStyle name="Total 2 4 5 8" xfId="40541"/>
    <cellStyle name="Total 2 4 5 8 2" xfId="40542"/>
    <cellStyle name="Total 2 4 5 9" xfId="40543"/>
    <cellStyle name="Total 2 4 5 9 2" xfId="40544"/>
    <cellStyle name="Total 2 4 6" xfId="40545"/>
    <cellStyle name="Total 2 4 6 2" xfId="40546"/>
    <cellStyle name="Total 2 4 7" xfId="40547"/>
    <cellStyle name="Total 2 4 7 2" xfId="40548"/>
    <cellStyle name="Total 2 4 8" xfId="40549"/>
    <cellStyle name="Total 2 4 8 2" xfId="40550"/>
    <cellStyle name="Total 2 4 9" xfId="40551"/>
    <cellStyle name="Total 2 4 9 2" xfId="40552"/>
    <cellStyle name="Total 2 5" xfId="40553"/>
    <cellStyle name="Total 2 5 10" xfId="40554"/>
    <cellStyle name="Total 2 5 10 2" xfId="40555"/>
    <cellStyle name="Total 2 5 11" xfId="40556"/>
    <cellStyle name="Total 2 5 11 2" xfId="40557"/>
    <cellStyle name="Total 2 5 12" xfId="40558"/>
    <cellStyle name="Total 2 5 12 2" xfId="40559"/>
    <cellStyle name="Total 2 5 13" xfId="40560"/>
    <cellStyle name="Total 2 5 13 2" xfId="40561"/>
    <cellStyle name="Total 2 5 14" xfId="40562"/>
    <cellStyle name="Total 2 5 14 2" xfId="40563"/>
    <cellStyle name="Total 2 5 15" xfId="40564"/>
    <cellStyle name="Total 2 5 2" xfId="40565"/>
    <cellStyle name="Total 2 5 2 10" xfId="40566"/>
    <cellStyle name="Total 2 5 2 10 2" xfId="40567"/>
    <cellStyle name="Total 2 5 2 11" xfId="40568"/>
    <cellStyle name="Total 2 5 2 11 2" xfId="40569"/>
    <cellStyle name="Total 2 5 2 12" xfId="40570"/>
    <cellStyle name="Total 2 5 2 12 2" xfId="40571"/>
    <cellStyle name="Total 2 5 2 13" xfId="40572"/>
    <cellStyle name="Total 2 5 2 2" xfId="40573"/>
    <cellStyle name="Total 2 5 2 2 10" xfId="40574"/>
    <cellStyle name="Total 2 5 2 2 10 2" xfId="40575"/>
    <cellStyle name="Total 2 5 2 2 11" xfId="40576"/>
    <cellStyle name="Total 2 5 2 2 2" xfId="40577"/>
    <cellStyle name="Total 2 5 2 2 2 2" xfId="40578"/>
    <cellStyle name="Total 2 5 2 2 3" xfId="40579"/>
    <cellStyle name="Total 2 5 2 2 3 2" xfId="40580"/>
    <cellStyle name="Total 2 5 2 2 4" xfId="40581"/>
    <cellStyle name="Total 2 5 2 2 4 2" xfId="40582"/>
    <cellStyle name="Total 2 5 2 2 5" xfId="40583"/>
    <cellStyle name="Total 2 5 2 2 5 2" xfId="40584"/>
    <cellStyle name="Total 2 5 2 2 6" xfId="40585"/>
    <cellStyle name="Total 2 5 2 2 6 2" xfId="40586"/>
    <cellStyle name="Total 2 5 2 2 7" xfId="40587"/>
    <cellStyle name="Total 2 5 2 2 7 2" xfId="40588"/>
    <cellStyle name="Total 2 5 2 2 8" xfId="40589"/>
    <cellStyle name="Total 2 5 2 2 8 2" xfId="40590"/>
    <cellStyle name="Total 2 5 2 2 9" xfId="40591"/>
    <cellStyle name="Total 2 5 2 2 9 2" xfId="40592"/>
    <cellStyle name="Total 2 5 2 3" xfId="40593"/>
    <cellStyle name="Total 2 5 2 3 10" xfId="40594"/>
    <cellStyle name="Total 2 5 2 3 10 2" xfId="40595"/>
    <cellStyle name="Total 2 5 2 3 11" xfId="40596"/>
    <cellStyle name="Total 2 5 2 3 2" xfId="40597"/>
    <cellStyle name="Total 2 5 2 3 2 2" xfId="40598"/>
    <cellStyle name="Total 2 5 2 3 3" xfId="40599"/>
    <cellStyle name="Total 2 5 2 3 3 2" xfId="40600"/>
    <cellStyle name="Total 2 5 2 3 4" xfId="40601"/>
    <cellStyle name="Total 2 5 2 3 4 2" xfId="40602"/>
    <cellStyle name="Total 2 5 2 3 5" xfId="40603"/>
    <cellStyle name="Total 2 5 2 3 5 2" xfId="40604"/>
    <cellStyle name="Total 2 5 2 3 6" xfId="40605"/>
    <cellStyle name="Total 2 5 2 3 6 2" xfId="40606"/>
    <cellStyle name="Total 2 5 2 3 7" xfId="40607"/>
    <cellStyle name="Total 2 5 2 3 7 2" xfId="40608"/>
    <cellStyle name="Total 2 5 2 3 8" xfId="40609"/>
    <cellStyle name="Total 2 5 2 3 8 2" xfId="40610"/>
    <cellStyle name="Total 2 5 2 3 9" xfId="40611"/>
    <cellStyle name="Total 2 5 2 3 9 2" xfId="40612"/>
    <cellStyle name="Total 2 5 2 4" xfId="40613"/>
    <cellStyle name="Total 2 5 2 4 2" xfId="40614"/>
    <cellStyle name="Total 2 5 2 5" xfId="40615"/>
    <cellStyle name="Total 2 5 2 5 2" xfId="40616"/>
    <cellStyle name="Total 2 5 2 6" xfId="40617"/>
    <cellStyle name="Total 2 5 2 6 2" xfId="40618"/>
    <cellStyle name="Total 2 5 2 7" xfId="40619"/>
    <cellStyle name="Total 2 5 2 7 2" xfId="40620"/>
    <cellStyle name="Total 2 5 2 8" xfId="40621"/>
    <cellStyle name="Total 2 5 2 8 2" xfId="40622"/>
    <cellStyle name="Total 2 5 2 9" xfId="40623"/>
    <cellStyle name="Total 2 5 2 9 2" xfId="40624"/>
    <cellStyle name="Total 2 5 3" xfId="40625"/>
    <cellStyle name="Total 2 5 3 10" xfId="40626"/>
    <cellStyle name="Total 2 5 3 10 2" xfId="40627"/>
    <cellStyle name="Total 2 5 3 11" xfId="40628"/>
    <cellStyle name="Total 2 5 3 11 2" xfId="40629"/>
    <cellStyle name="Total 2 5 3 12" xfId="40630"/>
    <cellStyle name="Total 2 5 3 12 2" xfId="40631"/>
    <cellStyle name="Total 2 5 3 13" xfId="40632"/>
    <cellStyle name="Total 2 5 3 2" xfId="40633"/>
    <cellStyle name="Total 2 5 3 2 10" xfId="40634"/>
    <cellStyle name="Total 2 5 3 2 10 2" xfId="40635"/>
    <cellStyle name="Total 2 5 3 2 11" xfId="40636"/>
    <cellStyle name="Total 2 5 3 2 2" xfId="40637"/>
    <cellStyle name="Total 2 5 3 2 2 2" xfId="40638"/>
    <cellStyle name="Total 2 5 3 2 3" xfId="40639"/>
    <cellStyle name="Total 2 5 3 2 3 2" xfId="40640"/>
    <cellStyle name="Total 2 5 3 2 4" xfId="40641"/>
    <cellStyle name="Total 2 5 3 2 4 2" xfId="40642"/>
    <cellStyle name="Total 2 5 3 2 5" xfId="40643"/>
    <cellStyle name="Total 2 5 3 2 5 2" xfId="40644"/>
    <cellStyle name="Total 2 5 3 2 6" xfId="40645"/>
    <cellStyle name="Total 2 5 3 2 6 2" xfId="40646"/>
    <cellStyle name="Total 2 5 3 2 7" xfId="40647"/>
    <cellStyle name="Total 2 5 3 2 7 2" xfId="40648"/>
    <cellStyle name="Total 2 5 3 2 8" xfId="40649"/>
    <cellStyle name="Total 2 5 3 2 8 2" xfId="40650"/>
    <cellStyle name="Total 2 5 3 2 9" xfId="40651"/>
    <cellStyle name="Total 2 5 3 2 9 2" xfId="40652"/>
    <cellStyle name="Total 2 5 3 3" xfId="40653"/>
    <cellStyle name="Total 2 5 3 3 10" xfId="40654"/>
    <cellStyle name="Total 2 5 3 3 10 2" xfId="40655"/>
    <cellStyle name="Total 2 5 3 3 11" xfId="40656"/>
    <cellStyle name="Total 2 5 3 3 2" xfId="40657"/>
    <cellStyle name="Total 2 5 3 3 2 2" xfId="40658"/>
    <cellStyle name="Total 2 5 3 3 3" xfId="40659"/>
    <cellStyle name="Total 2 5 3 3 3 2" xfId="40660"/>
    <cellStyle name="Total 2 5 3 3 4" xfId="40661"/>
    <cellStyle name="Total 2 5 3 3 4 2" xfId="40662"/>
    <cellStyle name="Total 2 5 3 3 5" xfId="40663"/>
    <cellStyle name="Total 2 5 3 3 5 2" xfId="40664"/>
    <cellStyle name="Total 2 5 3 3 6" xfId="40665"/>
    <cellStyle name="Total 2 5 3 3 6 2" xfId="40666"/>
    <cellStyle name="Total 2 5 3 3 7" xfId="40667"/>
    <cellStyle name="Total 2 5 3 3 7 2" xfId="40668"/>
    <cellStyle name="Total 2 5 3 3 8" xfId="40669"/>
    <cellStyle name="Total 2 5 3 3 8 2" xfId="40670"/>
    <cellStyle name="Total 2 5 3 3 9" xfId="40671"/>
    <cellStyle name="Total 2 5 3 3 9 2" xfId="40672"/>
    <cellStyle name="Total 2 5 3 4" xfId="40673"/>
    <cellStyle name="Total 2 5 3 4 2" xfId="40674"/>
    <cellStyle name="Total 2 5 3 5" xfId="40675"/>
    <cellStyle name="Total 2 5 3 5 2" xfId="40676"/>
    <cellStyle name="Total 2 5 3 6" xfId="40677"/>
    <cellStyle name="Total 2 5 3 6 2" xfId="40678"/>
    <cellStyle name="Total 2 5 3 7" xfId="40679"/>
    <cellStyle name="Total 2 5 3 7 2" xfId="40680"/>
    <cellStyle name="Total 2 5 3 8" xfId="40681"/>
    <cellStyle name="Total 2 5 3 8 2" xfId="40682"/>
    <cellStyle name="Total 2 5 3 9" xfId="40683"/>
    <cellStyle name="Total 2 5 3 9 2" xfId="40684"/>
    <cellStyle name="Total 2 5 4" xfId="40685"/>
    <cellStyle name="Total 2 5 4 10" xfId="40686"/>
    <cellStyle name="Total 2 5 4 10 2" xfId="40687"/>
    <cellStyle name="Total 2 5 4 11" xfId="40688"/>
    <cellStyle name="Total 2 5 4 2" xfId="40689"/>
    <cellStyle name="Total 2 5 4 2 2" xfId="40690"/>
    <cellStyle name="Total 2 5 4 3" xfId="40691"/>
    <cellStyle name="Total 2 5 4 3 2" xfId="40692"/>
    <cellStyle name="Total 2 5 4 4" xfId="40693"/>
    <cellStyle name="Total 2 5 4 4 2" xfId="40694"/>
    <cellStyle name="Total 2 5 4 5" xfId="40695"/>
    <cellStyle name="Total 2 5 4 5 2" xfId="40696"/>
    <cellStyle name="Total 2 5 4 6" xfId="40697"/>
    <cellStyle name="Total 2 5 4 6 2" xfId="40698"/>
    <cellStyle name="Total 2 5 4 7" xfId="40699"/>
    <cellStyle name="Total 2 5 4 7 2" xfId="40700"/>
    <cellStyle name="Total 2 5 4 8" xfId="40701"/>
    <cellStyle name="Total 2 5 4 8 2" xfId="40702"/>
    <cellStyle name="Total 2 5 4 9" xfId="40703"/>
    <cellStyle name="Total 2 5 4 9 2" xfId="40704"/>
    <cellStyle name="Total 2 5 5" xfId="40705"/>
    <cellStyle name="Total 2 5 5 10" xfId="40706"/>
    <cellStyle name="Total 2 5 5 10 2" xfId="40707"/>
    <cellStyle name="Total 2 5 5 11" xfId="40708"/>
    <cellStyle name="Total 2 5 5 2" xfId="40709"/>
    <cellStyle name="Total 2 5 5 2 2" xfId="40710"/>
    <cellStyle name="Total 2 5 5 3" xfId="40711"/>
    <cellStyle name="Total 2 5 5 3 2" xfId="40712"/>
    <cellStyle name="Total 2 5 5 4" xfId="40713"/>
    <cellStyle name="Total 2 5 5 4 2" xfId="40714"/>
    <cellStyle name="Total 2 5 5 5" xfId="40715"/>
    <cellStyle name="Total 2 5 5 5 2" xfId="40716"/>
    <cellStyle name="Total 2 5 5 6" xfId="40717"/>
    <cellStyle name="Total 2 5 5 6 2" xfId="40718"/>
    <cellStyle name="Total 2 5 5 7" xfId="40719"/>
    <cellStyle name="Total 2 5 5 7 2" xfId="40720"/>
    <cellStyle name="Total 2 5 5 8" xfId="40721"/>
    <cellStyle name="Total 2 5 5 8 2" xfId="40722"/>
    <cellStyle name="Total 2 5 5 9" xfId="40723"/>
    <cellStyle name="Total 2 5 5 9 2" xfId="40724"/>
    <cellStyle name="Total 2 5 6" xfId="40725"/>
    <cellStyle name="Total 2 5 6 2" xfId="40726"/>
    <cellStyle name="Total 2 5 7" xfId="40727"/>
    <cellStyle name="Total 2 5 7 2" xfId="40728"/>
    <cellStyle name="Total 2 5 8" xfId="40729"/>
    <cellStyle name="Total 2 5 8 2" xfId="40730"/>
    <cellStyle name="Total 2 5 9" xfId="40731"/>
    <cellStyle name="Total 2 5 9 2" xfId="40732"/>
    <cellStyle name="Total 2 6" xfId="40733"/>
    <cellStyle name="Total 2 6 10" xfId="40734"/>
    <cellStyle name="Total 2 6 10 2" xfId="40735"/>
    <cellStyle name="Total 2 6 11" xfId="40736"/>
    <cellStyle name="Total 2 6 11 2" xfId="40737"/>
    <cellStyle name="Total 2 6 12" xfId="40738"/>
    <cellStyle name="Total 2 6 12 2" xfId="40739"/>
    <cellStyle name="Total 2 6 13" xfId="40740"/>
    <cellStyle name="Total 2 6 13 2" xfId="40741"/>
    <cellStyle name="Total 2 6 14" xfId="40742"/>
    <cellStyle name="Total 2 6 14 2" xfId="40743"/>
    <cellStyle name="Total 2 6 15" xfId="40744"/>
    <cellStyle name="Total 2 6 2" xfId="40745"/>
    <cellStyle name="Total 2 6 2 10" xfId="40746"/>
    <cellStyle name="Total 2 6 2 10 2" xfId="40747"/>
    <cellStyle name="Total 2 6 2 11" xfId="40748"/>
    <cellStyle name="Total 2 6 2 11 2" xfId="40749"/>
    <cellStyle name="Total 2 6 2 12" xfId="40750"/>
    <cellStyle name="Total 2 6 2 12 2" xfId="40751"/>
    <cellStyle name="Total 2 6 2 13" xfId="40752"/>
    <cellStyle name="Total 2 6 2 2" xfId="40753"/>
    <cellStyle name="Total 2 6 2 2 10" xfId="40754"/>
    <cellStyle name="Total 2 6 2 2 10 2" xfId="40755"/>
    <cellStyle name="Total 2 6 2 2 11" xfId="40756"/>
    <cellStyle name="Total 2 6 2 2 2" xfId="40757"/>
    <cellStyle name="Total 2 6 2 2 2 2" xfId="40758"/>
    <cellStyle name="Total 2 6 2 2 3" xfId="40759"/>
    <cellStyle name="Total 2 6 2 2 3 2" xfId="40760"/>
    <cellStyle name="Total 2 6 2 2 4" xfId="40761"/>
    <cellStyle name="Total 2 6 2 2 4 2" xfId="40762"/>
    <cellStyle name="Total 2 6 2 2 5" xfId="40763"/>
    <cellStyle name="Total 2 6 2 2 5 2" xfId="40764"/>
    <cellStyle name="Total 2 6 2 2 6" xfId="40765"/>
    <cellStyle name="Total 2 6 2 2 6 2" xfId="40766"/>
    <cellStyle name="Total 2 6 2 2 7" xfId="40767"/>
    <cellStyle name="Total 2 6 2 2 7 2" xfId="40768"/>
    <cellStyle name="Total 2 6 2 2 8" xfId="40769"/>
    <cellStyle name="Total 2 6 2 2 8 2" xfId="40770"/>
    <cellStyle name="Total 2 6 2 2 9" xfId="40771"/>
    <cellStyle name="Total 2 6 2 2 9 2" xfId="40772"/>
    <cellStyle name="Total 2 6 2 3" xfId="40773"/>
    <cellStyle name="Total 2 6 2 3 10" xfId="40774"/>
    <cellStyle name="Total 2 6 2 3 10 2" xfId="40775"/>
    <cellStyle name="Total 2 6 2 3 11" xfId="40776"/>
    <cellStyle name="Total 2 6 2 3 2" xfId="40777"/>
    <cellStyle name="Total 2 6 2 3 2 2" xfId="40778"/>
    <cellStyle name="Total 2 6 2 3 3" xfId="40779"/>
    <cellStyle name="Total 2 6 2 3 3 2" xfId="40780"/>
    <cellStyle name="Total 2 6 2 3 4" xfId="40781"/>
    <cellStyle name="Total 2 6 2 3 4 2" xfId="40782"/>
    <cellStyle name="Total 2 6 2 3 5" xfId="40783"/>
    <cellStyle name="Total 2 6 2 3 5 2" xfId="40784"/>
    <cellStyle name="Total 2 6 2 3 6" xfId="40785"/>
    <cellStyle name="Total 2 6 2 3 6 2" xfId="40786"/>
    <cellStyle name="Total 2 6 2 3 7" xfId="40787"/>
    <cellStyle name="Total 2 6 2 3 7 2" xfId="40788"/>
    <cellStyle name="Total 2 6 2 3 8" xfId="40789"/>
    <cellStyle name="Total 2 6 2 3 8 2" xfId="40790"/>
    <cellStyle name="Total 2 6 2 3 9" xfId="40791"/>
    <cellStyle name="Total 2 6 2 3 9 2" xfId="40792"/>
    <cellStyle name="Total 2 6 2 4" xfId="40793"/>
    <cellStyle name="Total 2 6 2 4 2" xfId="40794"/>
    <cellStyle name="Total 2 6 2 5" xfId="40795"/>
    <cellStyle name="Total 2 6 2 5 2" xfId="40796"/>
    <cellStyle name="Total 2 6 2 6" xfId="40797"/>
    <cellStyle name="Total 2 6 2 6 2" xfId="40798"/>
    <cellStyle name="Total 2 6 2 7" xfId="40799"/>
    <cellStyle name="Total 2 6 2 7 2" xfId="40800"/>
    <cellStyle name="Total 2 6 2 8" xfId="40801"/>
    <cellStyle name="Total 2 6 2 8 2" xfId="40802"/>
    <cellStyle name="Total 2 6 2 9" xfId="40803"/>
    <cellStyle name="Total 2 6 2 9 2" xfId="40804"/>
    <cellStyle name="Total 2 6 3" xfId="40805"/>
    <cellStyle name="Total 2 6 3 10" xfId="40806"/>
    <cellStyle name="Total 2 6 3 10 2" xfId="40807"/>
    <cellStyle name="Total 2 6 3 11" xfId="40808"/>
    <cellStyle name="Total 2 6 3 11 2" xfId="40809"/>
    <cellStyle name="Total 2 6 3 12" xfId="40810"/>
    <cellStyle name="Total 2 6 3 12 2" xfId="40811"/>
    <cellStyle name="Total 2 6 3 13" xfId="40812"/>
    <cellStyle name="Total 2 6 3 2" xfId="40813"/>
    <cellStyle name="Total 2 6 3 2 10" xfId="40814"/>
    <cellStyle name="Total 2 6 3 2 10 2" xfId="40815"/>
    <cellStyle name="Total 2 6 3 2 11" xfId="40816"/>
    <cellStyle name="Total 2 6 3 2 2" xfId="40817"/>
    <cellStyle name="Total 2 6 3 2 2 2" xfId="40818"/>
    <cellStyle name="Total 2 6 3 2 3" xfId="40819"/>
    <cellStyle name="Total 2 6 3 2 3 2" xfId="40820"/>
    <cellStyle name="Total 2 6 3 2 4" xfId="40821"/>
    <cellStyle name="Total 2 6 3 2 4 2" xfId="40822"/>
    <cellStyle name="Total 2 6 3 2 5" xfId="40823"/>
    <cellStyle name="Total 2 6 3 2 5 2" xfId="40824"/>
    <cellStyle name="Total 2 6 3 2 6" xfId="40825"/>
    <cellStyle name="Total 2 6 3 2 6 2" xfId="40826"/>
    <cellStyle name="Total 2 6 3 2 7" xfId="40827"/>
    <cellStyle name="Total 2 6 3 2 7 2" xfId="40828"/>
    <cellStyle name="Total 2 6 3 2 8" xfId="40829"/>
    <cellStyle name="Total 2 6 3 2 8 2" xfId="40830"/>
    <cellStyle name="Total 2 6 3 2 9" xfId="40831"/>
    <cellStyle name="Total 2 6 3 2 9 2" xfId="40832"/>
    <cellStyle name="Total 2 6 3 3" xfId="40833"/>
    <cellStyle name="Total 2 6 3 3 10" xfId="40834"/>
    <cellStyle name="Total 2 6 3 3 10 2" xfId="40835"/>
    <cellStyle name="Total 2 6 3 3 11" xfId="40836"/>
    <cellStyle name="Total 2 6 3 3 2" xfId="40837"/>
    <cellStyle name="Total 2 6 3 3 2 2" xfId="40838"/>
    <cellStyle name="Total 2 6 3 3 3" xfId="40839"/>
    <cellStyle name="Total 2 6 3 3 3 2" xfId="40840"/>
    <cellStyle name="Total 2 6 3 3 4" xfId="40841"/>
    <cellStyle name="Total 2 6 3 3 4 2" xfId="40842"/>
    <cellStyle name="Total 2 6 3 3 5" xfId="40843"/>
    <cellStyle name="Total 2 6 3 3 5 2" xfId="40844"/>
    <cellStyle name="Total 2 6 3 3 6" xfId="40845"/>
    <cellStyle name="Total 2 6 3 3 6 2" xfId="40846"/>
    <cellStyle name="Total 2 6 3 3 7" xfId="40847"/>
    <cellStyle name="Total 2 6 3 3 7 2" xfId="40848"/>
    <cellStyle name="Total 2 6 3 3 8" xfId="40849"/>
    <cellStyle name="Total 2 6 3 3 8 2" xfId="40850"/>
    <cellStyle name="Total 2 6 3 3 9" xfId="40851"/>
    <cellStyle name="Total 2 6 3 3 9 2" xfId="40852"/>
    <cellStyle name="Total 2 6 3 4" xfId="40853"/>
    <cellStyle name="Total 2 6 3 4 2" xfId="40854"/>
    <cellStyle name="Total 2 6 3 5" xfId="40855"/>
    <cellStyle name="Total 2 6 3 5 2" xfId="40856"/>
    <cellStyle name="Total 2 6 3 6" xfId="40857"/>
    <cellStyle name="Total 2 6 3 6 2" xfId="40858"/>
    <cellStyle name="Total 2 6 3 7" xfId="40859"/>
    <cellStyle name="Total 2 6 3 7 2" xfId="40860"/>
    <cellStyle name="Total 2 6 3 8" xfId="40861"/>
    <cellStyle name="Total 2 6 3 8 2" xfId="40862"/>
    <cellStyle name="Total 2 6 3 9" xfId="40863"/>
    <cellStyle name="Total 2 6 3 9 2" xfId="40864"/>
    <cellStyle name="Total 2 6 4" xfId="40865"/>
    <cellStyle name="Total 2 6 4 10" xfId="40866"/>
    <cellStyle name="Total 2 6 4 10 2" xfId="40867"/>
    <cellStyle name="Total 2 6 4 11" xfId="40868"/>
    <cellStyle name="Total 2 6 4 2" xfId="40869"/>
    <cellStyle name="Total 2 6 4 2 2" xfId="40870"/>
    <cellStyle name="Total 2 6 4 3" xfId="40871"/>
    <cellStyle name="Total 2 6 4 3 2" xfId="40872"/>
    <cellStyle name="Total 2 6 4 4" xfId="40873"/>
    <cellStyle name="Total 2 6 4 4 2" xfId="40874"/>
    <cellStyle name="Total 2 6 4 5" xfId="40875"/>
    <cellStyle name="Total 2 6 4 5 2" xfId="40876"/>
    <cellStyle name="Total 2 6 4 6" xfId="40877"/>
    <cellStyle name="Total 2 6 4 6 2" xfId="40878"/>
    <cellStyle name="Total 2 6 4 7" xfId="40879"/>
    <cellStyle name="Total 2 6 4 7 2" xfId="40880"/>
    <cellStyle name="Total 2 6 4 8" xfId="40881"/>
    <cellStyle name="Total 2 6 4 8 2" xfId="40882"/>
    <cellStyle name="Total 2 6 4 9" xfId="40883"/>
    <cellStyle name="Total 2 6 4 9 2" xfId="40884"/>
    <cellStyle name="Total 2 6 5" xfId="40885"/>
    <cellStyle name="Total 2 6 5 10" xfId="40886"/>
    <cellStyle name="Total 2 6 5 10 2" xfId="40887"/>
    <cellStyle name="Total 2 6 5 11" xfId="40888"/>
    <cellStyle name="Total 2 6 5 2" xfId="40889"/>
    <cellStyle name="Total 2 6 5 2 2" xfId="40890"/>
    <cellStyle name="Total 2 6 5 3" xfId="40891"/>
    <cellStyle name="Total 2 6 5 3 2" xfId="40892"/>
    <cellStyle name="Total 2 6 5 4" xfId="40893"/>
    <cellStyle name="Total 2 6 5 4 2" xfId="40894"/>
    <cellStyle name="Total 2 6 5 5" xfId="40895"/>
    <cellStyle name="Total 2 6 5 5 2" xfId="40896"/>
    <cellStyle name="Total 2 6 5 6" xfId="40897"/>
    <cellStyle name="Total 2 6 5 6 2" xfId="40898"/>
    <cellStyle name="Total 2 6 5 7" xfId="40899"/>
    <cellStyle name="Total 2 6 5 7 2" xfId="40900"/>
    <cellStyle name="Total 2 6 5 8" xfId="40901"/>
    <cellStyle name="Total 2 6 5 8 2" xfId="40902"/>
    <cellStyle name="Total 2 6 5 9" xfId="40903"/>
    <cellStyle name="Total 2 6 5 9 2" xfId="40904"/>
    <cellStyle name="Total 2 6 6" xfId="40905"/>
    <cellStyle name="Total 2 6 6 2" xfId="40906"/>
    <cellStyle name="Total 2 6 7" xfId="40907"/>
    <cellStyle name="Total 2 6 7 2" xfId="40908"/>
    <cellStyle name="Total 2 6 8" xfId="40909"/>
    <cellStyle name="Total 2 6 8 2" xfId="40910"/>
    <cellStyle name="Total 2 6 9" xfId="40911"/>
    <cellStyle name="Total 2 6 9 2" xfId="40912"/>
    <cellStyle name="Total 2 7" xfId="40913"/>
    <cellStyle name="Total 2 7 10" xfId="40914"/>
    <cellStyle name="Total 2 7 10 2" xfId="40915"/>
    <cellStyle name="Total 2 7 11" xfId="40916"/>
    <cellStyle name="Total 2 7 11 2" xfId="40917"/>
    <cellStyle name="Total 2 7 12" xfId="40918"/>
    <cellStyle name="Total 2 7 12 2" xfId="40919"/>
    <cellStyle name="Total 2 7 13" xfId="40920"/>
    <cellStyle name="Total 2 7 2" xfId="40921"/>
    <cellStyle name="Total 2 7 2 10" xfId="40922"/>
    <cellStyle name="Total 2 7 2 10 2" xfId="40923"/>
    <cellStyle name="Total 2 7 2 11" xfId="40924"/>
    <cellStyle name="Total 2 7 2 2" xfId="40925"/>
    <cellStyle name="Total 2 7 2 2 2" xfId="40926"/>
    <cellStyle name="Total 2 7 2 3" xfId="40927"/>
    <cellStyle name="Total 2 7 2 3 2" xfId="40928"/>
    <cellStyle name="Total 2 7 2 4" xfId="40929"/>
    <cellStyle name="Total 2 7 2 4 2" xfId="40930"/>
    <cellStyle name="Total 2 7 2 5" xfId="40931"/>
    <cellStyle name="Total 2 7 2 5 2" xfId="40932"/>
    <cellStyle name="Total 2 7 2 6" xfId="40933"/>
    <cellStyle name="Total 2 7 2 6 2" xfId="40934"/>
    <cellStyle name="Total 2 7 2 7" xfId="40935"/>
    <cellStyle name="Total 2 7 2 7 2" xfId="40936"/>
    <cellStyle name="Total 2 7 2 8" xfId="40937"/>
    <cellStyle name="Total 2 7 2 8 2" xfId="40938"/>
    <cellStyle name="Total 2 7 2 9" xfId="40939"/>
    <cellStyle name="Total 2 7 2 9 2" xfId="40940"/>
    <cellStyle name="Total 2 7 3" xfId="40941"/>
    <cellStyle name="Total 2 7 3 10" xfId="40942"/>
    <cellStyle name="Total 2 7 3 10 2" xfId="40943"/>
    <cellStyle name="Total 2 7 3 11" xfId="40944"/>
    <cellStyle name="Total 2 7 3 2" xfId="40945"/>
    <cellStyle name="Total 2 7 3 2 2" xfId="40946"/>
    <cellStyle name="Total 2 7 3 3" xfId="40947"/>
    <cellStyle name="Total 2 7 3 3 2" xfId="40948"/>
    <cellStyle name="Total 2 7 3 4" xfId="40949"/>
    <cellStyle name="Total 2 7 3 4 2" xfId="40950"/>
    <cellStyle name="Total 2 7 3 5" xfId="40951"/>
    <cellStyle name="Total 2 7 3 5 2" xfId="40952"/>
    <cellStyle name="Total 2 7 3 6" xfId="40953"/>
    <cellStyle name="Total 2 7 3 6 2" xfId="40954"/>
    <cellStyle name="Total 2 7 3 7" xfId="40955"/>
    <cellStyle name="Total 2 7 3 7 2" xfId="40956"/>
    <cellStyle name="Total 2 7 3 8" xfId="40957"/>
    <cellStyle name="Total 2 7 3 8 2" xfId="40958"/>
    <cellStyle name="Total 2 7 3 9" xfId="40959"/>
    <cellStyle name="Total 2 7 3 9 2" xfId="40960"/>
    <cellStyle name="Total 2 7 4" xfId="40961"/>
    <cellStyle name="Total 2 7 4 2" xfId="40962"/>
    <cellStyle name="Total 2 7 5" xfId="40963"/>
    <cellStyle name="Total 2 7 5 2" xfId="40964"/>
    <cellStyle name="Total 2 7 6" xfId="40965"/>
    <cellStyle name="Total 2 7 6 2" xfId="40966"/>
    <cellStyle name="Total 2 7 7" xfId="40967"/>
    <cellStyle name="Total 2 7 7 2" xfId="40968"/>
    <cellStyle name="Total 2 7 8" xfId="40969"/>
    <cellStyle name="Total 2 7 8 2" xfId="40970"/>
    <cellStyle name="Total 2 7 9" xfId="40971"/>
    <cellStyle name="Total 2 7 9 2" xfId="40972"/>
    <cellStyle name="Total 2 8" xfId="40973"/>
    <cellStyle name="Total 2 8 10" xfId="40974"/>
    <cellStyle name="Total 2 8 10 2" xfId="40975"/>
    <cellStyle name="Total 2 8 11" xfId="40976"/>
    <cellStyle name="Total 2 8 11 2" xfId="40977"/>
    <cellStyle name="Total 2 8 12" xfId="40978"/>
    <cellStyle name="Total 2 8 12 2" xfId="40979"/>
    <cellStyle name="Total 2 8 13" xfId="40980"/>
    <cellStyle name="Total 2 8 2" xfId="40981"/>
    <cellStyle name="Total 2 8 2 10" xfId="40982"/>
    <cellStyle name="Total 2 8 2 10 2" xfId="40983"/>
    <cellStyle name="Total 2 8 2 11" xfId="40984"/>
    <cellStyle name="Total 2 8 2 2" xfId="40985"/>
    <cellStyle name="Total 2 8 2 2 2" xfId="40986"/>
    <cellStyle name="Total 2 8 2 3" xfId="40987"/>
    <cellStyle name="Total 2 8 2 3 2" xfId="40988"/>
    <cellStyle name="Total 2 8 2 4" xfId="40989"/>
    <cellStyle name="Total 2 8 2 4 2" xfId="40990"/>
    <cellStyle name="Total 2 8 2 5" xfId="40991"/>
    <cellStyle name="Total 2 8 2 5 2" xfId="40992"/>
    <cellStyle name="Total 2 8 2 6" xfId="40993"/>
    <cellStyle name="Total 2 8 2 6 2" xfId="40994"/>
    <cellStyle name="Total 2 8 2 7" xfId="40995"/>
    <cellStyle name="Total 2 8 2 7 2" xfId="40996"/>
    <cellStyle name="Total 2 8 2 8" xfId="40997"/>
    <cellStyle name="Total 2 8 2 8 2" xfId="40998"/>
    <cellStyle name="Total 2 8 2 9" xfId="40999"/>
    <cellStyle name="Total 2 8 2 9 2" xfId="41000"/>
    <cellStyle name="Total 2 8 3" xfId="41001"/>
    <cellStyle name="Total 2 8 3 10" xfId="41002"/>
    <cellStyle name="Total 2 8 3 10 2" xfId="41003"/>
    <cellStyle name="Total 2 8 3 11" xfId="41004"/>
    <cellStyle name="Total 2 8 3 2" xfId="41005"/>
    <cellStyle name="Total 2 8 3 2 2" xfId="41006"/>
    <cellStyle name="Total 2 8 3 3" xfId="41007"/>
    <cellStyle name="Total 2 8 3 3 2" xfId="41008"/>
    <cellStyle name="Total 2 8 3 4" xfId="41009"/>
    <cellStyle name="Total 2 8 3 4 2" xfId="41010"/>
    <cellStyle name="Total 2 8 3 5" xfId="41011"/>
    <cellStyle name="Total 2 8 3 5 2" xfId="41012"/>
    <cellStyle name="Total 2 8 3 6" xfId="41013"/>
    <cellStyle name="Total 2 8 3 6 2" xfId="41014"/>
    <cellStyle name="Total 2 8 3 7" xfId="41015"/>
    <cellStyle name="Total 2 8 3 7 2" xfId="41016"/>
    <cellStyle name="Total 2 8 3 8" xfId="41017"/>
    <cellStyle name="Total 2 8 3 8 2" xfId="41018"/>
    <cellStyle name="Total 2 8 3 9" xfId="41019"/>
    <cellStyle name="Total 2 8 3 9 2" xfId="41020"/>
    <cellStyle name="Total 2 8 4" xfId="41021"/>
    <cellStyle name="Total 2 8 4 2" xfId="41022"/>
    <cellStyle name="Total 2 8 5" xfId="41023"/>
    <cellStyle name="Total 2 8 5 2" xfId="41024"/>
    <cellStyle name="Total 2 8 6" xfId="41025"/>
    <cellStyle name="Total 2 8 6 2" xfId="41026"/>
    <cellStyle name="Total 2 8 7" xfId="41027"/>
    <cellStyle name="Total 2 8 7 2" xfId="41028"/>
    <cellStyle name="Total 2 8 8" xfId="41029"/>
    <cellStyle name="Total 2 8 8 2" xfId="41030"/>
    <cellStyle name="Total 2 8 9" xfId="41031"/>
    <cellStyle name="Total 2 8 9 2" xfId="41032"/>
    <cellStyle name="Total 2 9" xfId="41033"/>
    <cellStyle name="Total 2 9 2" xfId="41034"/>
    <cellStyle name="Total 3" xfId="41035"/>
    <cellStyle name="Total 3 10" xfId="41036"/>
    <cellStyle name="Total 3 10 2" xfId="41037"/>
    <cellStyle name="Total 3 11" xfId="41038"/>
    <cellStyle name="Total 3 11 2" xfId="41039"/>
    <cellStyle name="Total 3 12" xfId="41040"/>
    <cellStyle name="Total 3 12 2" xfId="41041"/>
    <cellStyle name="Total 3 13" xfId="41042"/>
    <cellStyle name="Total 3 13 2" xfId="41043"/>
    <cellStyle name="Total 3 14" xfId="41044"/>
    <cellStyle name="Total 3 14 2" xfId="41045"/>
    <cellStyle name="Total 3 15" xfId="41046"/>
    <cellStyle name="Total 3 16" xfId="41047"/>
    <cellStyle name="Total 3 17" xfId="41048"/>
    <cellStyle name="Total 3 2" xfId="41049"/>
    <cellStyle name="Total 3 2 10" xfId="41050"/>
    <cellStyle name="Total 3 2 10 2" xfId="41051"/>
    <cellStyle name="Total 3 2 11" xfId="41052"/>
    <cellStyle name="Total 3 2 11 2" xfId="41053"/>
    <cellStyle name="Total 3 2 12" xfId="41054"/>
    <cellStyle name="Total 3 2 12 2" xfId="41055"/>
    <cellStyle name="Total 3 2 13" xfId="41056"/>
    <cellStyle name="Total 3 2 13 2" xfId="41057"/>
    <cellStyle name="Total 3 2 14" xfId="41058"/>
    <cellStyle name="Total 3 2 14 2" xfId="41059"/>
    <cellStyle name="Total 3 2 15" xfId="41060"/>
    <cellStyle name="Total 3 2 2" xfId="41061"/>
    <cellStyle name="Total 3 2 2 10" xfId="41062"/>
    <cellStyle name="Total 3 2 2 10 2" xfId="41063"/>
    <cellStyle name="Total 3 2 2 11" xfId="41064"/>
    <cellStyle name="Total 3 2 2 11 2" xfId="41065"/>
    <cellStyle name="Total 3 2 2 12" xfId="41066"/>
    <cellStyle name="Total 3 2 2 12 2" xfId="41067"/>
    <cellStyle name="Total 3 2 2 13" xfId="41068"/>
    <cellStyle name="Total 3 2 2 2" xfId="41069"/>
    <cellStyle name="Total 3 2 2 2 10" xfId="41070"/>
    <cellStyle name="Total 3 2 2 2 10 2" xfId="41071"/>
    <cellStyle name="Total 3 2 2 2 11" xfId="41072"/>
    <cellStyle name="Total 3 2 2 2 2" xfId="41073"/>
    <cellStyle name="Total 3 2 2 2 2 2" xfId="41074"/>
    <cellStyle name="Total 3 2 2 2 3" xfId="41075"/>
    <cellStyle name="Total 3 2 2 2 3 2" xfId="41076"/>
    <cellStyle name="Total 3 2 2 2 4" xfId="41077"/>
    <cellStyle name="Total 3 2 2 2 4 2" xfId="41078"/>
    <cellStyle name="Total 3 2 2 2 5" xfId="41079"/>
    <cellStyle name="Total 3 2 2 2 5 2" xfId="41080"/>
    <cellStyle name="Total 3 2 2 2 6" xfId="41081"/>
    <cellStyle name="Total 3 2 2 2 6 2" xfId="41082"/>
    <cellStyle name="Total 3 2 2 2 7" xfId="41083"/>
    <cellStyle name="Total 3 2 2 2 7 2" xfId="41084"/>
    <cellStyle name="Total 3 2 2 2 8" xfId="41085"/>
    <cellStyle name="Total 3 2 2 2 8 2" xfId="41086"/>
    <cellStyle name="Total 3 2 2 2 9" xfId="41087"/>
    <cellStyle name="Total 3 2 2 2 9 2" xfId="41088"/>
    <cellStyle name="Total 3 2 2 3" xfId="41089"/>
    <cellStyle name="Total 3 2 2 3 10" xfId="41090"/>
    <cellStyle name="Total 3 2 2 3 10 2" xfId="41091"/>
    <cellStyle name="Total 3 2 2 3 11" xfId="41092"/>
    <cellStyle name="Total 3 2 2 3 2" xfId="41093"/>
    <cellStyle name="Total 3 2 2 3 2 2" xfId="41094"/>
    <cellStyle name="Total 3 2 2 3 3" xfId="41095"/>
    <cellStyle name="Total 3 2 2 3 3 2" xfId="41096"/>
    <cellStyle name="Total 3 2 2 3 4" xfId="41097"/>
    <cellStyle name="Total 3 2 2 3 4 2" xfId="41098"/>
    <cellStyle name="Total 3 2 2 3 5" xfId="41099"/>
    <cellStyle name="Total 3 2 2 3 5 2" xfId="41100"/>
    <cellStyle name="Total 3 2 2 3 6" xfId="41101"/>
    <cellStyle name="Total 3 2 2 3 6 2" xfId="41102"/>
    <cellStyle name="Total 3 2 2 3 7" xfId="41103"/>
    <cellStyle name="Total 3 2 2 3 7 2" xfId="41104"/>
    <cellStyle name="Total 3 2 2 3 8" xfId="41105"/>
    <cellStyle name="Total 3 2 2 3 8 2" xfId="41106"/>
    <cellStyle name="Total 3 2 2 3 9" xfId="41107"/>
    <cellStyle name="Total 3 2 2 3 9 2" xfId="41108"/>
    <cellStyle name="Total 3 2 2 4" xfId="41109"/>
    <cellStyle name="Total 3 2 2 4 2" xfId="41110"/>
    <cellStyle name="Total 3 2 2 5" xfId="41111"/>
    <cellStyle name="Total 3 2 2 5 2" xfId="41112"/>
    <cellStyle name="Total 3 2 2 6" xfId="41113"/>
    <cellStyle name="Total 3 2 2 6 2" xfId="41114"/>
    <cellStyle name="Total 3 2 2 7" xfId="41115"/>
    <cellStyle name="Total 3 2 2 7 2" xfId="41116"/>
    <cellStyle name="Total 3 2 2 8" xfId="41117"/>
    <cellStyle name="Total 3 2 2 8 2" xfId="41118"/>
    <cellStyle name="Total 3 2 2 9" xfId="41119"/>
    <cellStyle name="Total 3 2 2 9 2" xfId="41120"/>
    <cellStyle name="Total 3 2 3" xfId="41121"/>
    <cellStyle name="Total 3 2 3 10" xfId="41122"/>
    <cellStyle name="Total 3 2 3 10 2" xfId="41123"/>
    <cellStyle name="Total 3 2 3 11" xfId="41124"/>
    <cellStyle name="Total 3 2 3 11 2" xfId="41125"/>
    <cellStyle name="Total 3 2 3 12" xfId="41126"/>
    <cellStyle name="Total 3 2 3 12 2" xfId="41127"/>
    <cellStyle name="Total 3 2 3 13" xfId="41128"/>
    <cellStyle name="Total 3 2 3 2" xfId="41129"/>
    <cellStyle name="Total 3 2 3 2 10" xfId="41130"/>
    <cellStyle name="Total 3 2 3 2 10 2" xfId="41131"/>
    <cellStyle name="Total 3 2 3 2 11" xfId="41132"/>
    <cellStyle name="Total 3 2 3 2 2" xfId="41133"/>
    <cellStyle name="Total 3 2 3 2 2 2" xfId="41134"/>
    <cellStyle name="Total 3 2 3 2 3" xfId="41135"/>
    <cellStyle name="Total 3 2 3 2 3 2" xfId="41136"/>
    <cellStyle name="Total 3 2 3 2 4" xfId="41137"/>
    <cellStyle name="Total 3 2 3 2 4 2" xfId="41138"/>
    <cellStyle name="Total 3 2 3 2 5" xfId="41139"/>
    <cellStyle name="Total 3 2 3 2 5 2" xfId="41140"/>
    <cellStyle name="Total 3 2 3 2 6" xfId="41141"/>
    <cellStyle name="Total 3 2 3 2 6 2" xfId="41142"/>
    <cellStyle name="Total 3 2 3 2 7" xfId="41143"/>
    <cellStyle name="Total 3 2 3 2 7 2" xfId="41144"/>
    <cellStyle name="Total 3 2 3 2 8" xfId="41145"/>
    <cellStyle name="Total 3 2 3 2 8 2" xfId="41146"/>
    <cellStyle name="Total 3 2 3 2 9" xfId="41147"/>
    <cellStyle name="Total 3 2 3 2 9 2" xfId="41148"/>
    <cellStyle name="Total 3 2 3 3" xfId="41149"/>
    <cellStyle name="Total 3 2 3 3 10" xfId="41150"/>
    <cellStyle name="Total 3 2 3 3 10 2" xfId="41151"/>
    <cellStyle name="Total 3 2 3 3 11" xfId="41152"/>
    <cellStyle name="Total 3 2 3 3 2" xfId="41153"/>
    <cellStyle name="Total 3 2 3 3 2 2" xfId="41154"/>
    <cellStyle name="Total 3 2 3 3 3" xfId="41155"/>
    <cellStyle name="Total 3 2 3 3 3 2" xfId="41156"/>
    <cellStyle name="Total 3 2 3 3 4" xfId="41157"/>
    <cellStyle name="Total 3 2 3 3 4 2" xfId="41158"/>
    <cellStyle name="Total 3 2 3 3 5" xfId="41159"/>
    <cellStyle name="Total 3 2 3 3 5 2" xfId="41160"/>
    <cellStyle name="Total 3 2 3 3 6" xfId="41161"/>
    <cellStyle name="Total 3 2 3 3 6 2" xfId="41162"/>
    <cellStyle name="Total 3 2 3 3 7" xfId="41163"/>
    <cellStyle name="Total 3 2 3 3 7 2" xfId="41164"/>
    <cellStyle name="Total 3 2 3 3 8" xfId="41165"/>
    <cellStyle name="Total 3 2 3 3 8 2" xfId="41166"/>
    <cellStyle name="Total 3 2 3 3 9" xfId="41167"/>
    <cellStyle name="Total 3 2 3 3 9 2" xfId="41168"/>
    <cellStyle name="Total 3 2 3 4" xfId="41169"/>
    <cellStyle name="Total 3 2 3 4 2" xfId="41170"/>
    <cellStyle name="Total 3 2 3 5" xfId="41171"/>
    <cellStyle name="Total 3 2 3 5 2" xfId="41172"/>
    <cellStyle name="Total 3 2 3 6" xfId="41173"/>
    <cellStyle name="Total 3 2 3 6 2" xfId="41174"/>
    <cellStyle name="Total 3 2 3 7" xfId="41175"/>
    <cellStyle name="Total 3 2 3 7 2" xfId="41176"/>
    <cellStyle name="Total 3 2 3 8" xfId="41177"/>
    <cellStyle name="Total 3 2 3 8 2" xfId="41178"/>
    <cellStyle name="Total 3 2 3 9" xfId="41179"/>
    <cellStyle name="Total 3 2 3 9 2" xfId="41180"/>
    <cellStyle name="Total 3 2 4" xfId="41181"/>
    <cellStyle name="Total 3 2 4 10" xfId="41182"/>
    <cellStyle name="Total 3 2 4 10 2" xfId="41183"/>
    <cellStyle name="Total 3 2 4 11" xfId="41184"/>
    <cellStyle name="Total 3 2 4 2" xfId="41185"/>
    <cellStyle name="Total 3 2 4 2 2" xfId="41186"/>
    <cellStyle name="Total 3 2 4 3" xfId="41187"/>
    <cellStyle name="Total 3 2 4 3 2" xfId="41188"/>
    <cellStyle name="Total 3 2 4 4" xfId="41189"/>
    <cellStyle name="Total 3 2 4 4 2" xfId="41190"/>
    <cellStyle name="Total 3 2 4 5" xfId="41191"/>
    <cellStyle name="Total 3 2 4 5 2" xfId="41192"/>
    <cellStyle name="Total 3 2 4 6" xfId="41193"/>
    <cellStyle name="Total 3 2 4 6 2" xfId="41194"/>
    <cellStyle name="Total 3 2 4 7" xfId="41195"/>
    <cellStyle name="Total 3 2 4 7 2" xfId="41196"/>
    <cellStyle name="Total 3 2 4 8" xfId="41197"/>
    <cellStyle name="Total 3 2 4 8 2" xfId="41198"/>
    <cellStyle name="Total 3 2 4 9" xfId="41199"/>
    <cellStyle name="Total 3 2 4 9 2" xfId="41200"/>
    <cellStyle name="Total 3 2 5" xfId="41201"/>
    <cellStyle name="Total 3 2 5 10" xfId="41202"/>
    <cellStyle name="Total 3 2 5 10 2" xfId="41203"/>
    <cellStyle name="Total 3 2 5 11" xfId="41204"/>
    <cellStyle name="Total 3 2 5 2" xfId="41205"/>
    <cellStyle name="Total 3 2 5 2 2" xfId="41206"/>
    <cellStyle name="Total 3 2 5 3" xfId="41207"/>
    <cellStyle name="Total 3 2 5 3 2" xfId="41208"/>
    <cellStyle name="Total 3 2 5 4" xfId="41209"/>
    <cellStyle name="Total 3 2 5 4 2" xfId="41210"/>
    <cellStyle name="Total 3 2 5 5" xfId="41211"/>
    <cellStyle name="Total 3 2 5 5 2" xfId="41212"/>
    <cellStyle name="Total 3 2 5 6" xfId="41213"/>
    <cellStyle name="Total 3 2 5 6 2" xfId="41214"/>
    <cellStyle name="Total 3 2 5 7" xfId="41215"/>
    <cellStyle name="Total 3 2 5 7 2" xfId="41216"/>
    <cellStyle name="Total 3 2 5 8" xfId="41217"/>
    <cellStyle name="Total 3 2 5 8 2" xfId="41218"/>
    <cellStyle name="Total 3 2 5 9" xfId="41219"/>
    <cellStyle name="Total 3 2 5 9 2" xfId="41220"/>
    <cellStyle name="Total 3 2 6" xfId="41221"/>
    <cellStyle name="Total 3 2 6 2" xfId="41222"/>
    <cellStyle name="Total 3 2 7" xfId="41223"/>
    <cellStyle name="Total 3 2 7 2" xfId="41224"/>
    <cellStyle name="Total 3 2 8" xfId="41225"/>
    <cellStyle name="Total 3 2 8 2" xfId="41226"/>
    <cellStyle name="Total 3 2 9" xfId="41227"/>
    <cellStyle name="Total 3 2 9 2" xfId="41228"/>
    <cellStyle name="Total 3 3" xfId="41229"/>
    <cellStyle name="Total 3 3 10" xfId="41230"/>
    <cellStyle name="Total 3 3 10 2" xfId="41231"/>
    <cellStyle name="Total 3 3 11" xfId="41232"/>
    <cellStyle name="Total 3 3 11 2" xfId="41233"/>
    <cellStyle name="Total 3 3 12" xfId="41234"/>
    <cellStyle name="Total 3 3 12 2" xfId="41235"/>
    <cellStyle name="Total 3 3 13" xfId="41236"/>
    <cellStyle name="Total 3 3 13 2" xfId="41237"/>
    <cellStyle name="Total 3 3 14" xfId="41238"/>
    <cellStyle name="Total 3 3 14 2" xfId="41239"/>
    <cellStyle name="Total 3 3 15" xfId="41240"/>
    <cellStyle name="Total 3 3 2" xfId="41241"/>
    <cellStyle name="Total 3 3 2 10" xfId="41242"/>
    <cellStyle name="Total 3 3 2 10 2" xfId="41243"/>
    <cellStyle name="Total 3 3 2 11" xfId="41244"/>
    <cellStyle name="Total 3 3 2 11 2" xfId="41245"/>
    <cellStyle name="Total 3 3 2 12" xfId="41246"/>
    <cellStyle name="Total 3 3 2 12 2" xfId="41247"/>
    <cellStyle name="Total 3 3 2 13" xfId="41248"/>
    <cellStyle name="Total 3 3 2 2" xfId="41249"/>
    <cellStyle name="Total 3 3 2 2 10" xfId="41250"/>
    <cellStyle name="Total 3 3 2 2 10 2" xfId="41251"/>
    <cellStyle name="Total 3 3 2 2 11" xfId="41252"/>
    <cellStyle name="Total 3 3 2 2 2" xfId="41253"/>
    <cellStyle name="Total 3 3 2 2 2 2" xfId="41254"/>
    <cellStyle name="Total 3 3 2 2 3" xfId="41255"/>
    <cellStyle name="Total 3 3 2 2 3 2" xfId="41256"/>
    <cellStyle name="Total 3 3 2 2 4" xfId="41257"/>
    <cellStyle name="Total 3 3 2 2 4 2" xfId="41258"/>
    <cellStyle name="Total 3 3 2 2 5" xfId="41259"/>
    <cellStyle name="Total 3 3 2 2 5 2" xfId="41260"/>
    <cellStyle name="Total 3 3 2 2 6" xfId="41261"/>
    <cellStyle name="Total 3 3 2 2 6 2" xfId="41262"/>
    <cellStyle name="Total 3 3 2 2 7" xfId="41263"/>
    <cellStyle name="Total 3 3 2 2 7 2" xfId="41264"/>
    <cellStyle name="Total 3 3 2 2 8" xfId="41265"/>
    <cellStyle name="Total 3 3 2 2 8 2" xfId="41266"/>
    <cellStyle name="Total 3 3 2 2 9" xfId="41267"/>
    <cellStyle name="Total 3 3 2 2 9 2" xfId="41268"/>
    <cellStyle name="Total 3 3 2 3" xfId="41269"/>
    <cellStyle name="Total 3 3 2 3 10" xfId="41270"/>
    <cellStyle name="Total 3 3 2 3 10 2" xfId="41271"/>
    <cellStyle name="Total 3 3 2 3 11" xfId="41272"/>
    <cellStyle name="Total 3 3 2 3 2" xfId="41273"/>
    <cellStyle name="Total 3 3 2 3 2 2" xfId="41274"/>
    <cellStyle name="Total 3 3 2 3 3" xfId="41275"/>
    <cellStyle name="Total 3 3 2 3 3 2" xfId="41276"/>
    <cellStyle name="Total 3 3 2 3 4" xfId="41277"/>
    <cellStyle name="Total 3 3 2 3 4 2" xfId="41278"/>
    <cellStyle name="Total 3 3 2 3 5" xfId="41279"/>
    <cellStyle name="Total 3 3 2 3 5 2" xfId="41280"/>
    <cellStyle name="Total 3 3 2 3 6" xfId="41281"/>
    <cellStyle name="Total 3 3 2 3 6 2" xfId="41282"/>
    <cellStyle name="Total 3 3 2 3 7" xfId="41283"/>
    <cellStyle name="Total 3 3 2 3 7 2" xfId="41284"/>
    <cellStyle name="Total 3 3 2 3 8" xfId="41285"/>
    <cellStyle name="Total 3 3 2 3 8 2" xfId="41286"/>
    <cellStyle name="Total 3 3 2 3 9" xfId="41287"/>
    <cellStyle name="Total 3 3 2 3 9 2" xfId="41288"/>
    <cellStyle name="Total 3 3 2 4" xfId="41289"/>
    <cellStyle name="Total 3 3 2 4 2" xfId="41290"/>
    <cellStyle name="Total 3 3 2 5" xfId="41291"/>
    <cellStyle name="Total 3 3 2 5 2" xfId="41292"/>
    <cellStyle name="Total 3 3 2 6" xfId="41293"/>
    <cellStyle name="Total 3 3 2 6 2" xfId="41294"/>
    <cellStyle name="Total 3 3 2 7" xfId="41295"/>
    <cellStyle name="Total 3 3 2 7 2" xfId="41296"/>
    <cellStyle name="Total 3 3 2 8" xfId="41297"/>
    <cellStyle name="Total 3 3 2 8 2" xfId="41298"/>
    <cellStyle name="Total 3 3 2 9" xfId="41299"/>
    <cellStyle name="Total 3 3 2 9 2" xfId="41300"/>
    <cellStyle name="Total 3 3 3" xfId="41301"/>
    <cellStyle name="Total 3 3 3 10" xfId="41302"/>
    <cellStyle name="Total 3 3 3 10 2" xfId="41303"/>
    <cellStyle name="Total 3 3 3 11" xfId="41304"/>
    <cellStyle name="Total 3 3 3 11 2" xfId="41305"/>
    <cellStyle name="Total 3 3 3 12" xfId="41306"/>
    <cellStyle name="Total 3 3 3 12 2" xfId="41307"/>
    <cellStyle name="Total 3 3 3 13" xfId="41308"/>
    <cellStyle name="Total 3 3 3 2" xfId="41309"/>
    <cellStyle name="Total 3 3 3 2 10" xfId="41310"/>
    <cellStyle name="Total 3 3 3 2 10 2" xfId="41311"/>
    <cellStyle name="Total 3 3 3 2 11" xfId="41312"/>
    <cellStyle name="Total 3 3 3 2 2" xfId="41313"/>
    <cellStyle name="Total 3 3 3 2 2 2" xfId="41314"/>
    <cellStyle name="Total 3 3 3 2 3" xfId="41315"/>
    <cellStyle name="Total 3 3 3 2 3 2" xfId="41316"/>
    <cellStyle name="Total 3 3 3 2 4" xfId="41317"/>
    <cellStyle name="Total 3 3 3 2 4 2" xfId="41318"/>
    <cellStyle name="Total 3 3 3 2 5" xfId="41319"/>
    <cellStyle name="Total 3 3 3 2 5 2" xfId="41320"/>
    <cellStyle name="Total 3 3 3 2 6" xfId="41321"/>
    <cellStyle name="Total 3 3 3 2 6 2" xfId="41322"/>
    <cellStyle name="Total 3 3 3 2 7" xfId="41323"/>
    <cellStyle name="Total 3 3 3 2 7 2" xfId="41324"/>
    <cellStyle name="Total 3 3 3 2 8" xfId="41325"/>
    <cellStyle name="Total 3 3 3 2 8 2" xfId="41326"/>
    <cellStyle name="Total 3 3 3 2 9" xfId="41327"/>
    <cellStyle name="Total 3 3 3 2 9 2" xfId="41328"/>
    <cellStyle name="Total 3 3 3 3" xfId="41329"/>
    <cellStyle name="Total 3 3 3 3 10" xfId="41330"/>
    <cellStyle name="Total 3 3 3 3 10 2" xfId="41331"/>
    <cellStyle name="Total 3 3 3 3 11" xfId="41332"/>
    <cellStyle name="Total 3 3 3 3 2" xfId="41333"/>
    <cellStyle name="Total 3 3 3 3 2 2" xfId="41334"/>
    <cellStyle name="Total 3 3 3 3 3" xfId="41335"/>
    <cellStyle name="Total 3 3 3 3 3 2" xfId="41336"/>
    <cellStyle name="Total 3 3 3 3 4" xfId="41337"/>
    <cellStyle name="Total 3 3 3 3 4 2" xfId="41338"/>
    <cellStyle name="Total 3 3 3 3 5" xfId="41339"/>
    <cellStyle name="Total 3 3 3 3 5 2" xfId="41340"/>
    <cellStyle name="Total 3 3 3 3 6" xfId="41341"/>
    <cellStyle name="Total 3 3 3 3 6 2" xfId="41342"/>
    <cellStyle name="Total 3 3 3 3 7" xfId="41343"/>
    <cellStyle name="Total 3 3 3 3 7 2" xfId="41344"/>
    <cellStyle name="Total 3 3 3 3 8" xfId="41345"/>
    <cellStyle name="Total 3 3 3 3 8 2" xfId="41346"/>
    <cellStyle name="Total 3 3 3 3 9" xfId="41347"/>
    <cellStyle name="Total 3 3 3 3 9 2" xfId="41348"/>
    <cellStyle name="Total 3 3 3 4" xfId="41349"/>
    <cellStyle name="Total 3 3 3 4 2" xfId="41350"/>
    <cellStyle name="Total 3 3 3 5" xfId="41351"/>
    <cellStyle name="Total 3 3 3 5 2" xfId="41352"/>
    <cellStyle name="Total 3 3 3 6" xfId="41353"/>
    <cellStyle name="Total 3 3 3 6 2" xfId="41354"/>
    <cellStyle name="Total 3 3 3 7" xfId="41355"/>
    <cellStyle name="Total 3 3 3 7 2" xfId="41356"/>
    <cellStyle name="Total 3 3 3 8" xfId="41357"/>
    <cellStyle name="Total 3 3 3 8 2" xfId="41358"/>
    <cellStyle name="Total 3 3 3 9" xfId="41359"/>
    <cellStyle name="Total 3 3 3 9 2" xfId="41360"/>
    <cellStyle name="Total 3 3 4" xfId="41361"/>
    <cellStyle name="Total 3 3 4 10" xfId="41362"/>
    <cellStyle name="Total 3 3 4 10 2" xfId="41363"/>
    <cellStyle name="Total 3 3 4 11" xfId="41364"/>
    <cellStyle name="Total 3 3 4 2" xfId="41365"/>
    <cellStyle name="Total 3 3 4 2 2" xfId="41366"/>
    <cellStyle name="Total 3 3 4 3" xfId="41367"/>
    <cellStyle name="Total 3 3 4 3 2" xfId="41368"/>
    <cellStyle name="Total 3 3 4 4" xfId="41369"/>
    <cellStyle name="Total 3 3 4 4 2" xfId="41370"/>
    <cellStyle name="Total 3 3 4 5" xfId="41371"/>
    <cellStyle name="Total 3 3 4 5 2" xfId="41372"/>
    <cellStyle name="Total 3 3 4 6" xfId="41373"/>
    <cellStyle name="Total 3 3 4 6 2" xfId="41374"/>
    <cellStyle name="Total 3 3 4 7" xfId="41375"/>
    <cellStyle name="Total 3 3 4 7 2" xfId="41376"/>
    <cellStyle name="Total 3 3 4 8" xfId="41377"/>
    <cellStyle name="Total 3 3 4 8 2" xfId="41378"/>
    <cellStyle name="Total 3 3 4 9" xfId="41379"/>
    <cellStyle name="Total 3 3 4 9 2" xfId="41380"/>
    <cellStyle name="Total 3 3 5" xfId="41381"/>
    <cellStyle name="Total 3 3 5 10" xfId="41382"/>
    <cellStyle name="Total 3 3 5 10 2" xfId="41383"/>
    <cellStyle name="Total 3 3 5 11" xfId="41384"/>
    <cellStyle name="Total 3 3 5 2" xfId="41385"/>
    <cellStyle name="Total 3 3 5 2 2" xfId="41386"/>
    <cellStyle name="Total 3 3 5 3" xfId="41387"/>
    <cellStyle name="Total 3 3 5 3 2" xfId="41388"/>
    <cellStyle name="Total 3 3 5 4" xfId="41389"/>
    <cellStyle name="Total 3 3 5 4 2" xfId="41390"/>
    <cellStyle name="Total 3 3 5 5" xfId="41391"/>
    <cellStyle name="Total 3 3 5 5 2" xfId="41392"/>
    <cellStyle name="Total 3 3 5 6" xfId="41393"/>
    <cellStyle name="Total 3 3 5 6 2" xfId="41394"/>
    <cellStyle name="Total 3 3 5 7" xfId="41395"/>
    <cellStyle name="Total 3 3 5 7 2" xfId="41396"/>
    <cellStyle name="Total 3 3 5 8" xfId="41397"/>
    <cellStyle name="Total 3 3 5 8 2" xfId="41398"/>
    <cellStyle name="Total 3 3 5 9" xfId="41399"/>
    <cellStyle name="Total 3 3 5 9 2" xfId="41400"/>
    <cellStyle name="Total 3 3 6" xfId="41401"/>
    <cellStyle name="Total 3 3 6 2" xfId="41402"/>
    <cellStyle name="Total 3 3 7" xfId="41403"/>
    <cellStyle name="Total 3 3 7 2" xfId="41404"/>
    <cellStyle name="Total 3 3 8" xfId="41405"/>
    <cellStyle name="Total 3 3 8 2" xfId="41406"/>
    <cellStyle name="Total 3 3 9" xfId="41407"/>
    <cellStyle name="Total 3 3 9 2" xfId="41408"/>
    <cellStyle name="Total 3 4" xfId="41409"/>
    <cellStyle name="Total 3 4 10" xfId="41410"/>
    <cellStyle name="Total 3 4 10 2" xfId="41411"/>
    <cellStyle name="Total 3 4 11" xfId="41412"/>
    <cellStyle name="Total 3 4 11 2" xfId="41413"/>
    <cellStyle name="Total 3 4 12" xfId="41414"/>
    <cellStyle name="Total 3 4 12 2" xfId="41415"/>
    <cellStyle name="Total 3 4 13" xfId="41416"/>
    <cellStyle name="Total 3 4 2" xfId="41417"/>
    <cellStyle name="Total 3 4 2 10" xfId="41418"/>
    <cellStyle name="Total 3 4 2 10 2" xfId="41419"/>
    <cellStyle name="Total 3 4 2 11" xfId="41420"/>
    <cellStyle name="Total 3 4 2 2" xfId="41421"/>
    <cellStyle name="Total 3 4 2 2 2" xfId="41422"/>
    <cellStyle name="Total 3 4 2 3" xfId="41423"/>
    <cellStyle name="Total 3 4 2 3 2" xfId="41424"/>
    <cellStyle name="Total 3 4 2 4" xfId="41425"/>
    <cellStyle name="Total 3 4 2 4 2" xfId="41426"/>
    <cellStyle name="Total 3 4 2 5" xfId="41427"/>
    <cellStyle name="Total 3 4 2 5 2" xfId="41428"/>
    <cellStyle name="Total 3 4 2 6" xfId="41429"/>
    <cellStyle name="Total 3 4 2 6 2" xfId="41430"/>
    <cellStyle name="Total 3 4 2 7" xfId="41431"/>
    <cellStyle name="Total 3 4 2 7 2" xfId="41432"/>
    <cellStyle name="Total 3 4 2 8" xfId="41433"/>
    <cellStyle name="Total 3 4 2 8 2" xfId="41434"/>
    <cellStyle name="Total 3 4 2 9" xfId="41435"/>
    <cellStyle name="Total 3 4 2 9 2" xfId="41436"/>
    <cellStyle name="Total 3 4 3" xfId="41437"/>
    <cellStyle name="Total 3 4 3 10" xfId="41438"/>
    <cellStyle name="Total 3 4 3 10 2" xfId="41439"/>
    <cellStyle name="Total 3 4 3 11" xfId="41440"/>
    <cellStyle name="Total 3 4 3 2" xfId="41441"/>
    <cellStyle name="Total 3 4 3 2 2" xfId="41442"/>
    <cellStyle name="Total 3 4 3 3" xfId="41443"/>
    <cellStyle name="Total 3 4 3 3 2" xfId="41444"/>
    <cellStyle name="Total 3 4 3 4" xfId="41445"/>
    <cellStyle name="Total 3 4 3 4 2" xfId="41446"/>
    <cellStyle name="Total 3 4 3 5" xfId="41447"/>
    <cellStyle name="Total 3 4 3 5 2" xfId="41448"/>
    <cellStyle name="Total 3 4 3 6" xfId="41449"/>
    <cellStyle name="Total 3 4 3 6 2" xfId="41450"/>
    <cellStyle name="Total 3 4 3 7" xfId="41451"/>
    <cellStyle name="Total 3 4 3 7 2" xfId="41452"/>
    <cellStyle name="Total 3 4 3 8" xfId="41453"/>
    <cellStyle name="Total 3 4 3 8 2" xfId="41454"/>
    <cellStyle name="Total 3 4 3 9" xfId="41455"/>
    <cellStyle name="Total 3 4 3 9 2" xfId="41456"/>
    <cellStyle name="Total 3 4 4" xfId="41457"/>
    <cellStyle name="Total 3 4 4 2" xfId="41458"/>
    <cellStyle name="Total 3 4 5" xfId="41459"/>
    <cellStyle name="Total 3 4 5 2" xfId="41460"/>
    <cellStyle name="Total 3 4 6" xfId="41461"/>
    <cellStyle name="Total 3 4 6 2" xfId="41462"/>
    <cellStyle name="Total 3 4 7" xfId="41463"/>
    <cellStyle name="Total 3 4 7 2" xfId="41464"/>
    <cellStyle name="Total 3 4 8" xfId="41465"/>
    <cellStyle name="Total 3 4 8 2" xfId="41466"/>
    <cellStyle name="Total 3 4 9" xfId="41467"/>
    <cellStyle name="Total 3 4 9 2" xfId="41468"/>
    <cellStyle name="Total 3 5" xfId="41469"/>
    <cellStyle name="Total 3 5 10" xfId="41470"/>
    <cellStyle name="Total 3 5 10 2" xfId="41471"/>
    <cellStyle name="Total 3 5 11" xfId="41472"/>
    <cellStyle name="Total 3 5 11 2" xfId="41473"/>
    <cellStyle name="Total 3 5 12" xfId="41474"/>
    <cellStyle name="Total 3 5 12 2" xfId="41475"/>
    <cellStyle name="Total 3 5 13" xfId="41476"/>
    <cellStyle name="Total 3 5 2" xfId="41477"/>
    <cellStyle name="Total 3 5 2 10" xfId="41478"/>
    <cellStyle name="Total 3 5 2 10 2" xfId="41479"/>
    <cellStyle name="Total 3 5 2 11" xfId="41480"/>
    <cellStyle name="Total 3 5 2 2" xfId="41481"/>
    <cellStyle name="Total 3 5 2 2 2" xfId="41482"/>
    <cellStyle name="Total 3 5 2 3" xfId="41483"/>
    <cellStyle name="Total 3 5 2 3 2" xfId="41484"/>
    <cellStyle name="Total 3 5 2 4" xfId="41485"/>
    <cellStyle name="Total 3 5 2 4 2" xfId="41486"/>
    <cellStyle name="Total 3 5 2 5" xfId="41487"/>
    <cellStyle name="Total 3 5 2 5 2" xfId="41488"/>
    <cellStyle name="Total 3 5 2 6" xfId="41489"/>
    <cellStyle name="Total 3 5 2 6 2" xfId="41490"/>
    <cellStyle name="Total 3 5 2 7" xfId="41491"/>
    <cellStyle name="Total 3 5 2 7 2" xfId="41492"/>
    <cellStyle name="Total 3 5 2 8" xfId="41493"/>
    <cellStyle name="Total 3 5 2 8 2" xfId="41494"/>
    <cellStyle name="Total 3 5 2 9" xfId="41495"/>
    <cellStyle name="Total 3 5 2 9 2" xfId="41496"/>
    <cellStyle name="Total 3 5 3" xfId="41497"/>
    <cellStyle name="Total 3 5 3 10" xfId="41498"/>
    <cellStyle name="Total 3 5 3 10 2" xfId="41499"/>
    <cellStyle name="Total 3 5 3 11" xfId="41500"/>
    <cellStyle name="Total 3 5 3 2" xfId="41501"/>
    <cellStyle name="Total 3 5 3 2 2" xfId="41502"/>
    <cellStyle name="Total 3 5 3 3" xfId="41503"/>
    <cellStyle name="Total 3 5 3 3 2" xfId="41504"/>
    <cellStyle name="Total 3 5 3 4" xfId="41505"/>
    <cellStyle name="Total 3 5 3 4 2" xfId="41506"/>
    <cellStyle name="Total 3 5 3 5" xfId="41507"/>
    <cellStyle name="Total 3 5 3 5 2" xfId="41508"/>
    <cellStyle name="Total 3 5 3 6" xfId="41509"/>
    <cellStyle name="Total 3 5 3 6 2" xfId="41510"/>
    <cellStyle name="Total 3 5 3 7" xfId="41511"/>
    <cellStyle name="Total 3 5 3 7 2" xfId="41512"/>
    <cellStyle name="Total 3 5 3 8" xfId="41513"/>
    <cellStyle name="Total 3 5 3 8 2" xfId="41514"/>
    <cellStyle name="Total 3 5 3 9" xfId="41515"/>
    <cellStyle name="Total 3 5 3 9 2" xfId="41516"/>
    <cellStyle name="Total 3 5 4" xfId="41517"/>
    <cellStyle name="Total 3 5 4 2" xfId="41518"/>
    <cellStyle name="Total 3 5 5" xfId="41519"/>
    <cellStyle name="Total 3 5 5 2" xfId="41520"/>
    <cellStyle name="Total 3 5 6" xfId="41521"/>
    <cellStyle name="Total 3 5 6 2" xfId="41522"/>
    <cellStyle name="Total 3 5 7" xfId="41523"/>
    <cellStyle name="Total 3 5 7 2" xfId="41524"/>
    <cellStyle name="Total 3 5 8" xfId="41525"/>
    <cellStyle name="Total 3 5 8 2" xfId="41526"/>
    <cellStyle name="Total 3 5 9" xfId="41527"/>
    <cellStyle name="Total 3 5 9 2" xfId="41528"/>
    <cellStyle name="Total 3 6" xfId="41529"/>
    <cellStyle name="Total 3 6 2" xfId="41530"/>
    <cellStyle name="Total 3 7" xfId="41531"/>
    <cellStyle name="Total 3 7 2" xfId="41532"/>
    <cellStyle name="Total 3 8" xfId="41533"/>
    <cellStyle name="Total 3 8 2" xfId="41534"/>
    <cellStyle name="Total 3 9" xfId="41535"/>
    <cellStyle name="Total 3 9 2" xfId="41536"/>
    <cellStyle name="Total 4" xfId="41537"/>
    <cellStyle name="Total 4 10" xfId="41538"/>
    <cellStyle name="Total 4 10 2" xfId="41539"/>
    <cellStyle name="Total 4 11" xfId="41540"/>
    <cellStyle name="Total 4 11 2" xfId="41541"/>
    <cellStyle name="Total 4 12" xfId="41542"/>
    <cellStyle name="Total 4 12 2" xfId="41543"/>
    <cellStyle name="Total 4 13" xfId="41544"/>
    <cellStyle name="Total 4 13 2" xfId="41545"/>
    <cellStyle name="Total 4 14" xfId="41546"/>
    <cellStyle name="Total 4 14 2" xfId="41547"/>
    <cellStyle name="Total 4 15" xfId="41548"/>
    <cellStyle name="Total 4 15 2" xfId="41549"/>
    <cellStyle name="Total 4 16" xfId="41550"/>
    <cellStyle name="Total 4 17" xfId="41551"/>
    <cellStyle name="Total 4 18" xfId="41552"/>
    <cellStyle name="Total 4 2" xfId="41553"/>
    <cellStyle name="Total 4 2 10" xfId="41554"/>
    <cellStyle name="Total 4 2 10 2" xfId="41555"/>
    <cellStyle name="Total 4 2 11" xfId="41556"/>
    <cellStyle name="Total 4 2 11 2" xfId="41557"/>
    <cellStyle name="Total 4 2 12" xfId="41558"/>
    <cellStyle name="Total 4 2 12 2" xfId="41559"/>
    <cellStyle name="Total 4 2 13" xfId="41560"/>
    <cellStyle name="Total 4 2 13 2" xfId="41561"/>
    <cellStyle name="Total 4 2 14" xfId="41562"/>
    <cellStyle name="Total 4 2 14 2" xfId="41563"/>
    <cellStyle name="Total 4 2 15" xfId="41564"/>
    <cellStyle name="Total 4 2 2" xfId="41565"/>
    <cellStyle name="Total 4 2 2 10" xfId="41566"/>
    <cellStyle name="Total 4 2 2 10 2" xfId="41567"/>
    <cellStyle name="Total 4 2 2 11" xfId="41568"/>
    <cellStyle name="Total 4 2 2 11 2" xfId="41569"/>
    <cellStyle name="Total 4 2 2 12" xfId="41570"/>
    <cellStyle name="Total 4 2 2 12 2" xfId="41571"/>
    <cellStyle name="Total 4 2 2 13" xfId="41572"/>
    <cellStyle name="Total 4 2 2 2" xfId="41573"/>
    <cellStyle name="Total 4 2 2 2 10" xfId="41574"/>
    <cellStyle name="Total 4 2 2 2 10 2" xfId="41575"/>
    <cellStyle name="Total 4 2 2 2 11" xfId="41576"/>
    <cellStyle name="Total 4 2 2 2 2" xfId="41577"/>
    <cellStyle name="Total 4 2 2 2 2 2" xfId="41578"/>
    <cellStyle name="Total 4 2 2 2 3" xfId="41579"/>
    <cellStyle name="Total 4 2 2 2 3 2" xfId="41580"/>
    <cellStyle name="Total 4 2 2 2 4" xfId="41581"/>
    <cellStyle name="Total 4 2 2 2 4 2" xfId="41582"/>
    <cellStyle name="Total 4 2 2 2 5" xfId="41583"/>
    <cellStyle name="Total 4 2 2 2 5 2" xfId="41584"/>
    <cellStyle name="Total 4 2 2 2 6" xfId="41585"/>
    <cellStyle name="Total 4 2 2 2 6 2" xfId="41586"/>
    <cellStyle name="Total 4 2 2 2 7" xfId="41587"/>
    <cellStyle name="Total 4 2 2 2 7 2" xfId="41588"/>
    <cellStyle name="Total 4 2 2 2 8" xfId="41589"/>
    <cellStyle name="Total 4 2 2 2 8 2" xfId="41590"/>
    <cellStyle name="Total 4 2 2 2 9" xfId="41591"/>
    <cellStyle name="Total 4 2 2 2 9 2" xfId="41592"/>
    <cellStyle name="Total 4 2 2 3" xfId="41593"/>
    <cellStyle name="Total 4 2 2 3 10" xfId="41594"/>
    <cellStyle name="Total 4 2 2 3 10 2" xfId="41595"/>
    <cellStyle name="Total 4 2 2 3 11" xfId="41596"/>
    <cellStyle name="Total 4 2 2 3 2" xfId="41597"/>
    <cellStyle name="Total 4 2 2 3 2 2" xfId="41598"/>
    <cellStyle name="Total 4 2 2 3 3" xfId="41599"/>
    <cellStyle name="Total 4 2 2 3 3 2" xfId="41600"/>
    <cellStyle name="Total 4 2 2 3 4" xfId="41601"/>
    <cellStyle name="Total 4 2 2 3 4 2" xfId="41602"/>
    <cellStyle name="Total 4 2 2 3 5" xfId="41603"/>
    <cellStyle name="Total 4 2 2 3 5 2" xfId="41604"/>
    <cellStyle name="Total 4 2 2 3 6" xfId="41605"/>
    <cellStyle name="Total 4 2 2 3 6 2" xfId="41606"/>
    <cellStyle name="Total 4 2 2 3 7" xfId="41607"/>
    <cellStyle name="Total 4 2 2 3 7 2" xfId="41608"/>
    <cellStyle name="Total 4 2 2 3 8" xfId="41609"/>
    <cellStyle name="Total 4 2 2 3 8 2" xfId="41610"/>
    <cellStyle name="Total 4 2 2 3 9" xfId="41611"/>
    <cellStyle name="Total 4 2 2 3 9 2" xfId="41612"/>
    <cellStyle name="Total 4 2 2 4" xfId="41613"/>
    <cellStyle name="Total 4 2 2 4 2" xfId="41614"/>
    <cellStyle name="Total 4 2 2 5" xfId="41615"/>
    <cellStyle name="Total 4 2 2 5 2" xfId="41616"/>
    <cellStyle name="Total 4 2 2 6" xfId="41617"/>
    <cellStyle name="Total 4 2 2 6 2" xfId="41618"/>
    <cellStyle name="Total 4 2 2 7" xfId="41619"/>
    <cellStyle name="Total 4 2 2 7 2" xfId="41620"/>
    <cellStyle name="Total 4 2 2 8" xfId="41621"/>
    <cellStyle name="Total 4 2 2 8 2" xfId="41622"/>
    <cellStyle name="Total 4 2 2 9" xfId="41623"/>
    <cellStyle name="Total 4 2 2 9 2" xfId="41624"/>
    <cellStyle name="Total 4 2 3" xfId="41625"/>
    <cellStyle name="Total 4 2 3 10" xfId="41626"/>
    <cellStyle name="Total 4 2 3 10 2" xfId="41627"/>
    <cellStyle name="Total 4 2 3 11" xfId="41628"/>
    <cellStyle name="Total 4 2 3 11 2" xfId="41629"/>
    <cellStyle name="Total 4 2 3 12" xfId="41630"/>
    <cellStyle name="Total 4 2 3 12 2" xfId="41631"/>
    <cellStyle name="Total 4 2 3 13" xfId="41632"/>
    <cellStyle name="Total 4 2 3 2" xfId="41633"/>
    <cellStyle name="Total 4 2 3 2 10" xfId="41634"/>
    <cellStyle name="Total 4 2 3 2 10 2" xfId="41635"/>
    <cellStyle name="Total 4 2 3 2 11" xfId="41636"/>
    <cellStyle name="Total 4 2 3 2 2" xfId="41637"/>
    <cellStyle name="Total 4 2 3 2 2 2" xfId="41638"/>
    <cellStyle name="Total 4 2 3 2 3" xfId="41639"/>
    <cellStyle name="Total 4 2 3 2 3 2" xfId="41640"/>
    <cellStyle name="Total 4 2 3 2 4" xfId="41641"/>
    <cellStyle name="Total 4 2 3 2 4 2" xfId="41642"/>
    <cellStyle name="Total 4 2 3 2 5" xfId="41643"/>
    <cellStyle name="Total 4 2 3 2 5 2" xfId="41644"/>
    <cellStyle name="Total 4 2 3 2 6" xfId="41645"/>
    <cellStyle name="Total 4 2 3 2 6 2" xfId="41646"/>
    <cellStyle name="Total 4 2 3 2 7" xfId="41647"/>
    <cellStyle name="Total 4 2 3 2 7 2" xfId="41648"/>
    <cellStyle name="Total 4 2 3 2 8" xfId="41649"/>
    <cellStyle name="Total 4 2 3 2 8 2" xfId="41650"/>
    <cellStyle name="Total 4 2 3 2 9" xfId="41651"/>
    <cellStyle name="Total 4 2 3 2 9 2" xfId="41652"/>
    <cellStyle name="Total 4 2 3 3" xfId="41653"/>
    <cellStyle name="Total 4 2 3 3 10" xfId="41654"/>
    <cellStyle name="Total 4 2 3 3 10 2" xfId="41655"/>
    <cellStyle name="Total 4 2 3 3 11" xfId="41656"/>
    <cellStyle name="Total 4 2 3 3 2" xfId="41657"/>
    <cellStyle name="Total 4 2 3 3 2 2" xfId="41658"/>
    <cellStyle name="Total 4 2 3 3 3" xfId="41659"/>
    <cellStyle name="Total 4 2 3 3 3 2" xfId="41660"/>
    <cellStyle name="Total 4 2 3 3 4" xfId="41661"/>
    <cellStyle name="Total 4 2 3 3 4 2" xfId="41662"/>
    <cellStyle name="Total 4 2 3 3 5" xfId="41663"/>
    <cellStyle name="Total 4 2 3 3 5 2" xfId="41664"/>
    <cellStyle name="Total 4 2 3 3 6" xfId="41665"/>
    <cellStyle name="Total 4 2 3 3 6 2" xfId="41666"/>
    <cellStyle name="Total 4 2 3 3 7" xfId="41667"/>
    <cellStyle name="Total 4 2 3 3 7 2" xfId="41668"/>
    <cellStyle name="Total 4 2 3 3 8" xfId="41669"/>
    <cellStyle name="Total 4 2 3 3 8 2" xfId="41670"/>
    <cellStyle name="Total 4 2 3 3 9" xfId="41671"/>
    <cellStyle name="Total 4 2 3 3 9 2" xfId="41672"/>
    <cellStyle name="Total 4 2 3 4" xfId="41673"/>
    <cellStyle name="Total 4 2 3 4 2" xfId="41674"/>
    <cellStyle name="Total 4 2 3 5" xfId="41675"/>
    <cellStyle name="Total 4 2 3 5 2" xfId="41676"/>
    <cellStyle name="Total 4 2 3 6" xfId="41677"/>
    <cellStyle name="Total 4 2 3 6 2" xfId="41678"/>
    <cellStyle name="Total 4 2 3 7" xfId="41679"/>
    <cellStyle name="Total 4 2 3 7 2" xfId="41680"/>
    <cellStyle name="Total 4 2 3 8" xfId="41681"/>
    <cellStyle name="Total 4 2 3 8 2" xfId="41682"/>
    <cellStyle name="Total 4 2 3 9" xfId="41683"/>
    <cellStyle name="Total 4 2 3 9 2" xfId="41684"/>
    <cellStyle name="Total 4 2 4" xfId="41685"/>
    <cellStyle name="Total 4 2 4 10" xfId="41686"/>
    <cellStyle name="Total 4 2 4 10 2" xfId="41687"/>
    <cellStyle name="Total 4 2 4 11" xfId="41688"/>
    <cellStyle name="Total 4 2 4 2" xfId="41689"/>
    <cellStyle name="Total 4 2 4 2 2" xfId="41690"/>
    <cellStyle name="Total 4 2 4 3" xfId="41691"/>
    <cellStyle name="Total 4 2 4 3 2" xfId="41692"/>
    <cellStyle name="Total 4 2 4 4" xfId="41693"/>
    <cellStyle name="Total 4 2 4 4 2" xfId="41694"/>
    <cellStyle name="Total 4 2 4 5" xfId="41695"/>
    <cellStyle name="Total 4 2 4 5 2" xfId="41696"/>
    <cellStyle name="Total 4 2 4 6" xfId="41697"/>
    <cellStyle name="Total 4 2 4 6 2" xfId="41698"/>
    <cellStyle name="Total 4 2 4 7" xfId="41699"/>
    <cellStyle name="Total 4 2 4 7 2" xfId="41700"/>
    <cellStyle name="Total 4 2 4 8" xfId="41701"/>
    <cellStyle name="Total 4 2 4 8 2" xfId="41702"/>
    <cellStyle name="Total 4 2 4 9" xfId="41703"/>
    <cellStyle name="Total 4 2 4 9 2" xfId="41704"/>
    <cellStyle name="Total 4 2 5" xfId="41705"/>
    <cellStyle name="Total 4 2 5 10" xfId="41706"/>
    <cellStyle name="Total 4 2 5 10 2" xfId="41707"/>
    <cellStyle name="Total 4 2 5 11" xfId="41708"/>
    <cellStyle name="Total 4 2 5 2" xfId="41709"/>
    <cellStyle name="Total 4 2 5 2 2" xfId="41710"/>
    <cellStyle name="Total 4 2 5 3" xfId="41711"/>
    <cellStyle name="Total 4 2 5 3 2" xfId="41712"/>
    <cellStyle name="Total 4 2 5 4" xfId="41713"/>
    <cellStyle name="Total 4 2 5 4 2" xfId="41714"/>
    <cellStyle name="Total 4 2 5 5" xfId="41715"/>
    <cellStyle name="Total 4 2 5 5 2" xfId="41716"/>
    <cellStyle name="Total 4 2 5 6" xfId="41717"/>
    <cellStyle name="Total 4 2 5 6 2" xfId="41718"/>
    <cellStyle name="Total 4 2 5 7" xfId="41719"/>
    <cellStyle name="Total 4 2 5 7 2" xfId="41720"/>
    <cellStyle name="Total 4 2 5 8" xfId="41721"/>
    <cellStyle name="Total 4 2 5 8 2" xfId="41722"/>
    <cellStyle name="Total 4 2 5 9" xfId="41723"/>
    <cellStyle name="Total 4 2 5 9 2" xfId="41724"/>
    <cellStyle name="Total 4 2 6" xfId="41725"/>
    <cellStyle name="Total 4 2 6 2" xfId="41726"/>
    <cellStyle name="Total 4 2 7" xfId="41727"/>
    <cellStyle name="Total 4 2 7 2" xfId="41728"/>
    <cellStyle name="Total 4 2 8" xfId="41729"/>
    <cellStyle name="Total 4 2 8 2" xfId="41730"/>
    <cellStyle name="Total 4 2 9" xfId="41731"/>
    <cellStyle name="Total 4 2 9 2" xfId="41732"/>
    <cellStyle name="Total 4 3" xfId="41733"/>
    <cellStyle name="Total 4 3 10" xfId="41734"/>
    <cellStyle name="Total 4 3 10 2" xfId="41735"/>
    <cellStyle name="Total 4 3 11" xfId="41736"/>
    <cellStyle name="Total 4 3 11 2" xfId="41737"/>
    <cellStyle name="Total 4 3 12" xfId="41738"/>
    <cellStyle name="Total 4 3 12 2" xfId="41739"/>
    <cellStyle name="Total 4 3 13" xfId="41740"/>
    <cellStyle name="Total 4 3 2" xfId="41741"/>
    <cellStyle name="Total 4 3 2 10" xfId="41742"/>
    <cellStyle name="Total 4 3 2 10 2" xfId="41743"/>
    <cellStyle name="Total 4 3 2 11" xfId="41744"/>
    <cellStyle name="Total 4 3 2 2" xfId="41745"/>
    <cellStyle name="Total 4 3 2 2 2" xfId="41746"/>
    <cellStyle name="Total 4 3 2 3" xfId="41747"/>
    <cellStyle name="Total 4 3 2 3 2" xfId="41748"/>
    <cellStyle name="Total 4 3 2 4" xfId="41749"/>
    <cellStyle name="Total 4 3 2 4 2" xfId="41750"/>
    <cellStyle name="Total 4 3 2 5" xfId="41751"/>
    <cellStyle name="Total 4 3 2 5 2" xfId="41752"/>
    <cellStyle name="Total 4 3 2 6" xfId="41753"/>
    <cellStyle name="Total 4 3 2 6 2" xfId="41754"/>
    <cellStyle name="Total 4 3 2 7" xfId="41755"/>
    <cellStyle name="Total 4 3 2 7 2" xfId="41756"/>
    <cellStyle name="Total 4 3 2 8" xfId="41757"/>
    <cellStyle name="Total 4 3 2 8 2" xfId="41758"/>
    <cellStyle name="Total 4 3 2 9" xfId="41759"/>
    <cellStyle name="Total 4 3 2 9 2" xfId="41760"/>
    <cellStyle name="Total 4 3 3" xfId="41761"/>
    <cellStyle name="Total 4 3 3 10" xfId="41762"/>
    <cellStyle name="Total 4 3 3 10 2" xfId="41763"/>
    <cellStyle name="Total 4 3 3 11" xfId="41764"/>
    <cellStyle name="Total 4 3 3 2" xfId="41765"/>
    <cellStyle name="Total 4 3 3 2 2" xfId="41766"/>
    <cellStyle name="Total 4 3 3 3" xfId="41767"/>
    <cellStyle name="Total 4 3 3 3 2" xfId="41768"/>
    <cellStyle name="Total 4 3 3 4" xfId="41769"/>
    <cellStyle name="Total 4 3 3 4 2" xfId="41770"/>
    <cellStyle name="Total 4 3 3 5" xfId="41771"/>
    <cellStyle name="Total 4 3 3 5 2" xfId="41772"/>
    <cellStyle name="Total 4 3 3 6" xfId="41773"/>
    <cellStyle name="Total 4 3 3 6 2" xfId="41774"/>
    <cellStyle name="Total 4 3 3 7" xfId="41775"/>
    <cellStyle name="Total 4 3 3 7 2" xfId="41776"/>
    <cellStyle name="Total 4 3 3 8" xfId="41777"/>
    <cellStyle name="Total 4 3 3 8 2" xfId="41778"/>
    <cellStyle name="Total 4 3 3 9" xfId="41779"/>
    <cellStyle name="Total 4 3 3 9 2" xfId="41780"/>
    <cellStyle name="Total 4 3 4" xfId="41781"/>
    <cellStyle name="Total 4 3 4 2" xfId="41782"/>
    <cellStyle name="Total 4 3 5" xfId="41783"/>
    <cellStyle name="Total 4 3 5 2" xfId="41784"/>
    <cellStyle name="Total 4 3 6" xfId="41785"/>
    <cellStyle name="Total 4 3 6 2" xfId="41786"/>
    <cellStyle name="Total 4 3 7" xfId="41787"/>
    <cellStyle name="Total 4 3 7 2" xfId="41788"/>
    <cellStyle name="Total 4 3 8" xfId="41789"/>
    <cellStyle name="Total 4 3 8 2" xfId="41790"/>
    <cellStyle name="Total 4 3 9" xfId="41791"/>
    <cellStyle name="Total 4 3 9 2" xfId="41792"/>
    <cellStyle name="Total 4 4" xfId="41793"/>
    <cellStyle name="Total 4 4 10" xfId="41794"/>
    <cellStyle name="Total 4 4 10 2" xfId="41795"/>
    <cellStyle name="Total 4 4 11" xfId="41796"/>
    <cellStyle name="Total 4 4 11 2" xfId="41797"/>
    <cellStyle name="Total 4 4 12" xfId="41798"/>
    <cellStyle name="Total 4 4 12 2" xfId="41799"/>
    <cellStyle name="Total 4 4 13" xfId="41800"/>
    <cellStyle name="Total 4 4 2" xfId="41801"/>
    <cellStyle name="Total 4 4 2 10" xfId="41802"/>
    <cellStyle name="Total 4 4 2 10 2" xfId="41803"/>
    <cellStyle name="Total 4 4 2 11" xfId="41804"/>
    <cellStyle name="Total 4 4 2 2" xfId="41805"/>
    <cellStyle name="Total 4 4 2 2 2" xfId="41806"/>
    <cellStyle name="Total 4 4 2 3" xfId="41807"/>
    <cellStyle name="Total 4 4 2 3 2" xfId="41808"/>
    <cellStyle name="Total 4 4 2 4" xfId="41809"/>
    <cellStyle name="Total 4 4 2 4 2" xfId="41810"/>
    <cellStyle name="Total 4 4 2 5" xfId="41811"/>
    <cellStyle name="Total 4 4 2 5 2" xfId="41812"/>
    <cellStyle name="Total 4 4 2 6" xfId="41813"/>
    <cellStyle name="Total 4 4 2 6 2" xfId="41814"/>
    <cellStyle name="Total 4 4 2 7" xfId="41815"/>
    <cellStyle name="Total 4 4 2 7 2" xfId="41816"/>
    <cellStyle name="Total 4 4 2 8" xfId="41817"/>
    <cellStyle name="Total 4 4 2 8 2" xfId="41818"/>
    <cellStyle name="Total 4 4 2 9" xfId="41819"/>
    <cellStyle name="Total 4 4 2 9 2" xfId="41820"/>
    <cellStyle name="Total 4 4 3" xfId="41821"/>
    <cellStyle name="Total 4 4 3 10" xfId="41822"/>
    <cellStyle name="Total 4 4 3 10 2" xfId="41823"/>
    <cellStyle name="Total 4 4 3 11" xfId="41824"/>
    <cellStyle name="Total 4 4 3 2" xfId="41825"/>
    <cellStyle name="Total 4 4 3 2 2" xfId="41826"/>
    <cellStyle name="Total 4 4 3 3" xfId="41827"/>
    <cellStyle name="Total 4 4 3 3 2" xfId="41828"/>
    <cellStyle name="Total 4 4 3 4" xfId="41829"/>
    <cellStyle name="Total 4 4 3 4 2" xfId="41830"/>
    <cellStyle name="Total 4 4 3 5" xfId="41831"/>
    <cellStyle name="Total 4 4 3 5 2" xfId="41832"/>
    <cellStyle name="Total 4 4 3 6" xfId="41833"/>
    <cellStyle name="Total 4 4 3 6 2" xfId="41834"/>
    <cellStyle name="Total 4 4 3 7" xfId="41835"/>
    <cellStyle name="Total 4 4 3 7 2" xfId="41836"/>
    <cellStyle name="Total 4 4 3 8" xfId="41837"/>
    <cellStyle name="Total 4 4 3 8 2" xfId="41838"/>
    <cellStyle name="Total 4 4 3 9" xfId="41839"/>
    <cellStyle name="Total 4 4 3 9 2" xfId="41840"/>
    <cellStyle name="Total 4 4 4" xfId="41841"/>
    <cellStyle name="Total 4 4 4 2" xfId="41842"/>
    <cellStyle name="Total 4 4 5" xfId="41843"/>
    <cellStyle name="Total 4 4 5 2" xfId="41844"/>
    <cellStyle name="Total 4 4 6" xfId="41845"/>
    <cellStyle name="Total 4 4 6 2" xfId="41846"/>
    <cellStyle name="Total 4 4 7" xfId="41847"/>
    <cellStyle name="Total 4 4 7 2" xfId="41848"/>
    <cellStyle name="Total 4 4 8" xfId="41849"/>
    <cellStyle name="Total 4 4 8 2" xfId="41850"/>
    <cellStyle name="Total 4 4 9" xfId="41851"/>
    <cellStyle name="Total 4 4 9 2" xfId="41852"/>
    <cellStyle name="Total 4 5" xfId="41853"/>
    <cellStyle name="Total 4 5 10" xfId="41854"/>
    <cellStyle name="Total 4 5 10 2" xfId="41855"/>
    <cellStyle name="Total 4 5 11" xfId="41856"/>
    <cellStyle name="Total 4 5 2" xfId="41857"/>
    <cellStyle name="Total 4 5 2 2" xfId="41858"/>
    <cellStyle name="Total 4 5 3" xfId="41859"/>
    <cellStyle name="Total 4 5 3 2" xfId="41860"/>
    <cellStyle name="Total 4 5 4" xfId="41861"/>
    <cellStyle name="Total 4 5 4 2" xfId="41862"/>
    <cellStyle name="Total 4 5 5" xfId="41863"/>
    <cellStyle name="Total 4 5 5 2" xfId="41864"/>
    <cellStyle name="Total 4 5 6" xfId="41865"/>
    <cellStyle name="Total 4 5 6 2" xfId="41866"/>
    <cellStyle name="Total 4 5 7" xfId="41867"/>
    <cellStyle name="Total 4 5 7 2" xfId="41868"/>
    <cellStyle name="Total 4 5 8" xfId="41869"/>
    <cellStyle name="Total 4 5 8 2" xfId="41870"/>
    <cellStyle name="Total 4 5 9" xfId="41871"/>
    <cellStyle name="Total 4 5 9 2" xfId="41872"/>
    <cellStyle name="Total 4 6" xfId="41873"/>
    <cellStyle name="Total 4 6 10" xfId="41874"/>
    <cellStyle name="Total 4 6 10 2" xfId="41875"/>
    <cellStyle name="Total 4 6 11" xfId="41876"/>
    <cellStyle name="Total 4 6 2" xfId="41877"/>
    <cellStyle name="Total 4 6 2 2" xfId="41878"/>
    <cellStyle name="Total 4 6 3" xfId="41879"/>
    <cellStyle name="Total 4 6 3 2" xfId="41880"/>
    <cellStyle name="Total 4 6 4" xfId="41881"/>
    <cellStyle name="Total 4 6 4 2" xfId="41882"/>
    <cellStyle name="Total 4 6 5" xfId="41883"/>
    <cellStyle name="Total 4 6 5 2" xfId="41884"/>
    <cellStyle name="Total 4 6 6" xfId="41885"/>
    <cellStyle name="Total 4 6 6 2" xfId="41886"/>
    <cellStyle name="Total 4 6 7" xfId="41887"/>
    <cellStyle name="Total 4 6 7 2" xfId="41888"/>
    <cellStyle name="Total 4 6 8" xfId="41889"/>
    <cellStyle name="Total 4 6 8 2" xfId="41890"/>
    <cellStyle name="Total 4 6 9" xfId="41891"/>
    <cellStyle name="Total 4 6 9 2" xfId="41892"/>
    <cellStyle name="Total 4 7" xfId="41893"/>
    <cellStyle name="Total 4 7 2" xfId="41894"/>
    <cellStyle name="Total 4 8" xfId="41895"/>
    <cellStyle name="Total 4 8 2" xfId="41896"/>
    <cellStyle name="Total 4 9" xfId="41897"/>
    <cellStyle name="Total 4 9 2" xfId="41898"/>
    <cellStyle name="Total 5" xfId="41899"/>
    <cellStyle name="Total 5 10" xfId="41900"/>
    <cellStyle name="Total 5 10 2" xfId="41901"/>
    <cellStyle name="Total 5 11" xfId="41902"/>
    <cellStyle name="Total 5 11 2" xfId="41903"/>
    <cellStyle name="Total 5 12" xfId="41904"/>
    <cellStyle name="Total 5 12 2" xfId="41905"/>
    <cellStyle name="Total 5 13" xfId="41906"/>
    <cellStyle name="Total 5 2" xfId="41907"/>
    <cellStyle name="Total 5 2 10" xfId="41908"/>
    <cellStyle name="Total 5 2 10 2" xfId="41909"/>
    <cellStyle name="Total 5 2 11" xfId="41910"/>
    <cellStyle name="Total 5 2 2" xfId="41911"/>
    <cellStyle name="Total 5 2 2 2" xfId="41912"/>
    <cellStyle name="Total 5 2 3" xfId="41913"/>
    <cellStyle name="Total 5 2 3 2" xfId="41914"/>
    <cellStyle name="Total 5 2 4" xfId="41915"/>
    <cellStyle name="Total 5 2 4 2" xfId="41916"/>
    <cellStyle name="Total 5 2 5" xfId="41917"/>
    <cellStyle name="Total 5 2 5 2" xfId="41918"/>
    <cellStyle name="Total 5 2 6" xfId="41919"/>
    <cellStyle name="Total 5 2 6 2" xfId="41920"/>
    <cellStyle name="Total 5 2 7" xfId="41921"/>
    <cellStyle name="Total 5 2 7 2" xfId="41922"/>
    <cellStyle name="Total 5 2 8" xfId="41923"/>
    <cellStyle name="Total 5 2 8 2" xfId="41924"/>
    <cellStyle name="Total 5 2 9" xfId="41925"/>
    <cellStyle name="Total 5 2 9 2" xfId="41926"/>
    <cellStyle name="Total 5 3" xfId="41927"/>
    <cellStyle name="Total 5 3 10" xfId="41928"/>
    <cellStyle name="Total 5 3 10 2" xfId="41929"/>
    <cellStyle name="Total 5 3 11" xfId="41930"/>
    <cellStyle name="Total 5 3 2" xfId="41931"/>
    <cellStyle name="Total 5 3 2 2" xfId="41932"/>
    <cellStyle name="Total 5 3 3" xfId="41933"/>
    <cellStyle name="Total 5 3 3 2" xfId="41934"/>
    <cellStyle name="Total 5 3 4" xfId="41935"/>
    <cellStyle name="Total 5 3 4 2" xfId="41936"/>
    <cellStyle name="Total 5 3 5" xfId="41937"/>
    <cellStyle name="Total 5 3 5 2" xfId="41938"/>
    <cellStyle name="Total 5 3 6" xfId="41939"/>
    <cellStyle name="Total 5 3 6 2" xfId="41940"/>
    <cellStyle name="Total 5 3 7" xfId="41941"/>
    <cellStyle name="Total 5 3 7 2" xfId="41942"/>
    <cellStyle name="Total 5 3 8" xfId="41943"/>
    <cellStyle name="Total 5 3 8 2" xfId="41944"/>
    <cellStyle name="Total 5 3 9" xfId="41945"/>
    <cellStyle name="Total 5 3 9 2" xfId="41946"/>
    <cellStyle name="Total 5 4" xfId="41947"/>
    <cellStyle name="Total 5 4 2" xfId="41948"/>
    <cellStyle name="Total 5 5" xfId="41949"/>
    <cellStyle name="Total 5 5 2" xfId="41950"/>
    <cellStyle name="Total 5 6" xfId="41951"/>
    <cellStyle name="Total 5 6 2" xfId="41952"/>
    <cellStyle name="Total 5 7" xfId="41953"/>
    <cellStyle name="Total 5 7 2" xfId="41954"/>
    <cellStyle name="Total 5 8" xfId="41955"/>
    <cellStyle name="Total 5 8 2" xfId="41956"/>
    <cellStyle name="Total 5 9" xfId="41957"/>
    <cellStyle name="Total 5 9 2" xfId="41958"/>
    <cellStyle name="Total 6" xfId="41959"/>
    <cellStyle name="Total 6 10" xfId="41960"/>
    <cellStyle name="Total 6 10 2" xfId="41961"/>
    <cellStyle name="Total 6 11" xfId="41962"/>
    <cellStyle name="Total 6 11 2" xfId="41963"/>
    <cellStyle name="Total 6 12" xfId="41964"/>
    <cellStyle name="Total 6 12 2" xfId="41965"/>
    <cellStyle name="Total 6 13" xfId="41966"/>
    <cellStyle name="Total 6 2" xfId="41967"/>
    <cellStyle name="Total 6 2 10" xfId="41968"/>
    <cellStyle name="Total 6 2 10 2" xfId="41969"/>
    <cellStyle name="Total 6 2 11" xfId="41970"/>
    <cellStyle name="Total 6 2 2" xfId="41971"/>
    <cellStyle name="Total 6 2 2 2" xfId="41972"/>
    <cellStyle name="Total 6 2 3" xfId="41973"/>
    <cellStyle name="Total 6 2 3 2" xfId="41974"/>
    <cellStyle name="Total 6 2 4" xfId="41975"/>
    <cellStyle name="Total 6 2 4 2" xfId="41976"/>
    <cellStyle name="Total 6 2 5" xfId="41977"/>
    <cellStyle name="Total 6 2 5 2" xfId="41978"/>
    <cellStyle name="Total 6 2 6" xfId="41979"/>
    <cellStyle name="Total 6 2 6 2" xfId="41980"/>
    <cellStyle name="Total 6 2 7" xfId="41981"/>
    <cellStyle name="Total 6 2 7 2" xfId="41982"/>
    <cellStyle name="Total 6 2 8" xfId="41983"/>
    <cellStyle name="Total 6 2 8 2" xfId="41984"/>
    <cellStyle name="Total 6 2 9" xfId="41985"/>
    <cellStyle name="Total 6 2 9 2" xfId="41986"/>
    <cellStyle name="Total 6 3" xfId="41987"/>
    <cellStyle name="Total 6 3 10" xfId="41988"/>
    <cellStyle name="Total 6 3 10 2" xfId="41989"/>
    <cellStyle name="Total 6 3 11" xfId="41990"/>
    <cellStyle name="Total 6 3 2" xfId="41991"/>
    <cellStyle name="Total 6 3 2 2" xfId="41992"/>
    <cellStyle name="Total 6 3 3" xfId="41993"/>
    <cellStyle name="Total 6 3 3 2" xfId="41994"/>
    <cellStyle name="Total 6 3 4" xfId="41995"/>
    <cellStyle name="Total 6 3 4 2" xfId="41996"/>
    <cellStyle name="Total 6 3 5" xfId="41997"/>
    <cellStyle name="Total 6 3 5 2" xfId="41998"/>
    <cellStyle name="Total 6 3 6" xfId="41999"/>
    <cellStyle name="Total 6 3 6 2" xfId="42000"/>
    <cellStyle name="Total 6 3 7" xfId="42001"/>
    <cellStyle name="Total 6 3 7 2" xfId="42002"/>
    <cellStyle name="Total 6 3 8" xfId="42003"/>
    <cellStyle name="Total 6 3 8 2" xfId="42004"/>
    <cellStyle name="Total 6 3 9" xfId="42005"/>
    <cellStyle name="Total 6 3 9 2" xfId="42006"/>
    <cellStyle name="Total 6 4" xfId="42007"/>
    <cellStyle name="Total 6 4 2" xfId="42008"/>
    <cellStyle name="Total 6 5" xfId="42009"/>
    <cellStyle name="Total 6 5 2" xfId="42010"/>
    <cellStyle name="Total 6 6" xfId="42011"/>
    <cellStyle name="Total 6 6 2" xfId="42012"/>
    <cellStyle name="Total 6 7" xfId="42013"/>
    <cellStyle name="Total 6 7 2" xfId="42014"/>
    <cellStyle name="Total 6 8" xfId="42015"/>
    <cellStyle name="Total 6 8 2" xfId="42016"/>
    <cellStyle name="Total 6 9" xfId="42017"/>
    <cellStyle name="Total 6 9 2" xfId="42018"/>
    <cellStyle name="Total 7" xfId="42019"/>
    <cellStyle name="Total 7 10" xfId="42020"/>
    <cellStyle name="Total 7 10 2" xfId="42021"/>
    <cellStyle name="Total 7 11" xfId="42022"/>
    <cellStyle name="Total 7 11 2" xfId="42023"/>
    <cellStyle name="Total 7 12" xfId="42024"/>
    <cellStyle name="Total 7 12 2" xfId="42025"/>
    <cellStyle name="Total 7 13" xfId="42026"/>
    <cellStyle name="Total 7 2" xfId="42027"/>
    <cellStyle name="Total 7 2 10" xfId="42028"/>
    <cellStyle name="Total 7 2 10 2" xfId="42029"/>
    <cellStyle name="Total 7 2 11" xfId="42030"/>
    <cellStyle name="Total 7 2 2" xfId="42031"/>
    <cellStyle name="Total 7 2 2 2" xfId="42032"/>
    <cellStyle name="Total 7 2 3" xfId="42033"/>
    <cellStyle name="Total 7 2 3 2" xfId="42034"/>
    <cellStyle name="Total 7 2 4" xfId="42035"/>
    <cellStyle name="Total 7 2 4 2" xfId="42036"/>
    <cellStyle name="Total 7 2 5" xfId="42037"/>
    <cellStyle name="Total 7 2 5 2" xfId="42038"/>
    <cellStyle name="Total 7 2 6" xfId="42039"/>
    <cellStyle name="Total 7 2 6 2" xfId="42040"/>
    <cellStyle name="Total 7 2 7" xfId="42041"/>
    <cellStyle name="Total 7 2 7 2" xfId="42042"/>
    <cellStyle name="Total 7 2 8" xfId="42043"/>
    <cellStyle name="Total 7 2 8 2" xfId="42044"/>
    <cellStyle name="Total 7 2 9" xfId="42045"/>
    <cellStyle name="Total 7 2 9 2" xfId="42046"/>
    <cellStyle name="Total 7 3" xfId="42047"/>
    <cellStyle name="Total 7 3 10" xfId="42048"/>
    <cellStyle name="Total 7 3 10 2" xfId="42049"/>
    <cellStyle name="Total 7 3 11" xfId="42050"/>
    <cellStyle name="Total 7 3 2" xfId="42051"/>
    <cellStyle name="Total 7 3 2 2" xfId="42052"/>
    <cellStyle name="Total 7 3 3" xfId="42053"/>
    <cellStyle name="Total 7 3 3 2" xfId="42054"/>
    <cellStyle name="Total 7 3 4" xfId="42055"/>
    <cellStyle name="Total 7 3 4 2" xfId="42056"/>
    <cellStyle name="Total 7 3 5" xfId="42057"/>
    <cellStyle name="Total 7 3 5 2" xfId="42058"/>
    <cellStyle name="Total 7 3 6" xfId="42059"/>
    <cellStyle name="Total 7 3 6 2" xfId="42060"/>
    <cellStyle name="Total 7 3 7" xfId="42061"/>
    <cellStyle name="Total 7 3 7 2" xfId="42062"/>
    <cellStyle name="Total 7 3 8" xfId="42063"/>
    <cellStyle name="Total 7 3 8 2" xfId="42064"/>
    <cellStyle name="Total 7 3 9" xfId="42065"/>
    <cellStyle name="Total 7 3 9 2" xfId="42066"/>
    <cellStyle name="Total 7 4" xfId="42067"/>
    <cellStyle name="Total 7 4 2" xfId="42068"/>
    <cellStyle name="Total 7 5" xfId="42069"/>
    <cellStyle name="Total 7 5 2" xfId="42070"/>
    <cellStyle name="Total 7 6" xfId="42071"/>
    <cellStyle name="Total 7 6 2" xfId="42072"/>
    <cellStyle name="Total 7 7" xfId="42073"/>
    <cellStyle name="Total 7 7 2" xfId="42074"/>
    <cellStyle name="Total 7 8" xfId="42075"/>
    <cellStyle name="Total 7 8 2" xfId="42076"/>
    <cellStyle name="Total 7 9" xfId="42077"/>
    <cellStyle name="Total 7 9 2" xfId="42078"/>
    <cellStyle name="Total 8" xfId="42079"/>
    <cellStyle name="Total 9" xfId="42080"/>
  </cellStyles>
  <dxfs count="44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name val="Calibri"/>
        <scheme val="minor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alignment wrapText="1" readingOrder="0"/>
    </dxf>
    <dxf>
      <alignment wrapText="0" readingOrder="0"/>
    </dxf>
    <dxf>
      <alignment wrapTex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CC99FF"/>
      <color rgb="FFFFFF00"/>
      <color rgb="FFFCF98E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42335</xdr:rowOff>
    </xdr:from>
    <xdr:to>
      <xdr:col>1</xdr:col>
      <xdr:colOff>1549569</xdr:colOff>
      <xdr:row>2</xdr:row>
      <xdr:rowOff>288636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" y="194735"/>
          <a:ext cx="1549569" cy="528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1617579</xdr:colOff>
      <xdr:row>1</xdr:row>
      <xdr:rowOff>0</xdr:rowOff>
    </xdr:from>
    <xdr:to>
      <xdr:col>2</xdr:col>
      <xdr:colOff>728169</xdr:colOff>
      <xdr:row>3</xdr:row>
      <xdr:rowOff>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899" y="182880"/>
          <a:ext cx="148041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145144</xdr:colOff>
      <xdr:row>0</xdr:row>
      <xdr:rowOff>0</xdr:rowOff>
    </xdr:from>
    <xdr:to>
      <xdr:col>3</xdr:col>
      <xdr:colOff>980046</xdr:colOff>
      <xdr:row>1</xdr:row>
      <xdr:rowOff>80886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184" y="0"/>
          <a:ext cx="1497842" cy="393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87367</xdr:rowOff>
    </xdr:from>
    <xdr:ext cx="1019175" cy="522233"/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367"/>
          <a:ext cx="1019175" cy="52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33131</xdr:colOff>
      <xdr:row>1</xdr:row>
      <xdr:rowOff>11043</xdr:rowOff>
    </xdr:from>
    <xdr:ext cx="1019175" cy="522233"/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31" y="198782"/>
          <a:ext cx="1019175" cy="52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8690" cy="522233"/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8690" cy="52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32658</xdr:colOff>
      <xdr:row>0</xdr:row>
      <xdr:rowOff>0</xdr:rowOff>
    </xdr:from>
    <xdr:to>
      <xdr:col>3</xdr:col>
      <xdr:colOff>361043</xdr:colOff>
      <xdr:row>0</xdr:row>
      <xdr:rowOff>382901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829" y="0"/>
          <a:ext cx="1155699" cy="38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642833</xdr:colOff>
      <xdr:row>1</xdr:row>
      <xdr:rowOff>201060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39469" cy="38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62024</xdr:colOff>
      <xdr:row>0</xdr:row>
      <xdr:rowOff>181640</xdr:rowOff>
    </xdr:from>
    <xdr:to>
      <xdr:col>0</xdr:col>
      <xdr:colOff>1501493</xdr:colOff>
      <xdr:row>2</xdr:row>
      <xdr:rowOff>174681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24" y="181640"/>
          <a:ext cx="1439469" cy="381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657.711285763886" createdVersion="3" refreshedVersion="3" minRefreshableVersion="3" recordCount="1095">
  <cacheSource type="worksheet">
    <worksheetSource ref="C3:K1098" sheet="Consumo Cesiones_VIII"/>
  </cacheSource>
  <cacheFields count="9">
    <cacheField name="N° RES" numFmtId="0">
      <sharedItems containsString="0" containsBlank="1" containsNumber="1" containsInteger="1" minValue="2" maxValue="2485"/>
    </cacheField>
    <cacheField name="Fecha" numFmtId="0">
      <sharedItems containsNonDate="0" containsDate="1" containsString="0" containsBlank="1" minDate="2019-02-07T00:00:00" maxDate="2019-07-11T00:00:00"/>
    </cacheField>
    <cacheField name="Tipo de Cesion" numFmtId="0">
      <sharedItems containsBlank="1"/>
    </cacheField>
    <cacheField name="Nm_Nave" numFmtId="0">
      <sharedItems containsBlank="1"/>
    </cacheField>
    <cacheField name="RPA NAVE" numFmtId="0">
      <sharedItems containsString="0" containsBlank="1" containsNumber="1" containsInteger="1" minValue="4564" maxValue="967746"/>
    </cacheField>
    <cacheField name="N° ORG" numFmtId="0">
      <sharedItems containsString="0" containsBlank="1" containsNumber="1" containsInteger="1" minValue="1" maxValue="76"/>
    </cacheField>
    <cacheField name="CESIÓN" numFmtId="0">
      <sharedItems containsBlank="1" count="3">
        <s v="ANCHOVETA"/>
        <s v="SARDINA COMUN"/>
        <m/>
      </sharedItems>
    </cacheField>
    <cacheField name="cantidad (Ton)" numFmtId="0">
      <sharedItems containsString="0" containsBlank="1" containsNumber="1" minValue="0" maxValue="2075.3290000000002"/>
    </cacheField>
    <cacheField name="Desembarque (Ton)" numFmtId="0">
      <sharedItems containsString="0" containsBlank="1" containsNumber="1" minValue="0" maxValue="1319.45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5">
  <r>
    <n v="541"/>
    <d v="2019-02-11T00:00:00"/>
    <s v="Industrial (CESION LTP)"/>
    <s v="CATALINA M"/>
    <n v="966599"/>
    <n v="56"/>
    <x v="0"/>
    <n v="0"/>
    <n v="0"/>
  </r>
  <r>
    <n v="541"/>
    <d v="2019-02-11T00:00:00"/>
    <s v="Industrial (CESION LTP)"/>
    <s v="CATALINA M"/>
    <n v="966599"/>
    <n v="56"/>
    <x v="1"/>
    <n v="22.138000000000002"/>
    <n v="44.534999999999997"/>
  </r>
  <r>
    <n v="541"/>
    <d v="2019-02-11T00:00:00"/>
    <s v="Industrial (CESION LTP)"/>
    <s v="CLAUDIO"/>
    <n v="961338"/>
    <n v="56"/>
    <x v="0"/>
    <n v="0"/>
    <n v="0"/>
  </r>
  <r>
    <n v="541"/>
    <d v="2019-02-11T00:00:00"/>
    <s v="Industrial (CESION LTP)"/>
    <s v="CLAUDIO"/>
    <n v="961338"/>
    <n v="56"/>
    <x v="1"/>
    <n v="22.138000000000002"/>
    <n v="45.186"/>
  </r>
  <r>
    <n v="541"/>
    <d v="2019-02-11T00:00:00"/>
    <s v="Industrial (CESION LTP)"/>
    <s v="DON LUCHO III"/>
    <n v="962289"/>
    <n v="56"/>
    <x v="0"/>
    <n v="0"/>
    <n v="0"/>
  </r>
  <r>
    <n v="541"/>
    <d v="2019-02-11T00:00:00"/>
    <s v="Industrial (CESION LTP)"/>
    <s v="DON LUCHO III"/>
    <n v="962289"/>
    <n v="56"/>
    <x v="1"/>
    <n v="22.138000000000002"/>
    <n v="41.970999999999997"/>
  </r>
  <r>
    <n v="541"/>
    <d v="2019-02-11T00:00:00"/>
    <s v="Industrial (CESION LTP)"/>
    <s v="FLORINA I"/>
    <n v="964913"/>
    <n v="56"/>
    <x v="0"/>
    <n v="0"/>
    <n v="0"/>
  </r>
  <r>
    <n v="541"/>
    <d v="2019-02-11T00:00:00"/>
    <s v="Industrial (CESION LTP)"/>
    <s v="FLORINA I"/>
    <n v="964913"/>
    <n v="56"/>
    <x v="1"/>
    <n v="22.138000000000002"/>
    <n v="0"/>
  </r>
  <r>
    <n v="541"/>
    <d v="2019-02-11T00:00:00"/>
    <s v="Industrial (CESION LTP)"/>
    <s v="GIANLUCA"/>
    <n v="966994"/>
    <n v="56"/>
    <x v="0"/>
    <n v="0"/>
    <n v="0"/>
  </r>
  <r>
    <n v="541"/>
    <d v="2019-02-11T00:00:00"/>
    <s v="Industrial (CESION LTP)"/>
    <s v="GIANLUCA"/>
    <n v="966994"/>
    <n v="56"/>
    <x v="1"/>
    <n v="22.138000000000002"/>
    <n v="0"/>
  </r>
  <r>
    <n v="541"/>
    <d v="2019-02-11T00:00:00"/>
    <s v="Industrial (CESION LTP)"/>
    <s v="MAURICIO IGNACIO"/>
    <n v="964576"/>
    <n v="56"/>
    <x v="0"/>
    <n v="0"/>
    <n v="0"/>
  </r>
  <r>
    <n v="541"/>
    <d v="2019-02-11T00:00:00"/>
    <s v="Industrial (CESION LTP)"/>
    <s v="MAURICIO IGNACIO"/>
    <n v="964576"/>
    <n v="56"/>
    <x v="1"/>
    <n v="22.138000000000002"/>
    <n v="28.055"/>
  </r>
  <r>
    <n v="541"/>
    <d v="2019-02-11T00:00:00"/>
    <s v="Industrial (CESION LTP)"/>
    <s v="NIÑA XIMENA"/>
    <n v="966995"/>
    <n v="56"/>
    <x v="0"/>
    <n v="0"/>
    <n v="0"/>
  </r>
  <r>
    <n v="541"/>
    <d v="2019-02-11T00:00:00"/>
    <s v="Industrial (CESION LTP)"/>
    <s v="NIÑA XIMENA"/>
    <n v="966995"/>
    <n v="56"/>
    <x v="1"/>
    <n v="22.138000000000002"/>
    <n v="0"/>
  </r>
  <r>
    <n v="541"/>
    <d v="2019-02-11T00:00:00"/>
    <s v="Industrial (CESION LTP)"/>
    <s v="PAOLA I"/>
    <n v="953902"/>
    <n v="56"/>
    <x v="0"/>
    <n v="0"/>
    <n v="0"/>
  </r>
  <r>
    <n v="541"/>
    <d v="2019-02-11T00:00:00"/>
    <s v="Industrial (CESION LTP)"/>
    <s v="PAOLA I"/>
    <n v="953902"/>
    <n v="56"/>
    <x v="1"/>
    <n v="22.138000000000002"/>
    <n v="0"/>
  </r>
  <r>
    <n v="541"/>
    <d v="2019-02-11T00:00:00"/>
    <s v="Industrial (CESION LTP)"/>
    <s v="PAOLA II"/>
    <n v="966633"/>
    <n v="56"/>
    <x v="0"/>
    <n v="0"/>
    <n v="0"/>
  </r>
  <r>
    <n v="541"/>
    <d v="2019-02-11T00:00:00"/>
    <s v="Industrial (CESION LTP)"/>
    <s v="PAOLA II"/>
    <n v="966633"/>
    <n v="56"/>
    <x v="1"/>
    <n v="22.138000000000002"/>
    <n v="39.494999999999997"/>
  </r>
  <r>
    <n v="543"/>
    <d v="2019-02-11T00:00:00"/>
    <s v="Industrial (CESION LTP)"/>
    <s v="DON CLAUDIO"/>
    <n v="924618"/>
    <n v="57"/>
    <x v="0"/>
    <n v="14.904999999999999"/>
    <n v="0"/>
  </r>
  <r>
    <n v="543"/>
    <d v="2019-02-11T00:00:00"/>
    <s v="Industrial (CESION LTP)"/>
    <s v="DON CLAUDIO"/>
    <n v="924618"/>
    <n v="57"/>
    <x v="1"/>
    <n v="28.632000000000001"/>
    <n v="0"/>
  </r>
  <r>
    <n v="543"/>
    <d v="2019-02-11T00:00:00"/>
    <s v="Industrial (CESION LTP)"/>
    <s v="DON ENRI"/>
    <n v="957798"/>
    <n v="57"/>
    <x v="0"/>
    <n v="14.904999999999999"/>
    <n v="0"/>
  </r>
  <r>
    <n v="543"/>
    <d v="2019-02-11T00:00:00"/>
    <s v="Industrial (CESION LTP)"/>
    <s v="DON ENRI"/>
    <n v="957798"/>
    <n v="57"/>
    <x v="1"/>
    <n v="28.632000000000001"/>
    <n v="0"/>
  </r>
  <r>
    <n v="543"/>
    <d v="2019-02-11T00:00:00"/>
    <s v="Industrial (CESION LTP)"/>
    <s v="DON LUIS ALBERTO II"/>
    <n v="957816"/>
    <n v="57"/>
    <x v="0"/>
    <n v="14.904999999999999"/>
    <n v="0"/>
  </r>
  <r>
    <n v="543"/>
    <d v="2019-02-11T00:00:00"/>
    <s v="Industrial (CESION LTP)"/>
    <s v="DON LUIS ALBERTO II"/>
    <n v="957816"/>
    <n v="57"/>
    <x v="1"/>
    <n v="28.632000000000001"/>
    <n v="63.17"/>
  </r>
  <r>
    <n v="543"/>
    <d v="2019-02-11T00:00:00"/>
    <s v="Industrial (CESION LTP)"/>
    <s v="DOÑA CHITA"/>
    <n v="963685"/>
    <n v="57"/>
    <x v="0"/>
    <n v="14.904999999999999"/>
    <n v="13.218999999999999"/>
  </r>
  <r>
    <n v="543"/>
    <d v="2019-02-11T00:00:00"/>
    <s v="Industrial (CESION LTP)"/>
    <s v="DOÑA CHITA"/>
    <n v="963685"/>
    <n v="57"/>
    <x v="1"/>
    <n v="28.632000000000001"/>
    <n v="138.334"/>
  </r>
  <r>
    <n v="543"/>
    <d v="2019-02-11T00:00:00"/>
    <s v="Industrial (CESION LTP)"/>
    <s v="GIANFRANCO"/>
    <n v="965073"/>
    <n v="57"/>
    <x v="0"/>
    <n v="14.904999999999999"/>
    <n v="3.56"/>
  </r>
  <r>
    <n v="543"/>
    <d v="2019-02-11T00:00:00"/>
    <s v="Industrial (CESION LTP)"/>
    <s v="GIANFRANCO"/>
    <n v="965073"/>
    <n v="57"/>
    <x v="1"/>
    <n v="28.632000000000001"/>
    <n v="67.64"/>
  </r>
  <r>
    <n v="543"/>
    <d v="2019-02-11T00:00:00"/>
    <s v="Industrial (CESION LTP)"/>
    <s v="JOHANA I"/>
    <n v="965344"/>
    <n v="57"/>
    <x v="0"/>
    <n v="14.904999999999999"/>
    <n v="9.4949999999999992"/>
  </r>
  <r>
    <n v="543"/>
    <d v="2019-02-11T00:00:00"/>
    <s v="Industrial (CESION LTP)"/>
    <s v="JOHANA I"/>
    <n v="965344"/>
    <n v="57"/>
    <x v="1"/>
    <n v="28.632000000000001"/>
    <n v="19.742999999999999"/>
  </r>
  <r>
    <n v="543"/>
    <d v="2019-02-11T00:00:00"/>
    <s v="Industrial (CESION LTP)"/>
    <s v="PAULINA M "/>
    <n v="967145"/>
    <n v="57"/>
    <x v="0"/>
    <n v="14.906000000000001"/>
    <n v="0"/>
  </r>
  <r>
    <n v="543"/>
    <d v="2019-02-11T00:00:00"/>
    <s v="Industrial (CESION LTP)"/>
    <s v="PAULINA M "/>
    <n v="967145"/>
    <n v="57"/>
    <x v="1"/>
    <n v="28.632000000000001"/>
    <n v="0"/>
  </r>
  <r>
    <n v="3"/>
    <d v="2019-02-15T00:00:00"/>
    <s v="Artesanal"/>
    <s v="IGNACIO S"/>
    <n v="957800"/>
    <n v="12"/>
    <x v="0"/>
    <n v="6.4320000000000004"/>
    <n v="26.741"/>
  </r>
  <r>
    <n v="3"/>
    <d v="2019-02-15T00:00:00"/>
    <s v="Artesanal"/>
    <s v="IGNACIO S"/>
    <n v="957800"/>
    <n v="12"/>
    <x v="1"/>
    <n v="29.826000000000001"/>
    <n v="78.600999999999999"/>
  </r>
  <r>
    <n v="3"/>
    <d v="2019-02-15T00:00:00"/>
    <s v="Artesanal"/>
    <s v="JEAN CARLOS"/>
    <n v="963943"/>
    <n v="12"/>
    <x v="0"/>
    <n v="6.4320000000000004"/>
    <n v="36.450000000000003"/>
  </r>
  <r>
    <n v="3"/>
    <d v="2019-02-15T00:00:00"/>
    <s v="Artesanal"/>
    <s v="JEAN CARLOS"/>
    <n v="963943"/>
    <n v="12"/>
    <x v="1"/>
    <n v="29.826000000000001"/>
    <n v="35.340000000000003"/>
  </r>
  <r>
    <n v="3"/>
    <d v="2019-02-15T00:00:00"/>
    <s v="Artesanal"/>
    <s v="GAVIOTA I"/>
    <n v="967281"/>
    <n v="74"/>
    <x v="0"/>
    <n v="6.4320000000000004"/>
    <n v="4.9649999999999999"/>
  </r>
  <r>
    <n v="3"/>
    <d v="2019-02-15T00:00:00"/>
    <s v="Artesanal"/>
    <s v="GAVIOTA I"/>
    <n v="967281"/>
    <n v="74"/>
    <x v="1"/>
    <n v="29.826000000000001"/>
    <n v="170.32"/>
  </r>
  <r>
    <n v="3"/>
    <d v="2019-02-15T00:00:00"/>
    <s v="Artesanal"/>
    <s v="SILOE"/>
    <n v="904281"/>
    <n v="74"/>
    <x v="0"/>
    <n v="6.4320000000000004"/>
    <n v="0"/>
  </r>
  <r>
    <n v="3"/>
    <d v="2019-02-15T00:00:00"/>
    <s v="Artesanal"/>
    <s v="SILOE"/>
    <n v="904281"/>
    <n v="74"/>
    <x v="1"/>
    <n v="29.826000000000001"/>
    <n v="0"/>
  </r>
  <r>
    <n v="3"/>
    <d v="2019-02-15T00:00:00"/>
    <s v="Artesanal"/>
    <s v="SUSANA II"/>
    <n v="967342"/>
    <n v="74"/>
    <x v="0"/>
    <n v="6.4320000000000004"/>
    <n v="28.271000000000001"/>
  </r>
  <r>
    <n v="3"/>
    <d v="2019-02-15T00:00:00"/>
    <s v="Artesanal"/>
    <s v="SUSANA II"/>
    <n v="967342"/>
    <n v="74"/>
    <x v="1"/>
    <n v="29.826000000000001"/>
    <n v="223.47399999999999"/>
  </r>
  <r>
    <n v="4"/>
    <d v="2019-02-15T00:00:00"/>
    <s v="Artesanal"/>
    <s v="IGNACIO S"/>
    <n v="957800"/>
    <n v="12"/>
    <x v="0"/>
    <n v="2.64"/>
    <n v="30.408999999999999"/>
  </r>
  <r>
    <n v="4"/>
    <d v="2019-02-15T00:00:00"/>
    <s v="Artesanal"/>
    <s v="IGNACIO S"/>
    <n v="957800"/>
    <n v="12"/>
    <x v="1"/>
    <n v="8.9619999999999997"/>
    <n v="10.135999999999999"/>
  </r>
  <r>
    <n v="4"/>
    <d v="2019-02-15T00:00:00"/>
    <s v="Artesanal"/>
    <s v="JEAN CARLOS"/>
    <n v="963943"/>
    <n v="12"/>
    <x v="0"/>
    <n v="2.64"/>
    <n v="33.345999999999997"/>
  </r>
  <r>
    <n v="4"/>
    <d v="2019-02-15T00:00:00"/>
    <s v="Artesanal"/>
    <s v="JEAN CARLOS"/>
    <n v="963943"/>
    <n v="12"/>
    <x v="1"/>
    <n v="8.9619999999999997"/>
    <n v="2.129"/>
  </r>
  <r>
    <n v="4"/>
    <d v="2019-02-15T00:00:00"/>
    <s v="Artesanal"/>
    <s v="GAVIOTA I"/>
    <n v="967281"/>
    <n v="74"/>
    <x v="0"/>
    <n v="2.64"/>
    <n v="22.286999999999999"/>
  </r>
  <r>
    <n v="4"/>
    <d v="2019-02-15T00:00:00"/>
    <s v="Artesanal"/>
    <s v="GAVIOTA I"/>
    <n v="967281"/>
    <n v="74"/>
    <x v="1"/>
    <n v="8.9619999999999997"/>
    <n v="21.413"/>
  </r>
  <r>
    <n v="4"/>
    <d v="2019-02-15T00:00:00"/>
    <s v="Artesanal"/>
    <s v="SILOE"/>
    <n v="904281"/>
    <n v="74"/>
    <x v="0"/>
    <n v="2.64"/>
    <n v="0"/>
  </r>
  <r>
    <n v="4"/>
    <d v="2019-02-15T00:00:00"/>
    <s v="Artesanal"/>
    <s v="SILOE"/>
    <n v="904281"/>
    <n v="74"/>
    <x v="1"/>
    <n v="8.9619999999999997"/>
    <n v="0"/>
  </r>
  <r>
    <n v="4"/>
    <d v="2019-02-15T00:00:00"/>
    <s v="Artesanal"/>
    <s v="SUSANA II"/>
    <n v="967342"/>
    <n v="74"/>
    <x v="0"/>
    <n v="2.64"/>
    <n v="44.68"/>
  </r>
  <r>
    <n v="4"/>
    <d v="2019-02-15T00:00:00"/>
    <s v="Artesanal"/>
    <s v="SUSANA II"/>
    <n v="967342"/>
    <n v="74"/>
    <x v="1"/>
    <n v="8.9619999999999997"/>
    <n v="44.284999999999997"/>
  </r>
  <r>
    <n v="5"/>
    <d v="2019-02-18T00:00:00"/>
    <s v="Artesanal"/>
    <s v="GAVIOTA I"/>
    <n v="967281"/>
    <n v="74"/>
    <x v="0"/>
    <n v="3.3330000000000002"/>
    <n v="0.879"/>
  </r>
  <r>
    <n v="5"/>
    <d v="2019-02-18T00:00:00"/>
    <s v="Artesanal"/>
    <s v="GAVIOTA I"/>
    <n v="967281"/>
    <n v="74"/>
    <x v="1"/>
    <n v="30"/>
    <n v="239.65100000000001"/>
  </r>
  <r>
    <n v="5"/>
    <d v="2019-02-18T00:00:00"/>
    <s v="Artesanal"/>
    <s v="SILOE"/>
    <n v="904281"/>
    <n v="74"/>
    <x v="0"/>
    <n v="3.3330000000000002"/>
    <n v="0"/>
  </r>
  <r>
    <n v="5"/>
    <d v="2019-02-18T00:00:00"/>
    <s v="Artesanal"/>
    <s v="SILOE"/>
    <n v="904281"/>
    <n v="74"/>
    <x v="1"/>
    <n v="30"/>
    <n v="0"/>
  </r>
  <r>
    <n v="5"/>
    <d v="2019-02-18T00:00:00"/>
    <s v="Artesanal"/>
    <s v="SUSANA II"/>
    <n v="967342"/>
    <n v="74"/>
    <x v="0"/>
    <n v="3.3340000000000001"/>
    <n v="1.371"/>
  </r>
  <r>
    <n v="5"/>
    <d v="2019-02-18T00:00:00"/>
    <s v="Artesanal"/>
    <s v="SUSANA II"/>
    <n v="967342"/>
    <n v="74"/>
    <x v="1"/>
    <n v="30"/>
    <n v="228.32900000000001"/>
  </r>
  <r>
    <n v="6"/>
    <d v="2019-02-18T00:00:00"/>
    <s v="Artesanal"/>
    <s v="IGNACIO S"/>
    <n v="957800"/>
    <n v="12"/>
    <x v="0"/>
    <n v="5"/>
    <n v="2.3420000000000001"/>
  </r>
  <r>
    <n v="6"/>
    <d v="2019-02-18T00:00:00"/>
    <s v="Artesanal"/>
    <s v="IGNACIO S"/>
    <n v="957800"/>
    <n v="12"/>
    <x v="1"/>
    <n v="45"/>
    <n v="131.23099999999999"/>
  </r>
  <r>
    <n v="6"/>
    <d v="2019-02-18T00:00:00"/>
    <s v="Artesanal"/>
    <s v="JEAN CARLOS"/>
    <n v="963943"/>
    <n v="12"/>
    <x v="0"/>
    <n v="5"/>
    <n v="0"/>
  </r>
  <r>
    <n v="6"/>
    <d v="2019-02-18T00:00:00"/>
    <s v="Artesanal"/>
    <s v="JEAN CARLOS"/>
    <n v="963943"/>
    <n v="12"/>
    <x v="1"/>
    <n v="45"/>
    <n v="169.208"/>
  </r>
  <r>
    <n v="676"/>
    <d v="2019-02-20T00:00:00"/>
    <s v="Industrial (CESION LTP)"/>
    <s v="CATALINA M"/>
    <n v="966599"/>
    <n v="56"/>
    <x v="0"/>
    <n v="11.612"/>
    <n v="31.292999999999999"/>
  </r>
  <r>
    <n v="676"/>
    <d v="2019-02-20T00:00:00"/>
    <s v="Industrial (CESION LTP)"/>
    <s v="CATALINA M"/>
    <n v="966599"/>
    <n v="56"/>
    <x v="1"/>
    <n v="22.268999999999998"/>
    <n v="145.27699999999999"/>
  </r>
  <r>
    <n v="676"/>
    <d v="2019-02-20T00:00:00"/>
    <s v="Industrial (CESION LTP)"/>
    <s v="CLAUDIO"/>
    <n v="961338"/>
    <n v="56"/>
    <x v="0"/>
    <n v="11.612"/>
    <n v="4.1020000000000003"/>
  </r>
  <r>
    <n v="676"/>
    <d v="2019-02-20T00:00:00"/>
    <s v="Industrial (CESION LTP)"/>
    <s v="CLAUDIO"/>
    <n v="961338"/>
    <n v="56"/>
    <x v="1"/>
    <n v="22.268999999999998"/>
    <n v="27.452999999999999"/>
  </r>
  <r>
    <n v="676"/>
    <d v="2019-02-20T00:00:00"/>
    <s v="Industrial (CESION LTP)"/>
    <s v="DON LUCHO III"/>
    <n v="962289"/>
    <n v="56"/>
    <x v="0"/>
    <n v="11.612"/>
    <n v="0"/>
  </r>
  <r>
    <n v="676"/>
    <d v="2019-02-20T00:00:00"/>
    <s v="Industrial (CESION LTP)"/>
    <s v="DON LUCHO III"/>
    <n v="962289"/>
    <n v="56"/>
    <x v="1"/>
    <n v="22.268999999999998"/>
    <n v="0"/>
  </r>
  <r>
    <n v="676"/>
    <d v="2019-02-20T00:00:00"/>
    <s v="Industrial (CESION LTP)"/>
    <s v="FLORINA I"/>
    <n v="964913"/>
    <n v="56"/>
    <x v="0"/>
    <n v="11.612"/>
    <n v="0"/>
  </r>
  <r>
    <n v="676"/>
    <d v="2019-02-20T00:00:00"/>
    <s v="Industrial (CESION LTP)"/>
    <s v="FLORINA I"/>
    <n v="964913"/>
    <n v="56"/>
    <x v="1"/>
    <n v="22.268999999999998"/>
    <n v="0"/>
  </r>
  <r>
    <n v="676"/>
    <d v="2019-02-20T00:00:00"/>
    <s v="Industrial (CESION LTP)"/>
    <s v="GIANLUCA"/>
    <n v="966994"/>
    <n v="56"/>
    <x v="0"/>
    <n v="11.612"/>
    <n v="0"/>
  </r>
  <r>
    <n v="676"/>
    <d v="2019-02-20T00:00:00"/>
    <s v="Industrial (CESION LTP)"/>
    <s v="GIANLUCA"/>
    <n v="966994"/>
    <n v="56"/>
    <x v="1"/>
    <n v="22.268999999999998"/>
    <n v="0"/>
  </r>
  <r>
    <n v="676"/>
    <d v="2019-02-20T00:00:00"/>
    <s v="Industrial (CESION LTP)"/>
    <s v="MAURICIO IGNACIO"/>
    <n v="964576"/>
    <n v="56"/>
    <x v="0"/>
    <n v="11.612"/>
    <n v="15.76"/>
  </r>
  <r>
    <n v="676"/>
    <d v="2019-02-20T00:00:00"/>
    <s v="Industrial (CESION LTP)"/>
    <s v="MAURICIO IGNACIO"/>
    <n v="964576"/>
    <n v="56"/>
    <x v="1"/>
    <n v="22.268999999999998"/>
    <n v="47.265000000000001"/>
  </r>
  <r>
    <n v="676"/>
    <d v="2019-02-20T00:00:00"/>
    <s v="Industrial (CESION LTP)"/>
    <s v="NIÑA XIMENA"/>
    <n v="966995"/>
    <n v="56"/>
    <x v="0"/>
    <n v="11.612"/>
    <n v="0"/>
  </r>
  <r>
    <n v="676"/>
    <d v="2019-02-20T00:00:00"/>
    <s v="Industrial (CESION LTP)"/>
    <s v="NIÑA XIMENA"/>
    <n v="966995"/>
    <n v="56"/>
    <x v="1"/>
    <n v="22.268999999999998"/>
    <n v="0"/>
  </r>
  <r>
    <n v="676"/>
    <d v="2019-02-20T00:00:00"/>
    <s v="Industrial (CESION LTP)"/>
    <s v="PAOLA I"/>
    <n v="953902"/>
    <n v="56"/>
    <x v="0"/>
    <n v="11.612"/>
    <n v="0"/>
  </r>
  <r>
    <n v="676"/>
    <d v="2019-02-20T00:00:00"/>
    <s v="Industrial (CESION LTP)"/>
    <s v="PAOLA I"/>
    <n v="953902"/>
    <n v="56"/>
    <x v="1"/>
    <n v="22.268999999999998"/>
    <n v="0"/>
  </r>
  <r>
    <n v="676"/>
    <d v="2019-02-20T00:00:00"/>
    <s v="Industrial (CESION LTP)"/>
    <s v="PAOLA II"/>
    <n v="966633"/>
    <n v="56"/>
    <x v="0"/>
    <n v="11.615"/>
    <n v="1.746"/>
  </r>
  <r>
    <n v="676"/>
    <d v="2019-02-20T00:00:00"/>
    <s v="Industrial (CESION LTP)"/>
    <s v="PAOLA II"/>
    <n v="966633"/>
    <n v="56"/>
    <x v="1"/>
    <n v="22.271999999999998"/>
    <n v="33.173999999999999"/>
  </r>
  <r>
    <n v="677"/>
    <d v="2019-02-20T00:00:00"/>
    <s v="Industrial (CESION LTP)"/>
    <s v="DON CLAUDIO"/>
    <n v="924618"/>
    <n v="57"/>
    <x v="0"/>
    <n v="0"/>
    <n v="0"/>
  </r>
  <r>
    <n v="677"/>
    <d v="2019-02-20T00:00:00"/>
    <s v="Industrial (CESION LTP)"/>
    <s v="DON CLAUDIO"/>
    <n v="924618"/>
    <n v="57"/>
    <x v="1"/>
    <n v="28.547000000000001"/>
    <n v="0"/>
  </r>
  <r>
    <n v="677"/>
    <d v="2019-02-20T00:00:00"/>
    <s v="Industrial (CESION LTP)"/>
    <s v="DON ENRI"/>
    <n v="957798"/>
    <n v="57"/>
    <x v="0"/>
    <n v="0"/>
    <n v="0"/>
  </r>
  <r>
    <n v="677"/>
    <d v="2019-02-20T00:00:00"/>
    <s v="Industrial (CESION LTP)"/>
    <s v="DON ENRI"/>
    <n v="957798"/>
    <n v="57"/>
    <x v="1"/>
    <n v="28.547000000000001"/>
    <n v="0"/>
  </r>
  <r>
    <n v="677"/>
    <d v="2019-02-20T00:00:00"/>
    <s v="Industrial (CESION LTP)"/>
    <s v="DON LUIS ALBERTO II"/>
    <n v="957816"/>
    <n v="57"/>
    <x v="0"/>
    <n v="0"/>
    <n v="0"/>
  </r>
  <r>
    <n v="677"/>
    <d v="2019-02-20T00:00:00"/>
    <s v="Industrial (CESION LTP)"/>
    <s v="DON LUIS ALBERTO II"/>
    <n v="957816"/>
    <n v="57"/>
    <x v="1"/>
    <n v="28.547000000000001"/>
    <n v="0"/>
  </r>
  <r>
    <n v="677"/>
    <d v="2019-02-20T00:00:00"/>
    <s v="Industrial (CESION LTP)"/>
    <s v="DOÑA CHITA"/>
    <n v="963685"/>
    <n v="57"/>
    <x v="0"/>
    <n v="0"/>
    <n v="0"/>
  </r>
  <r>
    <n v="677"/>
    <d v="2019-02-20T00:00:00"/>
    <s v="Industrial (CESION LTP)"/>
    <s v="DOÑA CHITA"/>
    <n v="963685"/>
    <n v="57"/>
    <x v="1"/>
    <n v="28.547000000000001"/>
    <n v="149.47499999999999"/>
  </r>
  <r>
    <n v="677"/>
    <d v="2019-02-20T00:00:00"/>
    <s v="Industrial (CESION LTP)"/>
    <s v="GIANFRANCO"/>
    <n v="965073"/>
    <n v="57"/>
    <x v="0"/>
    <n v="0"/>
    <n v="0"/>
  </r>
  <r>
    <n v="677"/>
    <d v="2019-02-20T00:00:00"/>
    <s v="Industrial (CESION LTP)"/>
    <s v="GIANFRANCO"/>
    <n v="965073"/>
    <n v="57"/>
    <x v="1"/>
    <n v="28.547000000000001"/>
    <n v="0"/>
  </r>
  <r>
    <n v="677"/>
    <d v="2019-02-20T00:00:00"/>
    <s v="Industrial (CESION LTP)"/>
    <s v="JOHANA I"/>
    <n v="965344"/>
    <n v="57"/>
    <x v="0"/>
    <n v="0"/>
    <n v="0"/>
  </r>
  <r>
    <n v="677"/>
    <d v="2019-02-20T00:00:00"/>
    <s v="Industrial (CESION LTP)"/>
    <s v="JOHANA I"/>
    <n v="965344"/>
    <n v="57"/>
    <x v="1"/>
    <n v="28.547000000000001"/>
    <n v="36.734999999999999"/>
  </r>
  <r>
    <n v="677"/>
    <d v="2019-02-20T00:00:00"/>
    <s v="Industrial (CESION LTP)"/>
    <s v="PAULINA M "/>
    <n v="967145"/>
    <n v="57"/>
    <x v="0"/>
    <n v="0"/>
    <n v="0"/>
  </r>
  <r>
    <n v="677"/>
    <d v="2019-02-20T00:00:00"/>
    <s v="Industrial (CESION LTP)"/>
    <s v="PAULINA M "/>
    <n v="967145"/>
    <n v="57"/>
    <x v="1"/>
    <n v="28.550999999999998"/>
    <n v="0"/>
  </r>
  <r>
    <n v="9"/>
    <d v="2019-02-21T00:00:00"/>
    <s v="Artesanal"/>
    <s v="IGNACIO S"/>
    <n v="957800"/>
    <n v="12"/>
    <x v="0"/>
    <n v="29.5"/>
    <n v="0"/>
  </r>
  <r>
    <n v="9"/>
    <d v="2019-02-21T00:00:00"/>
    <s v="Artesanal"/>
    <s v="IGNACIO S"/>
    <n v="957800"/>
    <n v="12"/>
    <x v="1"/>
    <n v="102.5"/>
    <n v="41.557000000000002"/>
  </r>
  <r>
    <n v="9"/>
    <d v="2019-02-21T00:00:00"/>
    <s v="Artesanal"/>
    <s v="JEAN CARLOS"/>
    <n v="963943"/>
    <n v="12"/>
    <x v="0"/>
    <n v="29.5"/>
    <n v="0"/>
  </r>
  <r>
    <n v="9"/>
    <d v="2019-02-21T00:00:00"/>
    <s v="Artesanal"/>
    <s v="JEAN CARLOS"/>
    <n v="963943"/>
    <n v="12"/>
    <x v="1"/>
    <n v="102.5"/>
    <n v="42.354999999999997"/>
  </r>
  <r>
    <n v="774"/>
    <d v="2019-02-27T00:00:00"/>
    <s v="Artesanal"/>
    <s v="DOMENICA"/>
    <n v="923199"/>
    <n v="42"/>
    <x v="0"/>
    <n v="0"/>
    <n v="0"/>
  </r>
  <r>
    <n v="774"/>
    <d v="2019-02-27T00:00:00"/>
    <s v="Artesanal"/>
    <s v="DOMENICA"/>
    <n v="923199"/>
    <n v="42"/>
    <x v="1"/>
    <n v="100"/>
    <n v="100"/>
  </r>
  <r>
    <n v="774"/>
    <d v="2019-02-27T00:00:00"/>
    <s v="Artesanal"/>
    <s v="JOAQUIN ISAAC"/>
    <n v="966875"/>
    <n v="42"/>
    <x v="0"/>
    <n v="0"/>
    <n v="0"/>
  </r>
  <r>
    <n v="774"/>
    <d v="2019-02-27T00:00:00"/>
    <s v="Artesanal"/>
    <s v="JOAQUIN ISAAC"/>
    <n v="966875"/>
    <n v="42"/>
    <x v="1"/>
    <n v="100"/>
    <n v="100"/>
  </r>
  <r>
    <n v="774"/>
    <d v="2019-02-27T00:00:00"/>
    <s v="Artesanal"/>
    <s v="RUELI"/>
    <n v="964068"/>
    <n v="42"/>
    <x v="0"/>
    <n v="0"/>
    <n v="0"/>
  </r>
  <r>
    <n v="774"/>
    <d v="2019-02-27T00:00:00"/>
    <s v="Artesanal"/>
    <s v="RUELI"/>
    <n v="964068"/>
    <n v="42"/>
    <x v="1"/>
    <n v="100"/>
    <n v="100"/>
  </r>
  <r>
    <n v="26"/>
    <d v="2019-03-13T00:00:00"/>
    <s v="Artesanal"/>
    <s v="GAVIOTA I"/>
    <n v="967281"/>
    <n v="74"/>
    <x v="0"/>
    <n v="3.6666666666666665"/>
    <n v="12.205"/>
  </r>
  <r>
    <n v="26"/>
    <d v="2019-03-13T00:00:00"/>
    <s v="Artesanal"/>
    <s v="GAVIOTA I"/>
    <n v="967281"/>
    <n v="74"/>
    <x v="1"/>
    <n v="7"/>
    <n v="31.385000000000002"/>
  </r>
  <r>
    <n v="26"/>
    <d v="2019-03-13T00:00:00"/>
    <s v="Artesanal"/>
    <s v="SILOE"/>
    <n v="904281"/>
    <n v="74"/>
    <x v="0"/>
    <n v="3.6666666666666665"/>
    <n v="23.751999999999999"/>
  </r>
  <r>
    <n v="26"/>
    <d v="2019-03-13T00:00:00"/>
    <s v="Artesanal"/>
    <s v="SILOE"/>
    <n v="904281"/>
    <n v="74"/>
    <x v="1"/>
    <n v="7"/>
    <n v="67.322999999999993"/>
  </r>
  <r>
    <n v="26"/>
    <d v="2019-03-13T00:00:00"/>
    <s v="Artesanal"/>
    <s v="SUSANA II"/>
    <n v="967342"/>
    <n v="74"/>
    <x v="0"/>
    <n v="3.6666666666666665"/>
    <n v="24.423999999999999"/>
  </r>
  <r>
    <n v="26"/>
    <d v="2019-03-13T00:00:00"/>
    <s v="Artesanal"/>
    <s v="SUSANA II"/>
    <n v="967342"/>
    <n v="74"/>
    <x v="1"/>
    <n v="7"/>
    <n v="63.616"/>
  </r>
  <r>
    <n v="27"/>
    <d v="2019-03-13T00:00:00"/>
    <s v="Artesanal"/>
    <s v="GAVIOTA I"/>
    <n v="967281"/>
    <n v="74"/>
    <x v="0"/>
    <n v="2.6666666666666665"/>
    <n v="42.524000000000001"/>
  </r>
  <r>
    <n v="27"/>
    <d v="2019-03-13T00:00:00"/>
    <s v="Artesanal"/>
    <s v="GAVIOTA I"/>
    <n v="967281"/>
    <n v="74"/>
    <x v="1"/>
    <n v="6"/>
    <n v="77.396000000000001"/>
  </r>
  <r>
    <n v="27"/>
    <d v="2019-03-13T00:00:00"/>
    <s v="Artesanal"/>
    <s v="SILOE"/>
    <n v="904281"/>
    <n v="74"/>
    <x v="0"/>
    <n v="2.6666666666666665"/>
    <n v="19.681000000000001"/>
  </r>
  <r>
    <n v="27"/>
    <d v="2019-03-13T00:00:00"/>
    <s v="Artesanal"/>
    <s v="SILOE"/>
    <n v="904281"/>
    <n v="74"/>
    <x v="1"/>
    <n v="6"/>
    <n v="86.543999999999997"/>
  </r>
  <r>
    <n v="27"/>
    <d v="2019-03-13T00:00:00"/>
    <s v="Artesanal"/>
    <s v="SUSANA II"/>
    <n v="967342"/>
    <n v="74"/>
    <x v="0"/>
    <n v="2.6666666666666665"/>
    <n v="18.315999999999999"/>
  </r>
  <r>
    <n v="27"/>
    <d v="2019-03-13T00:00:00"/>
    <s v="Artesanal"/>
    <s v="SUSANA II"/>
    <n v="967342"/>
    <n v="74"/>
    <x v="1"/>
    <n v="6"/>
    <n v="107.462"/>
  </r>
  <r>
    <n v="28"/>
    <d v="2019-03-13T00:00:00"/>
    <s v="Artesanal"/>
    <s v="GAVIOTA I"/>
    <n v="967281"/>
    <n v="74"/>
    <x v="0"/>
    <n v="4"/>
    <n v="10.055"/>
  </r>
  <r>
    <n v="28"/>
    <d v="2019-03-13T00:00:00"/>
    <s v="Artesanal"/>
    <s v="GAVIOTA I"/>
    <n v="967281"/>
    <n v="74"/>
    <x v="1"/>
    <n v="8.3333333333333339"/>
    <n v="77.38"/>
  </r>
  <r>
    <n v="28"/>
    <d v="2019-03-13T00:00:00"/>
    <s v="Artesanal"/>
    <s v="SILOE"/>
    <n v="904281"/>
    <n v="74"/>
    <x v="0"/>
    <n v="4"/>
    <n v="0"/>
  </r>
  <r>
    <n v="28"/>
    <d v="2019-03-13T00:00:00"/>
    <s v="Artesanal"/>
    <s v="SILOE"/>
    <n v="904281"/>
    <n v="74"/>
    <x v="1"/>
    <n v="8.3333333333333339"/>
    <n v="0"/>
  </r>
  <r>
    <n v="28"/>
    <d v="2019-03-13T00:00:00"/>
    <s v="Artesanal"/>
    <s v="SUSANA II"/>
    <n v="967342"/>
    <n v="74"/>
    <x v="0"/>
    <n v="4"/>
    <n v="25.437999999999999"/>
  </r>
  <r>
    <n v="28"/>
    <d v="2019-03-13T00:00:00"/>
    <s v="Artesanal"/>
    <s v="SUSANA II"/>
    <n v="967342"/>
    <n v="74"/>
    <x v="1"/>
    <n v="8.3333333333333339"/>
    <n v="91.753"/>
  </r>
  <r>
    <n v="29"/>
    <d v="2019-03-13T00:00:00"/>
    <s v="Artesanal"/>
    <s v="GAVIOTA I"/>
    <n v="967281"/>
    <n v="74"/>
    <x v="0"/>
    <n v="3"/>
    <n v="71.222999999999999"/>
  </r>
  <r>
    <n v="29"/>
    <d v="2019-03-13T00:00:00"/>
    <s v="Artesanal"/>
    <s v="GAVIOTA I"/>
    <n v="967281"/>
    <n v="74"/>
    <x v="1"/>
    <n v="5.333333333333333"/>
    <n v="145.11099999999999"/>
  </r>
  <r>
    <n v="29"/>
    <d v="2019-03-13T00:00:00"/>
    <s v="Artesanal"/>
    <s v="SILOE"/>
    <n v="904281"/>
    <n v="74"/>
    <x v="0"/>
    <n v="3"/>
    <n v="7.742"/>
  </r>
  <r>
    <n v="29"/>
    <d v="2019-03-13T00:00:00"/>
    <s v="Artesanal"/>
    <s v="SILOE"/>
    <n v="904281"/>
    <n v="74"/>
    <x v="1"/>
    <n v="5.333333333333333"/>
    <n v="56.777999999999999"/>
  </r>
  <r>
    <n v="29"/>
    <d v="2019-03-13T00:00:00"/>
    <s v="Artesanal"/>
    <s v="SUSANA II"/>
    <n v="967342"/>
    <n v="74"/>
    <x v="0"/>
    <n v="3"/>
    <n v="56.326000000000001"/>
  </r>
  <r>
    <n v="29"/>
    <d v="2019-03-13T00:00:00"/>
    <s v="Artesanal"/>
    <s v="SUSANA II"/>
    <n v="967342"/>
    <n v="74"/>
    <x v="1"/>
    <n v="5.333333333333333"/>
    <n v="202.404"/>
  </r>
  <r>
    <n v="30"/>
    <d v="2019-03-13T00:00:00"/>
    <s v="Artesanal"/>
    <s v="IGNACIO S"/>
    <n v="957800"/>
    <n v="12"/>
    <x v="0"/>
    <n v="6.5"/>
    <n v="14.404999999999999"/>
  </r>
  <r>
    <n v="30"/>
    <d v="2019-03-13T00:00:00"/>
    <s v="Artesanal"/>
    <s v="IGNACIO S"/>
    <n v="957800"/>
    <n v="12"/>
    <x v="1"/>
    <n v="13.5"/>
    <n v="30.16"/>
  </r>
  <r>
    <n v="30"/>
    <d v="2019-03-13T00:00:00"/>
    <s v="Artesanal"/>
    <s v="JEAN CARLOS"/>
    <n v="963943"/>
    <n v="12"/>
    <x v="0"/>
    <n v="6.5"/>
    <n v="6.016"/>
  </r>
  <r>
    <n v="30"/>
    <d v="2019-03-13T00:00:00"/>
    <s v="Artesanal"/>
    <s v="JEAN CARLOS"/>
    <n v="963943"/>
    <n v="12"/>
    <x v="1"/>
    <n v="13.5"/>
    <n v="36.954000000000001"/>
  </r>
  <r>
    <n v="31"/>
    <d v="2019-03-13T00:00:00"/>
    <s v="Artesanal"/>
    <s v="IGNACIO S"/>
    <n v="957800"/>
    <n v="12"/>
    <x v="0"/>
    <n v="5"/>
    <n v="25.640999999999998"/>
  </r>
  <r>
    <n v="31"/>
    <d v="2019-03-13T00:00:00"/>
    <s v="Artesanal"/>
    <s v="IGNACIO S"/>
    <n v="957800"/>
    <n v="12"/>
    <x v="1"/>
    <n v="14.5"/>
    <n v="17.818999999999999"/>
  </r>
  <r>
    <n v="31"/>
    <d v="2019-03-13T00:00:00"/>
    <s v="Artesanal"/>
    <s v="JEAN CARLOS"/>
    <n v="963943"/>
    <n v="12"/>
    <x v="0"/>
    <n v="5"/>
    <n v="28.981000000000002"/>
  </r>
  <r>
    <n v="31"/>
    <d v="2019-03-13T00:00:00"/>
    <s v="Artesanal"/>
    <s v="JEAN CARLOS"/>
    <n v="963943"/>
    <n v="12"/>
    <x v="1"/>
    <n v="14.5"/>
    <n v="10.718999999999999"/>
  </r>
  <r>
    <n v="32"/>
    <d v="2019-03-13T00:00:00"/>
    <s v="Artesanal"/>
    <s v="IGNACIO S"/>
    <n v="957800"/>
    <n v="12"/>
    <x v="0"/>
    <n v="3"/>
    <n v="5.0670000000000002"/>
  </r>
  <r>
    <n v="32"/>
    <d v="2019-03-13T00:00:00"/>
    <s v="Artesanal"/>
    <s v="IGNACIO S"/>
    <n v="957800"/>
    <n v="12"/>
    <x v="1"/>
    <n v="9"/>
    <n v="32.509"/>
  </r>
  <r>
    <n v="32"/>
    <d v="2019-03-13T00:00:00"/>
    <s v="Artesanal"/>
    <s v="JEAN CARLOS"/>
    <n v="963943"/>
    <n v="12"/>
    <x v="0"/>
    <n v="3"/>
    <n v="35.881"/>
  </r>
  <r>
    <n v="32"/>
    <d v="2019-03-13T00:00:00"/>
    <s v="Artesanal"/>
    <s v="JEAN CARLOS"/>
    <n v="963943"/>
    <n v="12"/>
    <x v="1"/>
    <n v="9"/>
    <n v="33.628999999999998"/>
  </r>
  <r>
    <n v="33"/>
    <d v="2019-03-13T00:00:00"/>
    <s v="Artesanal"/>
    <s v="IGNACIO S"/>
    <n v="957800"/>
    <n v="12"/>
    <x v="0"/>
    <n v="5"/>
    <n v="5.0650000000000004"/>
  </r>
  <r>
    <n v="33"/>
    <d v="2019-03-13T00:00:00"/>
    <s v="Artesanal"/>
    <s v="IGNACIO S"/>
    <n v="957800"/>
    <n v="12"/>
    <x v="1"/>
    <n v="11"/>
    <n v="37.145000000000003"/>
  </r>
  <r>
    <n v="33"/>
    <d v="2019-03-13T00:00:00"/>
    <s v="Artesanal"/>
    <s v="JEAN CARLOS"/>
    <n v="963943"/>
    <n v="12"/>
    <x v="0"/>
    <n v="5"/>
    <n v="7.577"/>
  </r>
  <r>
    <n v="33"/>
    <d v="2019-03-13T00:00:00"/>
    <s v="Artesanal"/>
    <s v="JEAN CARLOS"/>
    <n v="963943"/>
    <n v="12"/>
    <x v="1"/>
    <n v="11"/>
    <n v="34.518000000000001"/>
  </r>
  <r>
    <n v="34"/>
    <d v="2019-03-13T00:00:00"/>
    <s v="Artesanal"/>
    <s v="IGNACIO S"/>
    <n v="957800"/>
    <n v="12"/>
    <x v="0"/>
    <n v="2.5"/>
    <n v="24.436"/>
  </r>
  <r>
    <n v="34"/>
    <d v="2019-03-13T00:00:00"/>
    <s v="Artesanal"/>
    <s v="IGNACIO S"/>
    <n v="957800"/>
    <n v="12"/>
    <x v="1"/>
    <n v="5"/>
    <n v="201.108"/>
  </r>
  <r>
    <n v="34"/>
    <d v="2019-03-13T00:00:00"/>
    <s v="Artesanal"/>
    <s v="JEAN CARLOS"/>
    <n v="963943"/>
    <n v="12"/>
    <x v="0"/>
    <n v="2.5"/>
    <n v="84.561999999999998"/>
  </r>
  <r>
    <n v="34"/>
    <d v="2019-03-13T00:00:00"/>
    <s v="Artesanal"/>
    <s v="JEAN CARLOS"/>
    <n v="963943"/>
    <n v="12"/>
    <x v="1"/>
    <n v="5"/>
    <n v="318.79300000000001"/>
  </r>
  <r>
    <n v="35"/>
    <d v="2019-03-25T00:00:00"/>
    <s v="Artesanal"/>
    <s v="GAVIOTA I"/>
    <n v="967281"/>
    <n v="74"/>
    <x v="0"/>
    <n v="0.66700000000000004"/>
    <n v="0"/>
  </r>
  <r>
    <n v="35"/>
    <d v="2019-03-25T00:00:00"/>
    <s v="Artesanal"/>
    <s v="GAVIOTA I"/>
    <n v="967281"/>
    <n v="74"/>
    <x v="1"/>
    <n v="2.3330000000000002"/>
    <n v="0"/>
  </r>
  <r>
    <n v="35"/>
    <d v="2019-03-25T00:00:00"/>
    <s v="Artesanal"/>
    <s v="SILOE"/>
    <n v="904281"/>
    <n v="74"/>
    <x v="0"/>
    <n v="0.66700000000000004"/>
    <n v="25.582000000000001"/>
  </r>
  <r>
    <n v="35"/>
    <d v="2019-03-25T00:00:00"/>
    <s v="Artesanal"/>
    <s v="SILOE"/>
    <n v="904281"/>
    <n v="74"/>
    <x v="1"/>
    <n v="2.3330000000000002"/>
    <n v="2.843"/>
  </r>
  <r>
    <n v="35"/>
    <d v="2019-03-25T00:00:00"/>
    <s v="Artesanal"/>
    <s v="SUSANA II"/>
    <n v="967342"/>
    <n v="74"/>
    <x v="0"/>
    <n v="0.66600000000000004"/>
    <n v="0"/>
  </r>
  <r>
    <n v="35"/>
    <d v="2019-03-25T00:00:00"/>
    <s v="Artesanal"/>
    <s v="SUSANA II"/>
    <n v="967342"/>
    <n v="74"/>
    <x v="1"/>
    <n v="2.3340000000000001"/>
    <n v="0"/>
  </r>
  <r>
    <n v="39"/>
    <d v="2019-03-27T00:00:00"/>
    <s v="Artesanal"/>
    <s v="DON DEMETRIO III"/>
    <n v="924603"/>
    <n v="12"/>
    <x v="0"/>
    <n v="0.5"/>
    <n v="0"/>
  </r>
  <r>
    <n v="39"/>
    <d v="2019-03-27T00:00:00"/>
    <s v="Artesanal"/>
    <s v="DON DEMETRIO III"/>
    <n v="924603"/>
    <n v="12"/>
    <x v="1"/>
    <n v="24.5"/>
    <n v="0"/>
  </r>
  <r>
    <n v="39"/>
    <d v="2019-03-27T00:00:00"/>
    <s v="Artesanal"/>
    <s v="SOTILEZA"/>
    <n v="910836"/>
    <n v="12"/>
    <x v="0"/>
    <n v="0.5"/>
    <n v="13.292999999999999"/>
  </r>
  <r>
    <n v="39"/>
    <d v="2019-03-27T00:00:00"/>
    <s v="Artesanal"/>
    <s v="SOTILEZA"/>
    <n v="910836"/>
    <n v="12"/>
    <x v="1"/>
    <n v="24.5"/>
    <n v="34.902000000000001"/>
  </r>
  <r>
    <n v="1189"/>
    <d v="2019-03-29T00:00:00"/>
    <s v="Industrial (CESION LTP)"/>
    <s v="DON KAKO"/>
    <n v="960538"/>
    <n v="73"/>
    <x v="0"/>
    <n v="0"/>
    <n v="0"/>
  </r>
  <r>
    <n v="1189"/>
    <d v="2019-03-29T00:00:00"/>
    <s v="Industrial (CESION LTP)"/>
    <s v="DON KAKO"/>
    <n v="960538"/>
    <n v="73"/>
    <x v="1"/>
    <n v="544.90700000000004"/>
    <n v="724.00599999999997"/>
  </r>
  <r>
    <n v="1189"/>
    <d v="2019-03-29T00:00:00"/>
    <s v="Industrial (CESION LTP)"/>
    <s v="DOÑA LETICIA"/>
    <n v="952061"/>
    <n v="73"/>
    <x v="0"/>
    <n v="0"/>
    <n v="0"/>
  </r>
  <r>
    <n v="1189"/>
    <d v="2019-03-29T00:00:00"/>
    <s v="Industrial (CESION LTP)"/>
    <s v="DOÑA LETICIA"/>
    <n v="952061"/>
    <n v="73"/>
    <x v="1"/>
    <n v="544.90700000000004"/>
    <n v="283.91800000000001"/>
  </r>
  <r>
    <n v="1189"/>
    <d v="2019-03-29T00:00:00"/>
    <s v="Industrial (CESION LTP)"/>
    <s v="PEDRO L"/>
    <n v="966170"/>
    <n v="73"/>
    <x v="0"/>
    <n v="0"/>
    <n v="0"/>
  </r>
  <r>
    <n v="1189"/>
    <d v="2019-03-29T00:00:00"/>
    <s v="Industrial (CESION LTP)"/>
    <s v="PEDRO L"/>
    <n v="966170"/>
    <n v="73"/>
    <x v="1"/>
    <n v="544.90899999999999"/>
    <n v="544.72400000000005"/>
  </r>
  <r>
    <n v="42"/>
    <d v="2019-04-04T00:00:00"/>
    <s v="Artesanal"/>
    <s v="GAVIOTA I"/>
    <n v="967281"/>
    <n v="74"/>
    <x v="0"/>
    <n v="0.3"/>
    <n v="0"/>
  </r>
  <r>
    <n v="42"/>
    <d v="2019-04-04T00:00:00"/>
    <s v="Artesanal"/>
    <s v="GAVIOTA I"/>
    <n v="967281"/>
    <n v="74"/>
    <x v="1"/>
    <n v="1"/>
    <n v="0"/>
  </r>
  <r>
    <n v="42"/>
    <d v="2019-04-04T00:00:00"/>
    <s v="Artesanal"/>
    <s v="SILOE"/>
    <n v="904281"/>
    <n v="74"/>
    <x v="0"/>
    <n v="0.3"/>
    <n v="0"/>
  </r>
  <r>
    <n v="42"/>
    <d v="2019-04-04T00:00:00"/>
    <s v="Artesanal"/>
    <s v="SILOE"/>
    <n v="904281"/>
    <n v="74"/>
    <x v="1"/>
    <n v="1"/>
    <n v="0"/>
  </r>
  <r>
    <n v="42"/>
    <d v="2019-04-04T00:00:00"/>
    <s v="Artesanal"/>
    <s v="SUSANA II"/>
    <n v="967342"/>
    <n v="74"/>
    <x v="0"/>
    <n v="0.38"/>
    <n v="0"/>
  </r>
  <r>
    <n v="42"/>
    <d v="2019-04-04T00:00:00"/>
    <s v="Artesanal"/>
    <s v="SUSANA II"/>
    <n v="967342"/>
    <n v="74"/>
    <x v="1"/>
    <n v="1.2"/>
    <n v="0"/>
  </r>
  <r>
    <n v="43"/>
    <d v="2019-04-05T00:00:00"/>
    <s v="Artesanal"/>
    <s v="IGNACIO S"/>
    <n v="957800"/>
    <n v="12"/>
    <x v="0"/>
    <n v="0.1"/>
    <n v="20.448"/>
  </r>
  <r>
    <n v="43"/>
    <d v="2019-04-05T00:00:00"/>
    <s v="Artesanal"/>
    <s v="IGNACIO S"/>
    <n v="957800"/>
    <n v="12"/>
    <x v="1"/>
    <n v="9"/>
    <n v="49.671999999999997"/>
  </r>
  <r>
    <n v="43"/>
    <d v="2019-04-05T00:00:00"/>
    <s v="Artesanal"/>
    <s v="JEAN CARLOS"/>
    <n v="963943"/>
    <n v="12"/>
    <x v="0"/>
    <n v="0.1"/>
    <n v="33.587000000000003"/>
  </r>
  <r>
    <n v="43"/>
    <d v="2019-04-05T00:00:00"/>
    <s v="Artesanal"/>
    <s v="JEAN CARLOS"/>
    <n v="963943"/>
    <n v="12"/>
    <x v="1"/>
    <n v="10"/>
    <n v="51.417999999999999"/>
  </r>
  <r>
    <n v="43"/>
    <d v="2019-04-05T00:00:00"/>
    <s v="Artesanal"/>
    <s v="GAVIOTA I"/>
    <n v="967281"/>
    <n v="74"/>
    <x v="0"/>
    <n v="0.1"/>
    <n v="27.547000000000001"/>
  </r>
  <r>
    <n v="43"/>
    <d v="2019-04-05T00:00:00"/>
    <s v="Artesanal"/>
    <s v="GAVIOTA I"/>
    <n v="967281"/>
    <n v="74"/>
    <x v="1"/>
    <n v="10"/>
    <n v="58.488"/>
  </r>
  <r>
    <n v="43"/>
    <d v="2019-04-05T00:00:00"/>
    <s v="Artesanal"/>
    <s v="SILOE"/>
    <n v="904281"/>
    <n v="74"/>
    <x v="0"/>
    <n v="0.1"/>
    <n v="20.082000000000001"/>
  </r>
  <r>
    <n v="43"/>
    <d v="2019-04-05T00:00:00"/>
    <s v="Artesanal"/>
    <s v="SILOE"/>
    <n v="904281"/>
    <n v="74"/>
    <x v="1"/>
    <n v="10"/>
    <n v="39.593000000000004"/>
  </r>
  <r>
    <n v="43"/>
    <d v="2019-04-05T00:00:00"/>
    <s v="Artesanal"/>
    <s v="SUSANA II"/>
    <n v="967342"/>
    <n v="74"/>
    <x v="0"/>
    <n v="0.1"/>
    <n v="29.875"/>
  </r>
  <r>
    <n v="43"/>
    <d v="2019-04-05T00:00:00"/>
    <s v="Artesanal"/>
    <s v="SUSANA II"/>
    <n v="967342"/>
    <n v="74"/>
    <x v="1"/>
    <n v="10"/>
    <n v="138.69"/>
  </r>
  <r>
    <n v="45"/>
    <d v="2019-04-10T00:00:00"/>
    <s v="Artesanal"/>
    <s v="IGNACIO S"/>
    <n v="957800"/>
    <n v="12"/>
    <x v="0"/>
    <n v="0.1"/>
    <n v="0"/>
  </r>
  <r>
    <n v="45"/>
    <d v="2019-04-10T00:00:00"/>
    <s v="Artesanal"/>
    <s v="IGNACIO S"/>
    <n v="957800"/>
    <n v="12"/>
    <x v="1"/>
    <n v="4"/>
    <n v="65.816000000000003"/>
  </r>
  <r>
    <n v="45"/>
    <d v="2019-04-10T00:00:00"/>
    <s v="Artesanal"/>
    <s v="JEAN CARLOS"/>
    <n v="963943"/>
    <n v="12"/>
    <x v="0"/>
    <n v="0.1"/>
    <n v="0"/>
  </r>
  <r>
    <n v="45"/>
    <d v="2019-04-10T00:00:00"/>
    <s v="Artesanal"/>
    <s v="JEAN CARLOS"/>
    <n v="963943"/>
    <n v="12"/>
    <x v="1"/>
    <n v="4"/>
    <n v="59.603000000000002"/>
  </r>
  <r>
    <n v="45"/>
    <d v="2019-04-10T00:00:00"/>
    <s v="Artesanal"/>
    <s v="GAVIOTA I"/>
    <n v="967281"/>
    <n v="74"/>
    <x v="0"/>
    <n v="0.1"/>
    <n v="0"/>
  </r>
  <r>
    <n v="45"/>
    <d v="2019-04-10T00:00:00"/>
    <s v="Artesanal"/>
    <s v="GAVIOTA I"/>
    <n v="967281"/>
    <n v="74"/>
    <x v="1"/>
    <n v="4"/>
    <n v="77.703999999999994"/>
  </r>
  <r>
    <n v="45"/>
    <d v="2019-04-10T00:00:00"/>
    <s v="Artesanal"/>
    <s v="SILOE"/>
    <n v="904281"/>
    <n v="74"/>
    <x v="0"/>
    <n v="0.1"/>
    <n v="0"/>
  </r>
  <r>
    <n v="45"/>
    <d v="2019-04-10T00:00:00"/>
    <s v="Artesanal"/>
    <s v="SILOE"/>
    <n v="904281"/>
    <n v="74"/>
    <x v="1"/>
    <n v="4"/>
    <n v="0"/>
  </r>
  <r>
    <n v="45"/>
    <d v="2019-04-10T00:00:00"/>
    <s v="Artesanal"/>
    <s v="SUSANA II"/>
    <n v="967342"/>
    <n v="74"/>
    <x v="0"/>
    <n v="0.1"/>
    <n v="0"/>
  </r>
  <r>
    <n v="45"/>
    <d v="2019-04-10T00:00:00"/>
    <s v="Artesanal"/>
    <s v="SUSANA II"/>
    <n v="967342"/>
    <n v="74"/>
    <x v="1"/>
    <n v="4"/>
    <n v="100.714"/>
  </r>
  <r>
    <n v="46"/>
    <d v="2019-04-10T00:00:00"/>
    <s v="Artesanal"/>
    <s v="GAVIOTA I"/>
    <n v="967281"/>
    <n v="74"/>
    <x v="0"/>
    <n v="0.3"/>
    <n v="3.32"/>
  </r>
  <r>
    <n v="46"/>
    <d v="2019-04-10T00:00:00"/>
    <s v="Artesanal"/>
    <s v="GAVIOTA I"/>
    <n v="967281"/>
    <n v="74"/>
    <x v="1"/>
    <n v="1.2"/>
    <n v="1.58"/>
  </r>
  <r>
    <n v="46"/>
    <d v="2019-04-10T00:00:00"/>
    <s v="Artesanal"/>
    <s v="SILOE"/>
    <n v="904281"/>
    <n v="74"/>
    <x v="0"/>
    <n v="0.3"/>
    <n v="0"/>
  </r>
  <r>
    <n v="46"/>
    <d v="2019-04-10T00:00:00"/>
    <s v="Artesanal"/>
    <s v="SILOE"/>
    <n v="904281"/>
    <n v="74"/>
    <x v="1"/>
    <n v="1.2"/>
    <n v="0"/>
  </r>
  <r>
    <n v="46"/>
    <d v="2019-04-10T00:00:00"/>
    <s v="Artesanal"/>
    <s v="SUSANA II"/>
    <n v="967342"/>
    <n v="74"/>
    <x v="0"/>
    <n v="0.5"/>
    <n v="0"/>
  </r>
  <r>
    <n v="46"/>
    <d v="2019-04-10T00:00:00"/>
    <s v="Artesanal"/>
    <s v="SUSANA II"/>
    <n v="967342"/>
    <n v="74"/>
    <x v="1"/>
    <n v="1.4"/>
    <n v="0"/>
  </r>
  <r>
    <n v="47"/>
    <d v="2019-04-10T00:00:00"/>
    <s v="Artesanal"/>
    <s v="IGNACIO S"/>
    <n v="957800"/>
    <n v="12"/>
    <x v="0"/>
    <n v="3"/>
    <n v="31.462"/>
  </r>
  <r>
    <n v="47"/>
    <d v="2019-04-10T00:00:00"/>
    <s v="Artesanal"/>
    <s v="IGNACIO S"/>
    <n v="957800"/>
    <n v="12"/>
    <x v="1"/>
    <n v="3"/>
    <n v="49.573"/>
  </r>
  <r>
    <n v="47"/>
    <d v="2019-04-10T00:00:00"/>
    <s v="Artesanal"/>
    <s v="JEAN CARLOS"/>
    <n v="963943"/>
    <n v="12"/>
    <x v="0"/>
    <n v="3"/>
    <n v="30.667999999999999"/>
  </r>
  <r>
    <n v="47"/>
    <d v="2019-04-10T00:00:00"/>
    <s v="Artesanal"/>
    <s v="JEAN CARLOS"/>
    <n v="963943"/>
    <n v="12"/>
    <x v="1"/>
    <n v="3"/>
    <n v="49.171999999999997"/>
  </r>
  <r>
    <n v="47"/>
    <d v="2019-04-10T00:00:00"/>
    <s v="Artesanal"/>
    <s v="GAVIOTA I"/>
    <n v="967281"/>
    <n v="74"/>
    <x v="0"/>
    <n v="3"/>
    <n v="73.680999999999997"/>
  </r>
  <r>
    <n v="47"/>
    <d v="2019-04-10T00:00:00"/>
    <s v="Artesanal"/>
    <s v="GAVIOTA I"/>
    <n v="967281"/>
    <n v="74"/>
    <x v="1"/>
    <n v="3"/>
    <n v="80.05"/>
  </r>
  <r>
    <n v="47"/>
    <d v="2019-04-10T00:00:00"/>
    <s v="Artesanal"/>
    <s v="SILOE"/>
    <n v="904281"/>
    <n v="74"/>
    <x v="0"/>
    <n v="3"/>
    <n v="0"/>
  </r>
  <r>
    <n v="47"/>
    <d v="2019-04-10T00:00:00"/>
    <s v="Artesanal"/>
    <s v="SILOE"/>
    <n v="904281"/>
    <n v="74"/>
    <x v="1"/>
    <n v="3"/>
    <n v="0"/>
  </r>
  <r>
    <n v="47"/>
    <d v="2019-04-10T00:00:00"/>
    <s v="Artesanal"/>
    <s v="SUSANA II"/>
    <n v="967342"/>
    <n v="74"/>
    <x v="0"/>
    <n v="3"/>
    <n v="27.562000000000001"/>
  </r>
  <r>
    <n v="47"/>
    <d v="2019-04-10T00:00:00"/>
    <s v="Artesanal"/>
    <s v="SUSANA II"/>
    <n v="967342"/>
    <n v="74"/>
    <x v="1"/>
    <n v="3"/>
    <n v="59.817999999999998"/>
  </r>
  <r>
    <n v="57"/>
    <d v="2019-04-25T00:00:00"/>
    <s v="Artesanal"/>
    <s v="IGNACIO S"/>
    <n v="957800"/>
    <n v="12"/>
    <x v="0"/>
    <n v="0"/>
    <n v="0"/>
  </r>
  <r>
    <n v="57"/>
    <d v="2019-04-25T00:00:00"/>
    <s v="Artesanal"/>
    <s v="IGNACIO S"/>
    <n v="957800"/>
    <n v="12"/>
    <x v="1"/>
    <n v="16"/>
    <n v="16.829999999999998"/>
  </r>
  <r>
    <n v="57"/>
    <d v="2019-04-25T00:00:00"/>
    <s v="Artesanal"/>
    <s v="JEAN CARLOS"/>
    <n v="963943"/>
    <n v="12"/>
    <x v="0"/>
    <n v="0"/>
    <n v="0"/>
  </r>
  <r>
    <n v="57"/>
    <d v="2019-04-25T00:00:00"/>
    <s v="Artesanal"/>
    <s v="JEAN CARLOS"/>
    <n v="963943"/>
    <n v="12"/>
    <x v="1"/>
    <n v="16"/>
    <n v="0"/>
  </r>
  <r>
    <n v="57"/>
    <d v="2019-04-25T00:00:00"/>
    <s v="Artesanal"/>
    <s v="GAVIOTA I"/>
    <n v="967281"/>
    <n v="74"/>
    <x v="0"/>
    <n v="0"/>
    <n v="0"/>
  </r>
  <r>
    <n v="57"/>
    <d v="2019-04-25T00:00:00"/>
    <s v="Artesanal"/>
    <s v="GAVIOTA I"/>
    <n v="967281"/>
    <n v="74"/>
    <x v="1"/>
    <n v="16"/>
    <n v="10.896000000000001"/>
  </r>
  <r>
    <n v="57"/>
    <d v="2019-04-25T00:00:00"/>
    <s v="Artesanal"/>
    <s v="SILOE"/>
    <n v="904281"/>
    <n v="74"/>
    <x v="0"/>
    <n v="0"/>
    <n v="0"/>
  </r>
  <r>
    <n v="57"/>
    <d v="2019-04-25T00:00:00"/>
    <s v="Artesanal"/>
    <s v="SILOE"/>
    <n v="904281"/>
    <n v="74"/>
    <x v="1"/>
    <n v="16"/>
    <n v="0"/>
  </r>
  <r>
    <n v="57"/>
    <d v="2019-04-25T00:00:00"/>
    <s v="Artesanal"/>
    <s v="SUSANA II"/>
    <n v="967342"/>
    <n v="74"/>
    <x v="0"/>
    <n v="0"/>
    <n v="0"/>
  </r>
  <r>
    <n v="57"/>
    <d v="2019-04-25T00:00:00"/>
    <s v="Artesanal"/>
    <s v="SUSANA II"/>
    <n v="967342"/>
    <n v="74"/>
    <x v="1"/>
    <n v="16"/>
    <n v="31.524000000000001"/>
  </r>
  <r>
    <n v="58"/>
    <d v="2019-04-25T00:00:00"/>
    <s v="Artesanal"/>
    <s v="IGNACIO S"/>
    <n v="957800"/>
    <n v="12"/>
    <x v="0"/>
    <n v="3"/>
    <n v="16.219000000000001"/>
  </r>
  <r>
    <n v="58"/>
    <d v="2019-04-25T00:00:00"/>
    <s v="Artesanal"/>
    <s v="IGNACIO S"/>
    <n v="957800"/>
    <n v="12"/>
    <x v="1"/>
    <n v="0"/>
    <n v="0"/>
  </r>
  <r>
    <n v="58"/>
    <d v="2019-04-25T00:00:00"/>
    <s v="Artesanal"/>
    <s v="JEAN CARLOS"/>
    <n v="963943"/>
    <n v="12"/>
    <x v="0"/>
    <n v="3"/>
    <n v="15.827"/>
  </r>
  <r>
    <n v="58"/>
    <d v="2019-04-25T00:00:00"/>
    <s v="Artesanal"/>
    <s v="JEAN CARLOS"/>
    <n v="963943"/>
    <n v="12"/>
    <x v="1"/>
    <n v="0"/>
    <n v="0"/>
  </r>
  <r>
    <n v="58"/>
    <d v="2019-04-25T00:00:00"/>
    <s v="Artesanal"/>
    <s v="GAVIOTA I"/>
    <n v="967281"/>
    <n v="74"/>
    <x v="0"/>
    <n v="3"/>
    <n v="30.914000000000001"/>
  </r>
  <r>
    <n v="58"/>
    <d v="2019-04-25T00:00:00"/>
    <s v="Artesanal"/>
    <s v="GAVIOTA I"/>
    <n v="967281"/>
    <n v="74"/>
    <x v="1"/>
    <n v="0"/>
    <n v="0"/>
  </r>
  <r>
    <n v="58"/>
    <d v="2019-04-25T00:00:00"/>
    <s v="Artesanal"/>
    <s v="SILOE"/>
    <n v="904281"/>
    <n v="74"/>
    <x v="0"/>
    <n v="3"/>
    <n v="0"/>
  </r>
  <r>
    <n v="58"/>
    <d v="2019-04-25T00:00:00"/>
    <s v="Artesanal"/>
    <s v="SILOE"/>
    <n v="904281"/>
    <n v="74"/>
    <x v="1"/>
    <n v="0"/>
    <n v="0"/>
  </r>
  <r>
    <n v="58"/>
    <d v="2019-04-25T00:00:00"/>
    <s v="Artesanal"/>
    <s v="SUSANA II"/>
    <n v="967342"/>
    <n v="74"/>
    <x v="0"/>
    <n v="3"/>
    <n v="42.158000000000001"/>
  </r>
  <r>
    <n v="58"/>
    <d v="2019-04-25T00:00:00"/>
    <s v="Artesanal"/>
    <s v="SUSANA II"/>
    <n v="967342"/>
    <n v="74"/>
    <x v="1"/>
    <n v="0"/>
    <n v="0"/>
  </r>
  <r>
    <n v="65"/>
    <d v="2019-05-13T00:00:00"/>
    <s v="Artesanal"/>
    <s v="IGNACIO S"/>
    <n v="957800"/>
    <n v="12"/>
    <x v="0"/>
    <n v="0"/>
    <n v="0"/>
  </r>
  <r>
    <n v="65"/>
    <d v="2019-05-13T00:00:00"/>
    <s v="Artesanal"/>
    <s v="IGNACIO S"/>
    <n v="957800"/>
    <n v="12"/>
    <x v="1"/>
    <n v="26.16"/>
    <n v="29.036999999999999"/>
  </r>
  <r>
    <n v="65"/>
    <d v="2019-05-13T00:00:00"/>
    <s v="Artesanal"/>
    <s v="JEAN CARLOS"/>
    <n v="963943"/>
    <n v="12"/>
    <x v="0"/>
    <n v="0"/>
    <n v="0"/>
  </r>
  <r>
    <n v="65"/>
    <d v="2019-05-13T00:00:00"/>
    <s v="Artesanal"/>
    <s v="JEAN CARLOS"/>
    <n v="963943"/>
    <n v="12"/>
    <x v="1"/>
    <n v="26.16"/>
    <n v="27.184999999999999"/>
  </r>
  <r>
    <n v="65"/>
    <d v="2019-05-13T00:00:00"/>
    <s v="Artesanal"/>
    <s v="GAVIOTA I"/>
    <n v="967281"/>
    <n v="74"/>
    <x v="0"/>
    <n v="0"/>
    <n v="0"/>
  </r>
  <r>
    <n v="65"/>
    <d v="2019-05-13T00:00:00"/>
    <s v="Artesanal"/>
    <s v="GAVIOTA I"/>
    <n v="967281"/>
    <n v="74"/>
    <x v="1"/>
    <n v="26.16"/>
    <n v="7.8650000000000002"/>
  </r>
  <r>
    <n v="65"/>
    <d v="2019-05-13T00:00:00"/>
    <s v="Artesanal"/>
    <s v="SILOE"/>
    <n v="904281"/>
    <n v="74"/>
    <x v="0"/>
    <n v="0"/>
    <n v="0"/>
  </r>
  <r>
    <n v="65"/>
    <d v="2019-05-13T00:00:00"/>
    <s v="Artesanal"/>
    <s v="SILOE"/>
    <n v="904281"/>
    <n v="74"/>
    <x v="1"/>
    <n v="26.16"/>
    <n v="0"/>
  </r>
  <r>
    <n v="65"/>
    <d v="2019-05-13T00:00:00"/>
    <s v="Artesanal"/>
    <s v="SUSANA II"/>
    <n v="967342"/>
    <n v="74"/>
    <x v="0"/>
    <n v="0"/>
    <n v="0"/>
  </r>
  <r>
    <n v="65"/>
    <d v="2019-05-13T00:00:00"/>
    <s v="Artesanal"/>
    <s v="SUSANA II"/>
    <n v="967342"/>
    <n v="74"/>
    <x v="1"/>
    <n v="26.16"/>
    <n v="12.526999999999999"/>
  </r>
  <r>
    <n v="66"/>
    <d v="2019-05-13T00:00:00"/>
    <s v="Artesanal"/>
    <s v="IGNACIO S"/>
    <n v="957800"/>
    <n v="12"/>
    <x v="0"/>
    <n v="8.6"/>
    <n v="0"/>
  </r>
  <r>
    <n v="66"/>
    <d v="2019-05-13T00:00:00"/>
    <s v="Artesanal"/>
    <s v="IGNACIO S"/>
    <n v="957800"/>
    <n v="12"/>
    <x v="1"/>
    <n v="2"/>
    <n v="0"/>
  </r>
  <r>
    <n v="66"/>
    <d v="2019-05-13T00:00:00"/>
    <s v="Artesanal"/>
    <s v="JEAN CARLOS"/>
    <n v="963943"/>
    <n v="12"/>
    <x v="0"/>
    <n v="8.6"/>
    <n v="0"/>
  </r>
  <r>
    <n v="66"/>
    <d v="2019-05-13T00:00:00"/>
    <s v="Artesanal"/>
    <s v="JEAN CARLOS"/>
    <n v="963943"/>
    <n v="12"/>
    <x v="1"/>
    <n v="2"/>
    <n v="0"/>
  </r>
  <r>
    <n v="66"/>
    <d v="2019-05-13T00:00:00"/>
    <s v="Artesanal"/>
    <s v="GAVIOTA I"/>
    <n v="967281"/>
    <n v="74"/>
    <x v="0"/>
    <n v="8.6"/>
    <n v="8.4629999999999992"/>
  </r>
  <r>
    <n v="66"/>
    <d v="2019-05-13T00:00:00"/>
    <s v="Artesanal"/>
    <s v="GAVIOTA I"/>
    <n v="967281"/>
    <n v="74"/>
    <x v="1"/>
    <n v="2"/>
    <n v="8.4659999999999993"/>
  </r>
  <r>
    <n v="66"/>
    <d v="2019-05-13T00:00:00"/>
    <s v="Artesanal"/>
    <s v="SILOE"/>
    <n v="904281"/>
    <n v="74"/>
    <x v="0"/>
    <n v="8.6"/>
    <n v="0"/>
  </r>
  <r>
    <n v="66"/>
    <d v="2019-05-13T00:00:00"/>
    <s v="Artesanal"/>
    <s v="SILOE"/>
    <n v="904281"/>
    <n v="74"/>
    <x v="1"/>
    <n v="2"/>
    <n v="0"/>
  </r>
  <r>
    <n v="66"/>
    <d v="2019-05-13T00:00:00"/>
    <s v="Artesanal"/>
    <s v="SUSANA II"/>
    <n v="967342"/>
    <n v="74"/>
    <x v="0"/>
    <n v="8.6"/>
    <n v="36.564"/>
  </r>
  <r>
    <n v="66"/>
    <d v="2019-05-13T00:00:00"/>
    <s v="Artesanal"/>
    <s v="SUSANA II"/>
    <n v="967342"/>
    <n v="74"/>
    <x v="1"/>
    <n v="2"/>
    <n v="0"/>
  </r>
  <r>
    <n v="67"/>
    <d v="2019-05-13T00:00:00"/>
    <s v="Artesanal"/>
    <s v="IGNACIO S"/>
    <n v="957800"/>
    <n v="12"/>
    <x v="0"/>
    <n v="0"/>
    <n v="0"/>
  </r>
  <r>
    <n v="67"/>
    <d v="2019-05-13T00:00:00"/>
    <s v="Artesanal"/>
    <s v="IGNACIO S"/>
    <n v="957800"/>
    <n v="12"/>
    <x v="1"/>
    <n v="27.4"/>
    <n v="0"/>
  </r>
  <r>
    <n v="67"/>
    <d v="2019-05-13T00:00:00"/>
    <s v="Artesanal"/>
    <s v="JEAN CARLOS"/>
    <n v="963943"/>
    <n v="12"/>
    <x v="0"/>
    <n v="0"/>
    <n v="0"/>
  </r>
  <r>
    <n v="67"/>
    <d v="2019-05-13T00:00:00"/>
    <s v="Artesanal"/>
    <s v="JEAN CARLOS"/>
    <n v="963943"/>
    <n v="12"/>
    <x v="1"/>
    <n v="27.4"/>
    <n v="10.6"/>
  </r>
  <r>
    <n v="67"/>
    <d v="2019-05-13T00:00:00"/>
    <s v="Artesanal"/>
    <s v="GAVIOTA I"/>
    <n v="967281"/>
    <n v="74"/>
    <x v="0"/>
    <n v="0"/>
    <n v="0"/>
  </r>
  <r>
    <n v="67"/>
    <d v="2019-05-13T00:00:00"/>
    <s v="Artesanal"/>
    <s v="GAVIOTA I"/>
    <n v="967281"/>
    <n v="74"/>
    <x v="1"/>
    <n v="27.4"/>
    <n v="26.742999999999999"/>
  </r>
  <r>
    <n v="67"/>
    <d v="2019-05-13T00:00:00"/>
    <s v="Artesanal"/>
    <s v="SILOE"/>
    <n v="904281"/>
    <n v="74"/>
    <x v="0"/>
    <n v="0"/>
    <n v="0"/>
  </r>
  <r>
    <n v="67"/>
    <d v="2019-05-13T00:00:00"/>
    <s v="Artesanal"/>
    <s v="SILOE"/>
    <n v="904281"/>
    <n v="74"/>
    <x v="1"/>
    <n v="27.4"/>
    <n v="0"/>
  </r>
  <r>
    <n v="67"/>
    <d v="2019-05-13T00:00:00"/>
    <s v="Artesanal"/>
    <s v="SUSANA II"/>
    <n v="967342"/>
    <n v="74"/>
    <x v="0"/>
    <n v="0"/>
    <n v="0"/>
  </r>
  <r>
    <n v="67"/>
    <d v="2019-05-13T00:00:00"/>
    <s v="Artesanal"/>
    <s v="SUSANA II"/>
    <n v="967342"/>
    <n v="74"/>
    <x v="1"/>
    <n v="27.4"/>
    <n v="28.134"/>
  </r>
  <r>
    <n v="68"/>
    <d v="2019-05-13T00:00:00"/>
    <s v="Artesanal"/>
    <s v="IGNACIO S"/>
    <n v="957800"/>
    <n v="12"/>
    <x v="0"/>
    <n v="8"/>
    <n v="57.582000000000001"/>
  </r>
  <r>
    <n v="68"/>
    <d v="2019-05-13T00:00:00"/>
    <s v="Artesanal"/>
    <s v="IGNACIO S"/>
    <n v="957800"/>
    <n v="12"/>
    <x v="1"/>
    <n v="2.14"/>
    <n v="24.216999999999999"/>
  </r>
  <r>
    <n v="68"/>
    <d v="2019-05-13T00:00:00"/>
    <s v="Artesanal"/>
    <s v="JEAN CARLOS"/>
    <n v="963943"/>
    <n v="12"/>
    <x v="0"/>
    <n v="8"/>
    <n v="28.001999999999999"/>
  </r>
  <r>
    <n v="68"/>
    <d v="2019-05-13T00:00:00"/>
    <s v="Artesanal"/>
    <s v="JEAN CARLOS"/>
    <n v="963943"/>
    <n v="12"/>
    <x v="1"/>
    <n v="2.14"/>
    <n v="4.2530000000000001"/>
  </r>
  <r>
    <n v="68"/>
    <d v="2019-05-13T00:00:00"/>
    <s v="Artesanal"/>
    <s v="GAVIOTA I"/>
    <n v="967281"/>
    <n v="74"/>
    <x v="0"/>
    <n v="8"/>
    <n v="7.4"/>
  </r>
  <r>
    <n v="68"/>
    <d v="2019-05-13T00:00:00"/>
    <s v="Artesanal"/>
    <s v="GAVIOTA I"/>
    <n v="967281"/>
    <n v="74"/>
    <x v="1"/>
    <n v="2.14"/>
    <n v="0"/>
  </r>
  <r>
    <n v="68"/>
    <d v="2019-05-13T00:00:00"/>
    <s v="Artesanal"/>
    <s v="SILOE"/>
    <n v="904281"/>
    <n v="74"/>
    <x v="0"/>
    <n v="8"/>
    <n v="0"/>
  </r>
  <r>
    <n v="68"/>
    <d v="2019-05-13T00:00:00"/>
    <s v="Artesanal"/>
    <s v="SILOE"/>
    <n v="904281"/>
    <n v="74"/>
    <x v="1"/>
    <n v="2.14"/>
    <n v="0"/>
  </r>
  <r>
    <n v="68"/>
    <d v="2019-05-13T00:00:00"/>
    <s v="Artesanal"/>
    <s v="SUSANA II"/>
    <n v="967342"/>
    <n v="74"/>
    <x v="0"/>
    <n v="8"/>
    <n v="35.354999999999997"/>
  </r>
  <r>
    <n v="68"/>
    <d v="2019-05-13T00:00:00"/>
    <s v="Artesanal"/>
    <s v="SUSANA II"/>
    <n v="967342"/>
    <n v="74"/>
    <x v="1"/>
    <n v="2.14"/>
    <n v="11.217000000000001"/>
  </r>
  <r>
    <n v="78"/>
    <d v="2019-05-22T00:00:00"/>
    <s v="Artesanal"/>
    <s v="IGNACIO S"/>
    <n v="957800"/>
    <n v="12"/>
    <x v="0"/>
    <n v="6"/>
    <n v="0"/>
  </r>
  <r>
    <n v="78"/>
    <d v="2019-05-22T00:00:00"/>
    <s v="Artesanal"/>
    <s v="IGNACIO S"/>
    <n v="957800"/>
    <n v="12"/>
    <x v="1"/>
    <n v="14"/>
    <n v="0"/>
  </r>
  <r>
    <n v="78"/>
    <d v="2019-05-22T00:00:00"/>
    <s v="Artesanal"/>
    <s v="JEAN CARLOS"/>
    <n v="963943"/>
    <n v="12"/>
    <x v="0"/>
    <n v="6"/>
    <n v="20.244"/>
  </r>
  <r>
    <n v="78"/>
    <d v="2019-05-22T00:00:00"/>
    <s v="Artesanal"/>
    <s v="JEAN CARLOS"/>
    <n v="963943"/>
    <n v="12"/>
    <x v="1"/>
    <n v="14"/>
    <n v="11.76"/>
  </r>
  <r>
    <n v="78"/>
    <d v="2019-05-22T00:00:00"/>
    <s v="Artesanal"/>
    <s v="GAVIOTA I"/>
    <n v="967281"/>
    <n v="74"/>
    <x v="0"/>
    <n v="6"/>
    <n v="16.739999999999998"/>
  </r>
  <r>
    <n v="78"/>
    <d v="2019-05-22T00:00:00"/>
    <s v="Artesanal"/>
    <s v="GAVIOTA I"/>
    <n v="967281"/>
    <n v="74"/>
    <x v="1"/>
    <n v="14"/>
    <n v="12.926"/>
  </r>
  <r>
    <n v="78"/>
    <d v="2019-05-22T00:00:00"/>
    <s v="Artesanal"/>
    <s v="SILOE"/>
    <n v="904281"/>
    <n v="74"/>
    <x v="0"/>
    <n v="6"/>
    <n v="0"/>
  </r>
  <r>
    <n v="78"/>
    <d v="2019-05-22T00:00:00"/>
    <s v="Artesanal"/>
    <s v="SILOE"/>
    <n v="904281"/>
    <n v="74"/>
    <x v="1"/>
    <n v="14"/>
    <n v="0"/>
  </r>
  <r>
    <n v="78"/>
    <d v="2019-05-22T00:00:00"/>
    <s v="Artesanal"/>
    <s v="SUSANA II"/>
    <n v="967342"/>
    <n v="74"/>
    <x v="0"/>
    <n v="6"/>
    <n v="6.58"/>
  </r>
  <r>
    <n v="78"/>
    <d v="2019-05-22T00:00:00"/>
    <s v="Artesanal"/>
    <s v="SUSANA II"/>
    <n v="967342"/>
    <n v="74"/>
    <x v="1"/>
    <n v="14"/>
    <n v="25.184999999999999"/>
  </r>
  <r>
    <n v="80"/>
    <d v="2019-05-22T00:00:00"/>
    <s v="Artesanal"/>
    <s v="IGNACIO S"/>
    <n v="957800"/>
    <n v="12"/>
    <x v="0"/>
    <n v="8"/>
    <n v="12.9"/>
  </r>
  <r>
    <n v="80"/>
    <d v="2019-05-22T00:00:00"/>
    <s v="Artesanal"/>
    <s v="IGNACIO S"/>
    <n v="957800"/>
    <n v="12"/>
    <x v="1"/>
    <n v="0.44"/>
    <n v="0"/>
  </r>
  <r>
    <n v="80"/>
    <d v="2019-05-22T00:00:00"/>
    <s v="Artesanal"/>
    <s v="JEAN CARLOS"/>
    <n v="963943"/>
    <n v="12"/>
    <x v="0"/>
    <n v="8"/>
    <n v="0"/>
  </r>
  <r>
    <n v="80"/>
    <d v="2019-05-22T00:00:00"/>
    <s v="Artesanal"/>
    <s v="JEAN CARLOS"/>
    <n v="963943"/>
    <n v="12"/>
    <x v="1"/>
    <n v="0.44"/>
    <n v="0"/>
  </r>
  <r>
    <n v="80"/>
    <d v="2019-05-22T00:00:00"/>
    <s v="Artesanal"/>
    <s v="GAVIOTA I"/>
    <n v="967281"/>
    <n v="74"/>
    <x v="0"/>
    <n v="8"/>
    <n v="11.369"/>
  </r>
  <r>
    <n v="80"/>
    <d v="2019-05-22T00:00:00"/>
    <s v="Artesanal"/>
    <s v="GAVIOTA I"/>
    <n v="967281"/>
    <n v="74"/>
    <x v="1"/>
    <n v="0.44"/>
    <n v="13.419"/>
  </r>
  <r>
    <n v="80"/>
    <d v="2019-05-22T00:00:00"/>
    <s v="Artesanal"/>
    <s v="SILOE"/>
    <n v="904281"/>
    <n v="74"/>
    <x v="0"/>
    <n v="8"/>
    <n v="0"/>
  </r>
  <r>
    <n v="80"/>
    <d v="2019-05-22T00:00:00"/>
    <s v="Artesanal"/>
    <s v="SILOE"/>
    <n v="904281"/>
    <n v="74"/>
    <x v="1"/>
    <n v="0.44"/>
    <n v="0"/>
  </r>
  <r>
    <n v="80"/>
    <d v="2019-05-22T00:00:00"/>
    <s v="Artesanal"/>
    <s v="SUSANA II"/>
    <n v="967342"/>
    <n v="74"/>
    <x v="0"/>
    <n v="8"/>
    <n v="11"/>
  </r>
  <r>
    <n v="80"/>
    <d v="2019-05-22T00:00:00"/>
    <s v="Artesanal"/>
    <s v="SUSANA II"/>
    <n v="967342"/>
    <n v="74"/>
    <x v="1"/>
    <n v="0.44"/>
    <n v="0"/>
  </r>
  <r>
    <n v="81"/>
    <d v="2019-05-22T00:00:00"/>
    <s v="Artesanal"/>
    <s v="IGNACIO S"/>
    <n v="957800"/>
    <n v="12"/>
    <x v="0"/>
    <n v="1.8"/>
    <n v="27.786000000000001"/>
  </r>
  <r>
    <n v="81"/>
    <d v="2019-05-22T00:00:00"/>
    <s v="Artesanal"/>
    <s v="IGNACIO S"/>
    <n v="957800"/>
    <n v="12"/>
    <x v="1"/>
    <n v="2"/>
    <n v="8.5850000000000009"/>
  </r>
  <r>
    <n v="81"/>
    <d v="2019-05-22T00:00:00"/>
    <s v="Artesanal"/>
    <s v="JEAN CARLOS"/>
    <n v="963943"/>
    <n v="12"/>
    <x v="0"/>
    <n v="1.8"/>
    <n v="81.284000000000006"/>
  </r>
  <r>
    <n v="81"/>
    <d v="2019-05-22T00:00:00"/>
    <s v="Artesanal"/>
    <s v="JEAN CARLOS"/>
    <n v="963943"/>
    <n v="12"/>
    <x v="1"/>
    <n v="2"/>
    <n v="44.676000000000002"/>
  </r>
  <r>
    <n v="81"/>
    <d v="2019-05-22T00:00:00"/>
    <s v="Artesanal"/>
    <s v="GAVIOTA I"/>
    <n v="967281"/>
    <n v="74"/>
    <x v="0"/>
    <n v="1.8"/>
    <n v="105.649"/>
  </r>
  <r>
    <n v="81"/>
    <d v="2019-05-22T00:00:00"/>
    <s v="Artesanal"/>
    <s v="GAVIOTA I"/>
    <n v="967281"/>
    <n v="74"/>
    <x v="1"/>
    <n v="2"/>
    <n v="22.344999999999999"/>
  </r>
  <r>
    <n v="81"/>
    <d v="2019-05-22T00:00:00"/>
    <s v="Artesanal"/>
    <s v="SILOE"/>
    <n v="904281"/>
    <n v="74"/>
    <x v="0"/>
    <n v="1.8"/>
    <n v="0"/>
  </r>
  <r>
    <n v="81"/>
    <d v="2019-05-22T00:00:00"/>
    <s v="Artesanal"/>
    <s v="SILOE"/>
    <n v="904281"/>
    <n v="74"/>
    <x v="1"/>
    <n v="2"/>
    <n v="0"/>
  </r>
  <r>
    <n v="81"/>
    <d v="2019-05-22T00:00:00"/>
    <s v="Artesanal"/>
    <s v="SUSANA II"/>
    <n v="967342"/>
    <n v="74"/>
    <x v="0"/>
    <n v="1.8"/>
    <n v="115.511"/>
  </r>
  <r>
    <n v="81"/>
    <d v="2019-05-22T00:00:00"/>
    <s v="Artesanal"/>
    <s v="SUSANA II"/>
    <n v="967342"/>
    <n v="74"/>
    <x v="1"/>
    <n v="2"/>
    <n v="46.942999999999998"/>
  </r>
  <r>
    <n v="82"/>
    <d v="2019-05-22T00:00:00"/>
    <s v="Artesanal"/>
    <s v="GAVIOTA I"/>
    <n v="967281"/>
    <n v="74"/>
    <x v="0"/>
    <n v="0.63300000000000001"/>
    <n v="0"/>
  </r>
  <r>
    <n v="82"/>
    <d v="2019-05-22T00:00:00"/>
    <s v="Artesanal"/>
    <s v="GAVIOTA I"/>
    <n v="967281"/>
    <n v="74"/>
    <x v="1"/>
    <n v="1.0329999999999999"/>
    <n v="0"/>
  </r>
  <r>
    <n v="82"/>
    <d v="2019-05-22T00:00:00"/>
    <s v="Artesanal"/>
    <s v="SILOE"/>
    <n v="904281"/>
    <n v="74"/>
    <x v="0"/>
    <n v="0.63300000000000001"/>
    <n v="0"/>
  </r>
  <r>
    <n v="82"/>
    <d v="2019-05-22T00:00:00"/>
    <s v="Artesanal"/>
    <s v="SILOE"/>
    <n v="904281"/>
    <n v="74"/>
    <x v="1"/>
    <n v="1.0329999999999999"/>
    <n v="0"/>
  </r>
  <r>
    <n v="82"/>
    <d v="2019-05-22T00:00:00"/>
    <s v="Artesanal"/>
    <s v="SUSANA II"/>
    <n v="967342"/>
    <n v="74"/>
    <x v="0"/>
    <n v="0.63300000000000001"/>
    <n v="0"/>
  </r>
  <r>
    <n v="82"/>
    <d v="2019-05-22T00:00:00"/>
    <s v="Artesanal"/>
    <s v="SUSANA II"/>
    <n v="967342"/>
    <n v="74"/>
    <x v="1"/>
    <n v="1.0329999999999999"/>
    <n v="0"/>
  </r>
  <r>
    <n v="85"/>
    <d v="2019-05-23T00:00:00"/>
    <s v="Artesanal"/>
    <s v="IGNACIO S"/>
    <n v="957800"/>
    <n v="12"/>
    <x v="0"/>
    <n v="6.2"/>
    <n v="21.279"/>
  </r>
  <r>
    <n v="85"/>
    <d v="2019-05-23T00:00:00"/>
    <s v="Artesanal"/>
    <s v="IGNACIO S"/>
    <n v="957800"/>
    <n v="12"/>
    <x v="1"/>
    <n v="0.8"/>
    <n v="107.498"/>
  </r>
  <r>
    <n v="85"/>
    <d v="2019-05-23T00:00:00"/>
    <s v="Artesanal"/>
    <s v="JEAN CARLOS"/>
    <n v="963943"/>
    <n v="12"/>
    <x v="0"/>
    <n v="6.2"/>
    <n v="34.472999999999999"/>
  </r>
  <r>
    <n v="85"/>
    <d v="2019-05-23T00:00:00"/>
    <s v="Artesanal"/>
    <s v="JEAN CARLOS"/>
    <n v="963943"/>
    <n v="12"/>
    <x v="1"/>
    <n v="0.8"/>
    <n v="9.907"/>
  </r>
  <r>
    <n v="85"/>
    <d v="2019-05-23T00:00:00"/>
    <s v="Artesanal"/>
    <s v="GAVIOTA I"/>
    <n v="967281"/>
    <n v="74"/>
    <x v="0"/>
    <n v="6.2"/>
    <n v="50.426000000000002"/>
  </r>
  <r>
    <n v="85"/>
    <d v="2019-05-23T00:00:00"/>
    <s v="Artesanal"/>
    <s v="GAVIOTA I"/>
    <n v="967281"/>
    <n v="74"/>
    <x v="1"/>
    <n v="0.8"/>
    <n v="144.63900000000001"/>
  </r>
  <r>
    <n v="85"/>
    <d v="2019-05-23T00:00:00"/>
    <s v="Artesanal"/>
    <s v="SILOE"/>
    <n v="904281"/>
    <n v="74"/>
    <x v="0"/>
    <n v="6.2"/>
    <n v="9.6"/>
  </r>
  <r>
    <n v="85"/>
    <d v="2019-05-23T00:00:00"/>
    <s v="Artesanal"/>
    <s v="SILOE"/>
    <n v="904281"/>
    <n v="74"/>
    <x v="1"/>
    <n v="0.8"/>
    <n v="95.97"/>
  </r>
  <r>
    <n v="85"/>
    <d v="2019-05-23T00:00:00"/>
    <s v="Artesanal"/>
    <s v="SUSANA II"/>
    <n v="967342"/>
    <n v="74"/>
    <x v="0"/>
    <n v="6.2"/>
    <n v="53.816000000000003"/>
  </r>
  <r>
    <n v="85"/>
    <d v="2019-05-23T00:00:00"/>
    <s v="Artesanal"/>
    <s v="SUSANA II"/>
    <n v="967342"/>
    <n v="74"/>
    <x v="1"/>
    <n v="0.8"/>
    <n v="159.26900000000001"/>
  </r>
  <r>
    <n v="86"/>
    <d v="2019-05-23T00:00:00"/>
    <s v="Artesanal"/>
    <s v="IGNACIO S"/>
    <n v="957800"/>
    <n v="12"/>
    <x v="0"/>
    <n v="0.1"/>
    <n v="0"/>
  </r>
  <r>
    <n v="86"/>
    <d v="2019-05-23T00:00:00"/>
    <s v="Artesanal"/>
    <s v="IGNACIO S"/>
    <n v="957800"/>
    <n v="12"/>
    <x v="1"/>
    <n v="13.8"/>
    <n v="7.0140000000000002"/>
  </r>
  <r>
    <n v="86"/>
    <d v="2019-05-23T00:00:00"/>
    <s v="Artesanal"/>
    <s v="JEAN CARLOS"/>
    <n v="963943"/>
    <n v="12"/>
    <x v="0"/>
    <n v="0.1"/>
    <n v="5.44"/>
  </r>
  <r>
    <n v="86"/>
    <d v="2019-05-23T00:00:00"/>
    <s v="Artesanal"/>
    <s v="JEAN CARLOS"/>
    <n v="963943"/>
    <n v="12"/>
    <x v="1"/>
    <n v="13.8"/>
    <n v="10.382999999999999"/>
  </r>
  <r>
    <n v="86"/>
    <d v="2019-05-23T00:00:00"/>
    <s v="Artesanal"/>
    <s v="GAVIOTA I"/>
    <n v="967281"/>
    <n v="74"/>
    <x v="0"/>
    <n v="0.1"/>
    <n v="24.385000000000002"/>
  </r>
  <r>
    <n v="86"/>
    <d v="2019-05-23T00:00:00"/>
    <s v="Artesanal"/>
    <s v="GAVIOTA I"/>
    <n v="967281"/>
    <n v="74"/>
    <x v="1"/>
    <n v="13.8"/>
    <n v="29.725999999999999"/>
  </r>
  <r>
    <n v="86"/>
    <d v="2019-05-23T00:00:00"/>
    <s v="Artesanal"/>
    <s v="SILOE"/>
    <n v="904281"/>
    <n v="74"/>
    <x v="0"/>
    <n v="0.1"/>
    <n v="0"/>
  </r>
  <r>
    <n v="86"/>
    <d v="2019-05-23T00:00:00"/>
    <s v="Artesanal"/>
    <s v="SILOE"/>
    <n v="904281"/>
    <n v="74"/>
    <x v="1"/>
    <n v="13.8"/>
    <n v="0"/>
  </r>
  <r>
    <n v="86"/>
    <d v="2019-05-23T00:00:00"/>
    <s v="Artesanal"/>
    <s v="SUSANA II"/>
    <n v="967342"/>
    <n v="74"/>
    <x v="0"/>
    <n v="0.1"/>
    <n v="48.22"/>
  </r>
  <r>
    <n v="86"/>
    <d v="2019-05-23T00:00:00"/>
    <s v="Artesanal"/>
    <s v="SUSANA II"/>
    <n v="967342"/>
    <n v="74"/>
    <x v="1"/>
    <n v="13.8"/>
    <n v="16.172000000000001"/>
  </r>
  <r>
    <n v="89"/>
    <d v="2019-05-24T00:00:00"/>
    <s v="Artesanal"/>
    <s v="IGNACIO S"/>
    <n v="957800"/>
    <n v="12"/>
    <x v="0"/>
    <n v="1"/>
    <n v="13.836"/>
  </r>
  <r>
    <n v="89"/>
    <d v="2019-05-24T00:00:00"/>
    <s v="Artesanal"/>
    <s v="IGNACIO S"/>
    <n v="957800"/>
    <n v="12"/>
    <x v="1"/>
    <n v="1.4"/>
    <n v="14.989000000000001"/>
  </r>
  <r>
    <n v="89"/>
    <d v="2019-05-24T00:00:00"/>
    <s v="Artesanal"/>
    <s v="JEAN CARLOS"/>
    <n v="963943"/>
    <n v="12"/>
    <x v="0"/>
    <n v="1"/>
    <n v="19.731000000000002"/>
  </r>
  <r>
    <n v="89"/>
    <d v="2019-05-24T00:00:00"/>
    <s v="Artesanal"/>
    <s v="JEAN CARLOS"/>
    <n v="963943"/>
    <n v="12"/>
    <x v="1"/>
    <n v="1.4"/>
    <n v="35.938000000000002"/>
  </r>
  <r>
    <n v="89"/>
    <d v="2019-05-24T00:00:00"/>
    <s v="Artesanal"/>
    <s v="GAVIOTA I"/>
    <n v="967281"/>
    <n v="74"/>
    <x v="0"/>
    <n v="1"/>
    <n v="39.325000000000003"/>
  </r>
  <r>
    <n v="89"/>
    <d v="2019-05-24T00:00:00"/>
    <s v="Artesanal"/>
    <s v="GAVIOTA I"/>
    <n v="967281"/>
    <n v="74"/>
    <x v="1"/>
    <n v="1.4"/>
    <n v="13.394"/>
  </r>
  <r>
    <n v="89"/>
    <d v="2019-05-24T00:00:00"/>
    <s v="Artesanal"/>
    <s v="SILOE"/>
    <n v="904281"/>
    <n v="74"/>
    <x v="0"/>
    <n v="1"/>
    <n v="19.661999999999999"/>
  </r>
  <r>
    <n v="89"/>
    <d v="2019-05-24T00:00:00"/>
    <s v="Artesanal"/>
    <s v="SILOE"/>
    <n v="904281"/>
    <n v="74"/>
    <x v="1"/>
    <n v="1.4"/>
    <n v="14.833"/>
  </r>
  <r>
    <n v="89"/>
    <d v="2019-05-24T00:00:00"/>
    <s v="Artesanal"/>
    <s v="SUSANA II"/>
    <n v="967342"/>
    <n v="74"/>
    <x v="0"/>
    <n v="1"/>
    <n v="9.3379999999999992"/>
  </r>
  <r>
    <n v="89"/>
    <d v="2019-05-24T00:00:00"/>
    <s v="Artesanal"/>
    <s v="SUSANA II"/>
    <n v="967342"/>
    <n v="74"/>
    <x v="1"/>
    <n v="1.4"/>
    <n v="7.6769999999999996"/>
  </r>
  <r>
    <n v="91"/>
    <d v="2019-05-27T00:00:00"/>
    <s v="Artesanal"/>
    <s v="IGNACIO S"/>
    <n v="957800"/>
    <n v="12"/>
    <x v="0"/>
    <n v="10.74"/>
    <n v="0"/>
  </r>
  <r>
    <n v="91"/>
    <d v="2019-05-27T00:00:00"/>
    <s v="Artesanal"/>
    <s v="IGNACIO S"/>
    <n v="957800"/>
    <n v="12"/>
    <x v="1"/>
    <n v="10.26"/>
    <n v="0"/>
  </r>
  <r>
    <n v="91"/>
    <d v="2019-05-27T00:00:00"/>
    <s v="Artesanal"/>
    <s v="JEAN CARLOS"/>
    <n v="963943"/>
    <n v="12"/>
    <x v="0"/>
    <n v="10.74"/>
    <n v="0"/>
  </r>
  <r>
    <n v="91"/>
    <d v="2019-05-27T00:00:00"/>
    <s v="Artesanal"/>
    <s v="JEAN CARLOS"/>
    <n v="963943"/>
    <n v="12"/>
    <x v="1"/>
    <n v="10.26"/>
    <n v="0"/>
  </r>
  <r>
    <n v="91"/>
    <d v="2019-05-27T00:00:00"/>
    <s v="Artesanal"/>
    <s v="GAVIOTA I"/>
    <n v="967281"/>
    <n v="74"/>
    <x v="0"/>
    <n v="10.74"/>
    <n v="8.81"/>
  </r>
  <r>
    <n v="91"/>
    <d v="2019-05-27T00:00:00"/>
    <s v="Artesanal"/>
    <s v="GAVIOTA I"/>
    <n v="967281"/>
    <n v="74"/>
    <x v="1"/>
    <n v="10.26"/>
    <n v="0"/>
  </r>
  <r>
    <n v="91"/>
    <d v="2019-05-27T00:00:00"/>
    <s v="Artesanal"/>
    <s v="SILOE"/>
    <n v="904281"/>
    <n v="74"/>
    <x v="0"/>
    <n v="10.74"/>
    <n v="0"/>
  </r>
  <r>
    <n v="91"/>
    <d v="2019-05-27T00:00:00"/>
    <s v="Artesanal"/>
    <s v="SILOE"/>
    <n v="904281"/>
    <n v="74"/>
    <x v="1"/>
    <n v="10.26"/>
    <n v="0"/>
  </r>
  <r>
    <n v="91"/>
    <d v="2019-05-27T00:00:00"/>
    <s v="Artesanal"/>
    <s v="SUSANA II"/>
    <n v="967342"/>
    <n v="74"/>
    <x v="0"/>
    <n v="10.74"/>
    <n v="0"/>
  </r>
  <r>
    <n v="91"/>
    <d v="2019-05-27T00:00:00"/>
    <s v="Artesanal"/>
    <s v="SUSANA II"/>
    <n v="967342"/>
    <n v="74"/>
    <x v="1"/>
    <n v="10.26"/>
    <n v="0"/>
  </r>
  <r>
    <n v="92"/>
    <d v="2019-05-27T00:00:00"/>
    <s v="Artesanal"/>
    <s v="IGNACIO S"/>
    <n v="957800"/>
    <n v="12"/>
    <x v="0"/>
    <n v="0.1"/>
    <n v="0"/>
  </r>
  <r>
    <n v="92"/>
    <d v="2019-05-27T00:00:00"/>
    <s v="Artesanal"/>
    <s v="IGNACIO S"/>
    <n v="957800"/>
    <n v="12"/>
    <x v="1"/>
    <n v="20"/>
    <n v="0"/>
  </r>
  <r>
    <n v="92"/>
    <d v="2019-05-27T00:00:00"/>
    <s v="Artesanal"/>
    <s v="JEAN CARLOS"/>
    <n v="963943"/>
    <n v="12"/>
    <x v="0"/>
    <n v="0.1"/>
    <n v="0"/>
  </r>
  <r>
    <n v="92"/>
    <d v="2019-05-27T00:00:00"/>
    <s v="Artesanal"/>
    <s v="JEAN CARLOS"/>
    <n v="963943"/>
    <n v="12"/>
    <x v="1"/>
    <n v="20"/>
    <n v="0"/>
  </r>
  <r>
    <n v="92"/>
    <d v="2019-05-27T00:00:00"/>
    <s v="Artesanal"/>
    <s v="GAVIOTA I"/>
    <n v="967281"/>
    <n v="74"/>
    <x v="0"/>
    <n v="0.1"/>
    <n v="9.7880000000000003"/>
  </r>
  <r>
    <n v="92"/>
    <d v="2019-05-27T00:00:00"/>
    <s v="Artesanal"/>
    <s v="GAVIOTA I"/>
    <n v="967281"/>
    <n v="74"/>
    <x v="1"/>
    <n v="20"/>
    <n v="0"/>
  </r>
  <r>
    <n v="92"/>
    <d v="2019-05-27T00:00:00"/>
    <s v="Artesanal"/>
    <s v="SILOE"/>
    <n v="904281"/>
    <n v="74"/>
    <x v="0"/>
    <n v="0.1"/>
    <n v="0"/>
  </r>
  <r>
    <n v="92"/>
    <d v="2019-05-27T00:00:00"/>
    <s v="Artesanal"/>
    <s v="SILOE"/>
    <n v="904281"/>
    <n v="74"/>
    <x v="1"/>
    <n v="20"/>
    <n v="0"/>
  </r>
  <r>
    <n v="92"/>
    <d v="2019-05-27T00:00:00"/>
    <s v="Artesanal"/>
    <s v="SUSANA II"/>
    <n v="967342"/>
    <n v="74"/>
    <x v="0"/>
    <n v="0.1"/>
    <n v="0"/>
  </r>
  <r>
    <n v="92"/>
    <d v="2019-05-27T00:00:00"/>
    <s v="Artesanal"/>
    <s v="SUSANA II"/>
    <n v="967342"/>
    <n v="74"/>
    <x v="1"/>
    <n v="20"/>
    <n v="0"/>
  </r>
  <r>
    <n v="99"/>
    <d v="2019-05-29T00:00:00"/>
    <s v="Artesanal"/>
    <s v="IGNACIO S"/>
    <n v="957800"/>
    <n v="12"/>
    <x v="0"/>
    <n v="2.1399999999999997"/>
    <n v="0"/>
  </r>
  <r>
    <n v="99"/>
    <d v="2019-05-29T00:00:00"/>
    <s v="Artesanal"/>
    <s v="IGNACIO S"/>
    <n v="957800"/>
    <n v="12"/>
    <x v="1"/>
    <n v="2.8"/>
    <n v="0"/>
  </r>
  <r>
    <n v="99"/>
    <d v="2019-05-29T00:00:00"/>
    <s v="Artesanal"/>
    <s v="JEAN CARLOS"/>
    <n v="963943"/>
    <n v="12"/>
    <x v="0"/>
    <n v="2.1399999999999997"/>
    <n v="0"/>
  </r>
  <r>
    <n v="99"/>
    <d v="2019-05-29T00:00:00"/>
    <s v="Artesanal"/>
    <s v="JEAN CARLOS"/>
    <n v="963943"/>
    <n v="12"/>
    <x v="1"/>
    <n v="2.8"/>
    <n v="0"/>
  </r>
  <r>
    <n v="99"/>
    <d v="2019-05-29T00:00:00"/>
    <s v="Artesanal"/>
    <s v="GAVIOTA I"/>
    <n v="967281"/>
    <n v="74"/>
    <x v="0"/>
    <n v="2.1399999999999997"/>
    <n v="8.798"/>
  </r>
  <r>
    <n v="99"/>
    <d v="2019-05-29T00:00:00"/>
    <s v="Artesanal"/>
    <s v="GAVIOTA I"/>
    <n v="967281"/>
    <n v="74"/>
    <x v="1"/>
    <n v="2.8"/>
    <n v="0"/>
  </r>
  <r>
    <n v="99"/>
    <d v="2019-05-29T00:00:00"/>
    <s v="Artesanal"/>
    <s v="SILOE"/>
    <n v="904281"/>
    <n v="74"/>
    <x v="0"/>
    <n v="2.1399999999999997"/>
    <n v="26.96"/>
  </r>
  <r>
    <n v="99"/>
    <d v="2019-05-29T00:00:00"/>
    <s v="Artesanal"/>
    <s v="SILOE"/>
    <n v="904281"/>
    <n v="74"/>
    <x v="1"/>
    <n v="2.8"/>
    <n v="23.263000000000002"/>
  </r>
  <r>
    <n v="99"/>
    <d v="2019-05-29T00:00:00"/>
    <s v="Artesanal"/>
    <s v="SUSANA II"/>
    <n v="967342"/>
    <n v="74"/>
    <x v="0"/>
    <n v="2.1399999999999997"/>
    <n v="0"/>
  </r>
  <r>
    <n v="99"/>
    <d v="2019-05-29T00:00:00"/>
    <s v="Artesanal"/>
    <s v="SUSANA II"/>
    <n v="967342"/>
    <n v="74"/>
    <x v="1"/>
    <n v="2.8"/>
    <n v="0"/>
  </r>
  <r>
    <n v="2079"/>
    <d v="2019-06-06T00:00:00"/>
    <s v="Artesanal"/>
    <s v="IGNACIO S"/>
    <n v="957800"/>
    <n v="12"/>
    <x v="0"/>
    <n v="132"/>
    <n v="7.0789999999999997"/>
  </r>
  <r>
    <n v="2079"/>
    <d v="2019-06-06T00:00:00"/>
    <s v="Artesanal"/>
    <s v="IGNACIO S"/>
    <n v="957800"/>
    <n v="12"/>
    <x v="1"/>
    <n v="164"/>
    <n v="3.181"/>
  </r>
  <r>
    <n v="2079"/>
    <d v="2019-06-06T00:00:00"/>
    <s v="Artesanal"/>
    <s v="JEAN CARLOS"/>
    <n v="963943"/>
    <n v="12"/>
    <x v="0"/>
    <n v="132"/>
    <n v="0"/>
  </r>
  <r>
    <n v="2079"/>
    <d v="2019-06-06T00:00:00"/>
    <s v="Artesanal"/>
    <s v="JEAN CARLOS"/>
    <n v="963943"/>
    <n v="12"/>
    <x v="1"/>
    <n v="164"/>
    <n v="0"/>
  </r>
  <r>
    <n v="2079"/>
    <d v="2019-06-06T00:00:00"/>
    <s v="Artesanal"/>
    <s v="GAVIOTA I"/>
    <n v="967281"/>
    <n v="74"/>
    <x v="0"/>
    <n v="132"/>
    <n v="0"/>
  </r>
  <r>
    <n v="2079"/>
    <d v="2019-06-06T00:00:00"/>
    <s v="Artesanal"/>
    <s v="GAVIOTA I"/>
    <n v="967281"/>
    <n v="74"/>
    <x v="1"/>
    <n v="164"/>
    <n v="0"/>
  </r>
  <r>
    <n v="2079"/>
    <d v="2019-06-06T00:00:00"/>
    <s v="Artesanal"/>
    <s v="SILOE"/>
    <n v="904281"/>
    <n v="74"/>
    <x v="0"/>
    <n v="132"/>
    <n v="12.621"/>
  </r>
  <r>
    <n v="2079"/>
    <d v="2019-06-06T00:00:00"/>
    <s v="Artesanal"/>
    <s v="SILOE"/>
    <n v="904281"/>
    <n v="74"/>
    <x v="1"/>
    <n v="164"/>
    <n v="22.195"/>
  </r>
  <r>
    <n v="2079"/>
    <d v="2019-06-06T00:00:00"/>
    <s v="Artesanal"/>
    <s v="SUSANA II"/>
    <n v="967342"/>
    <n v="74"/>
    <x v="0"/>
    <n v="132"/>
    <n v="0"/>
  </r>
  <r>
    <n v="2079"/>
    <d v="2019-06-06T00:00:00"/>
    <s v="Artesanal"/>
    <s v="SUSANA II"/>
    <n v="967342"/>
    <n v="74"/>
    <x v="1"/>
    <n v="164"/>
    <n v="0"/>
  </r>
  <r>
    <n v="108"/>
    <d v="2019-06-18T00:00:00"/>
    <s v="Artesanal"/>
    <s v="IGNACIO S"/>
    <n v="957800"/>
    <n v="12"/>
    <x v="0"/>
    <n v="0.1"/>
    <n v="0"/>
  </r>
  <r>
    <n v="108"/>
    <d v="2019-06-18T00:00:00"/>
    <s v="Artesanal"/>
    <s v="IGNACIO S"/>
    <n v="957800"/>
    <n v="12"/>
    <x v="1"/>
    <n v="4"/>
    <n v="0"/>
  </r>
  <r>
    <n v="108"/>
    <d v="2019-06-18T00:00:00"/>
    <s v="Artesanal"/>
    <s v="JEAN CARLOS"/>
    <n v="963943"/>
    <n v="12"/>
    <x v="0"/>
    <n v="0.1"/>
    <n v="0"/>
  </r>
  <r>
    <n v="108"/>
    <d v="2019-06-18T00:00:00"/>
    <s v="Artesanal"/>
    <s v="JEAN CARLOS"/>
    <n v="963943"/>
    <n v="12"/>
    <x v="1"/>
    <n v="4"/>
    <n v="0"/>
  </r>
  <r>
    <n v="108"/>
    <d v="2019-06-18T00:00:00"/>
    <s v="Artesanal"/>
    <s v="GAVIOTA I"/>
    <n v="967281"/>
    <n v="74"/>
    <x v="0"/>
    <n v="0.1"/>
    <n v="0"/>
  </r>
  <r>
    <n v="108"/>
    <d v="2019-06-18T00:00:00"/>
    <s v="Artesanal"/>
    <s v="GAVIOTA I"/>
    <n v="967281"/>
    <n v="74"/>
    <x v="1"/>
    <n v="4"/>
    <n v="0"/>
  </r>
  <r>
    <n v="108"/>
    <d v="2019-06-18T00:00:00"/>
    <s v="Artesanal"/>
    <s v="SILOE"/>
    <n v="904281"/>
    <n v="74"/>
    <x v="0"/>
    <n v="0.1"/>
    <n v="0"/>
  </r>
  <r>
    <n v="108"/>
    <d v="2019-06-18T00:00:00"/>
    <s v="Artesanal"/>
    <s v="SILOE"/>
    <n v="904281"/>
    <n v="74"/>
    <x v="1"/>
    <n v="4"/>
    <n v="0"/>
  </r>
  <r>
    <n v="108"/>
    <d v="2019-06-18T00:00:00"/>
    <s v="Artesanal"/>
    <s v="SUSANA II"/>
    <n v="967342"/>
    <n v="74"/>
    <x v="0"/>
    <n v="0.1"/>
    <n v="0"/>
  </r>
  <r>
    <n v="108"/>
    <d v="2019-06-18T00:00:00"/>
    <s v="Artesanal"/>
    <s v="SUSANA II"/>
    <n v="967342"/>
    <n v="74"/>
    <x v="1"/>
    <n v="4"/>
    <n v="0"/>
  </r>
  <r>
    <n v="2197"/>
    <d v="2019-06-19T00:00:00"/>
    <s v="Industrial (CESION LTP)"/>
    <s v="DON LUCHO III"/>
    <n v="962289"/>
    <n v="56"/>
    <x v="0"/>
    <n v="5.7089999999999996"/>
    <n v="63.945"/>
  </r>
  <r>
    <n v="2197"/>
    <d v="2019-06-19T00:00:00"/>
    <s v="Industrial (CESION LTP)"/>
    <s v="DON LUCHO III"/>
    <n v="962289"/>
    <n v="56"/>
    <x v="1"/>
    <n v="82.373999999999995"/>
    <n v="3.3650000000000002"/>
  </r>
  <r>
    <n v="2197"/>
    <d v="2019-06-19T00:00:00"/>
    <s v="Industrial (CESION LTP)"/>
    <s v="MAURICIO IGNACIO"/>
    <n v="964576"/>
    <n v="56"/>
    <x v="0"/>
    <n v="5.7080000000000002"/>
    <n v="0"/>
  </r>
  <r>
    <n v="2197"/>
    <d v="2019-06-19T00:00:00"/>
    <s v="Industrial (CESION LTP)"/>
    <s v="MAURICIO IGNACIO"/>
    <n v="964576"/>
    <n v="56"/>
    <x v="1"/>
    <n v="82.373999999999995"/>
    <n v="0"/>
  </r>
  <r>
    <n v="2206"/>
    <d v="2019-06-19T00:00:00"/>
    <s v="Industrial (CESION LTP)"/>
    <s v="DON CLAUDIO"/>
    <n v="924618"/>
    <n v="57"/>
    <x v="0"/>
    <n v="5.7080000000000002"/>
    <n v="65.17"/>
  </r>
  <r>
    <n v="2206"/>
    <d v="2019-06-19T00:00:00"/>
    <s v="Industrial (CESION LTP)"/>
    <s v="DON CLAUDIO"/>
    <n v="924618"/>
    <n v="57"/>
    <x v="1"/>
    <n v="82.373999999999995"/>
    <n v="3.4670000000000001"/>
  </r>
  <r>
    <n v="2206"/>
    <d v="2019-06-19T00:00:00"/>
    <s v="Industrial (CESION LTP)"/>
    <s v="DOÑA CHITA"/>
    <n v="963685"/>
    <n v="57"/>
    <x v="0"/>
    <n v="5.7089999999999996"/>
    <n v="26.795000000000002"/>
  </r>
  <r>
    <n v="2206"/>
    <d v="2019-06-19T00:00:00"/>
    <s v="Industrial (CESION LTP)"/>
    <s v="DOÑA CHITA"/>
    <n v="963685"/>
    <n v="57"/>
    <x v="1"/>
    <n v="82.373999999999995"/>
    <n v="1.41"/>
  </r>
  <r>
    <n v="111"/>
    <d v="2019-06-20T00:00:00"/>
    <s v="Artesanal"/>
    <s v="IGNACIO S"/>
    <n v="957800"/>
    <n v="12"/>
    <x v="0"/>
    <n v="0.1"/>
    <n v="0"/>
  </r>
  <r>
    <n v="111"/>
    <d v="2019-06-20T00:00:00"/>
    <s v="Artesanal"/>
    <s v="IGNACIO S"/>
    <n v="957800"/>
    <n v="12"/>
    <x v="1"/>
    <n v="5"/>
    <n v="0"/>
  </r>
  <r>
    <n v="111"/>
    <d v="2019-06-20T00:00:00"/>
    <s v="Artesanal"/>
    <s v="JEAN CARLOS"/>
    <n v="963943"/>
    <n v="12"/>
    <x v="0"/>
    <n v="0.1"/>
    <n v="0"/>
  </r>
  <r>
    <n v="111"/>
    <d v="2019-06-20T00:00:00"/>
    <s v="Artesanal"/>
    <s v="JEAN CARLOS"/>
    <n v="963943"/>
    <n v="12"/>
    <x v="1"/>
    <n v="5"/>
    <n v="0"/>
  </r>
  <r>
    <n v="111"/>
    <d v="2019-06-20T00:00:00"/>
    <s v="Artesanal"/>
    <s v="GAVIOTA I"/>
    <n v="967281"/>
    <n v="74"/>
    <x v="0"/>
    <n v="0.1"/>
    <n v="0"/>
  </r>
  <r>
    <n v="111"/>
    <d v="2019-06-20T00:00:00"/>
    <s v="Artesanal"/>
    <s v="GAVIOTA I"/>
    <n v="967281"/>
    <n v="74"/>
    <x v="1"/>
    <n v="5"/>
    <n v="0"/>
  </r>
  <r>
    <n v="111"/>
    <d v="2019-06-20T00:00:00"/>
    <s v="Artesanal"/>
    <s v="SILOE"/>
    <n v="904281"/>
    <n v="74"/>
    <x v="0"/>
    <n v="0.1"/>
    <n v="0"/>
  </r>
  <r>
    <n v="111"/>
    <d v="2019-06-20T00:00:00"/>
    <s v="Artesanal"/>
    <s v="SILOE"/>
    <n v="904281"/>
    <n v="74"/>
    <x v="1"/>
    <n v="5"/>
    <n v="0"/>
  </r>
  <r>
    <n v="111"/>
    <d v="2019-06-20T00:00:00"/>
    <s v="Artesanal"/>
    <s v="SUSANA II"/>
    <n v="967342"/>
    <n v="74"/>
    <x v="0"/>
    <n v="0.1"/>
    <n v="0"/>
  </r>
  <r>
    <n v="111"/>
    <d v="2019-06-20T00:00:00"/>
    <s v="Artesanal"/>
    <s v="SUSANA II"/>
    <n v="967342"/>
    <n v="74"/>
    <x v="1"/>
    <n v="5"/>
    <n v="0"/>
  </r>
  <r>
    <n v="2256"/>
    <d v="2019-06-21T00:00:00"/>
    <s v="Artesanal"/>
    <s v="IGNACIO S"/>
    <n v="957800"/>
    <n v="12"/>
    <x v="0"/>
    <n v="2"/>
    <n v="0"/>
  </r>
  <r>
    <n v="2256"/>
    <d v="2019-06-21T00:00:00"/>
    <s v="Artesanal"/>
    <s v="IGNACIO S"/>
    <n v="957800"/>
    <n v="12"/>
    <x v="1"/>
    <n v="18"/>
    <n v="0"/>
  </r>
  <r>
    <n v="2256"/>
    <d v="2019-06-21T00:00:00"/>
    <s v="Artesanal"/>
    <s v="JEAN CARLOS"/>
    <n v="963943"/>
    <n v="12"/>
    <x v="0"/>
    <n v="2"/>
    <n v="0"/>
  </r>
  <r>
    <n v="2256"/>
    <d v="2019-06-21T00:00:00"/>
    <s v="Artesanal"/>
    <s v="JEAN CARLOS"/>
    <n v="963943"/>
    <n v="12"/>
    <x v="1"/>
    <n v="18"/>
    <n v="0"/>
  </r>
  <r>
    <n v="2256"/>
    <d v="2019-06-21T00:00:00"/>
    <s v="Artesanal"/>
    <s v="GAVIOTA I"/>
    <n v="967281"/>
    <n v="74"/>
    <x v="0"/>
    <n v="2"/>
    <n v="0"/>
  </r>
  <r>
    <n v="2256"/>
    <d v="2019-06-21T00:00:00"/>
    <s v="Artesanal"/>
    <s v="GAVIOTA I"/>
    <n v="967281"/>
    <n v="74"/>
    <x v="1"/>
    <n v="18"/>
    <n v="0"/>
  </r>
  <r>
    <n v="2256"/>
    <d v="2019-06-21T00:00:00"/>
    <s v="Artesanal"/>
    <s v="SILOE"/>
    <n v="904281"/>
    <n v="74"/>
    <x v="0"/>
    <n v="2"/>
    <n v="0"/>
  </r>
  <r>
    <n v="2256"/>
    <d v="2019-06-21T00:00:00"/>
    <s v="Artesanal"/>
    <s v="SILOE"/>
    <n v="904281"/>
    <n v="74"/>
    <x v="1"/>
    <n v="18"/>
    <n v="0"/>
  </r>
  <r>
    <n v="2256"/>
    <d v="2019-06-21T00:00:00"/>
    <s v="Artesanal"/>
    <s v="SUSANA II"/>
    <n v="967342"/>
    <n v="74"/>
    <x v="0"/>
    <n v="2"/>
    <n v="0"/>
  </r>
  <r>
    <n v="2256"/>
    <d v="2019-06-21T00:00:00"/>
    <s v="Artesanal"/>
    <s v="SUSANA II"/>
    <n v="967342"/>
    <n v="74"/>
    <x v="1"/>
    <n v="18"/>
    <n v="0"/>
  </r>
  <r>
    <n v="2270"/>
    <d v="2019-06-21T00:00:00"/>
    <s v="Industrial (CESION LTP)"/>
    <s v="CAMILA ANTONELLA"/>
    <n v="959391"/>
    <n v="52"/>
    <x v="0"/>
    <n v="40.045000000000002"/>
    <n v="22.991"/>
  </r>
  <r>
    <n v="2270"/>
    <d v="2019-06-21T00:00:00"/>
    <s v="Industrial (CESION LTP)"/>
    <s v="CAMILA ANTONELLA"/>
    <n v="959391"/>
    <n v="52"/>
    <x v="1"/>
    <n v="109.83199999999999"/>
    <n v="39.448999999999998"/>
  </r>
  <r>
    <n v="2270"/>
    <d v="2019-06-21T00:00:00"/>
    <s v="Industrial (CESION LTP)"/>
    <s v="MAR DE BERING"/>
    <n v="966089"/>
    <n v="52"/>
    <x v="0"/>
    <n v="40.045000000000002"/>
    <n v="31.989000000000001"/>
  </r>
  <r>
    <n v="2270"/>
    <d v="2019-06-21T00:00:00"/>
    <s v="Industrial (CESION LTP)"/>
    <s v="MAR DE BERING"/>
    <n v="966089"/>
    <n v="52"/>
    <x v="1"/>
    <n v="109.83199999999999"/>
    <n v="58.546999999999997"/>
  </r>
  <r>
    <n v="2270"/>
    <d v="2019-06-21T00:00:00"/>
    <s v="Industrial (CESION LTP)"/>
    <s v="SRA. MARIOLY"/>
    <n v="963960"/>
    <n v="52"/>
    <x v="0"/>
    <n v="40.045000000000002"/>
    <n v="54.51"/>
  </r>
  <r>
    <n v="2270"/>
    <d v="2019-06-21T00:00:00"/>
    <s v="Industrial (CESION LTP)"/>
    <s v="SRA. MARIOLY"/>
    <n v="963960"/>
    <n v="52"/>
    <x v="1"/>
    <n v="109.83199999999999"/>
    <n v="76.724000000000004"/>
  </r>
  <r>
    <n v="2311"/>
    <d v="2019-06-27T00:00:00"/>
    <s v="Industrial (CESION LTP)"/>
    <s v="ABRAHAM ANTONIO"/>
    <n v="966146"/>
    <n v="16"/>
    <x v="0"/>
    <n v="7.0049999999999999"/>
    <n v="0"/>
  </r>
  <r>
    <n v="2311"/>
    <d v="2019-06-27T00:00:00"/>
    <s v="Industrial (CESION LTP)"/>
    <s v="ABRAHAM ANTONIO"/>
    <n v="966146"/>
    <n v="16"/>
    <x v="1"/>
    <n v="7.4660000000000002"/>
    <n v="0"/>
  </r>
  <r>
    <n v="2311"/>
    <d v="2019-06-27T00:00:00"/>
    <s v="Industrial (CESION LTP)"/>
    <s v="DON BETO IV"/>
    <n v="959370"/>
    <n v="16"/>
    <x v="0"/>
    <n v="7.0060000000000002"/>
    <n v="0"/>
  </r>
  <r>
    <n v="2311"/>
    <d v="2019-06-27T00:00:00"/>
    <s v="Industrial (CESION LTP)"/>
    <s v="DON BETO IV"/>
    <n v="959370"/>
    <n v="16"/>
    <x v="1"/>
    <n v="7.4669999999999996"/>
    <n v="0"/>
  </r>
  <r>
    <n v="2311"/>
    <d v="2019-06-27T00:00:00"/>
    <s v="Industrial (CESION LTP)"/>
    <s v="YANIRA"/>
    <n v="966600"/>
    <n v="16"/>
    <x v="0"/>
    <n v="7.0060000000000002"/>
    <n v="0"/>
  </r>
  <r>
    <n v="2311"/>
    <d v="2019-06-27T00:00:00"/>
    <s v="Industrial (CESION LTP)"/>
    <s v="YANIRA"/>
    <n v="966600"/>
    <n v="16"/>
    <x v="1"/>
    <n v="7.4669999999999996"/>
    <n v="0"/>
  </r>
  <r>
    <n v="2445"/>
    <d v="2019-07-05T00:00:00"/>
    <s v="Industrial (CESION LTP)"/>
    <s v="ABRAHAM ANTONIO"/>
    <n v="966146"/>
    <n v="16"/>
    <x v="0"/>
    <n v="61.494"/>
    <n v="0"/>
  </r>
  <r>
    <n v="2445"/>
    <d v="2019-07-05T00:00:00"/>
    <s v="Industrial (CESION LTP)"/>
    <s v="ABRAHAM ANTONIO"/>
    <n v="966146"/>
    <n v="16"/>
    <x v="1"/>
    <n v="38.779000000000003"/>
    <n v="0"/>
  </r>
  <r>
    <n v="2445"/>
    <d v="2019-07-05T00:00:00"/>
    <s v="Industrial (CESION LTP)"/>
    <s v="DON BETO IV"/>
    <n v="959370"/>
    <n v="16"/>
    <x v="0"/>
    <n v="61.494999999999997"/>
    <n v="0"/>
  </r>
  <r>
    <n v="2445"/>
    <d v="2019-07-05T00:00:00"/>
    <s v="Industrial (CESION LTP)"/>
    <s v="DON BETO IV"/>
    <n v="959370"/>
    <n v="16"/>
    <x v="1"/>
    <n v="38.777999999999999"/>
    <n v="0"/>
  </r>
  <r>
    <n v="2445"/>
    <d v="2019-07-05T00:00:00"/>
    <s v="Industrial (CESION LTP)"/>
    <s v="YANIRA"/>
    <n v="966600"/>
    <n v="16"/>
    <x v="0"/>
    <n v="61.494"/>
    <n v="0"/>
  </r>
  <r>
    <n v="2445"/>
    <d v="2019-07-05T00:00:00"/>
    <s v="Industrial (CESION LTP)"/>
    <s v="YANIRA"/>
    <n v="966600"/>
    <n v="16"/>
    <x v="1"/>
    <n v="38.777999999999999"/>
    <n v="0"/>
  </r>
  <r>
    <n v="114"/>
    <d v="2019-07-08T00:00:00"/>
    <s v="Artesanal"/>
    <s v="IGNACIO S"/>
    <n v="957800"/>
    <n v="12"/>
    <x v="0"/>
    <n v="4"/>
    <n v="0"/>
  </r>
  <r>
    <n v="114"/>
    <d v="2019-07-08T00:00:00"/>
    <s v="Artesanal"/>
    <s v="IGNACIO S"/>
    <n v="957800"/>
    <n v="12"/>
    <x v="1"/>
    <n v="6.7850000000000001"/>
    <n v="0"/>
  </r>
  <r>
    <n v="114"/>
    <d v="2019-07-08T00:00:00"/>
    <s v="Artesanal"/>
    <s v="JEAN CARLOS"/>
    <n v="963943"/>
    <n v="12"/>
    <x v="0"/>
    <n v="4"/>
    <n v="0"/>
  </r>
  <r>
    <n v="114"/>
    <d v="2019-07-08T00:00:00"/>
    <s v="Artesanal"/>
    <s v="JEAN CARLOS"/>
    <n v="963943"/>
    <n v="12"/>
    <x v="1"/>
    <n v="6.7850000000000001"/>
    <n v="0"/>
  </r>
  <r>
    <n v="114"/>
    <d v="2019-07-08T00:00:00"/>
    <s v="Artesanal"/>
    <s v="NIÑA XIMENA"/>
    <n v="966995"/>
    <n v="56"/>
    <x v="0"/>
    <n v="4"/>
    <n v="0"/>
  </r>
  <r>
    <n v="114"/>
    <d v="2019-07-08T00:00:00"/>
    <s v="Artesanal"/>
    <s v="NIÑA XIMENA"/>
    <n v="966995"/>
    <n v="56"/>
    <x v="1"/>
    <n v="6.79"/>
    <n v="0"/>
  </r>
  <r>
    <n v="114"/>
    <d v="2019-07-08T00:00:00"/>
    <s v="Artesanal"/>
    <s v="PAULINA M "/>
    <n v="967145"/>
    <n v="57"/>
    <x v="0"/>
    <n v="4"/>
    <n v="0"/>
  </r>
  <r>
    <n v="114"/>
    <d v="2019-07-08T00:00:00"/>
    <s v="Artesanal"/>
    <s v="PAULINA M "/>
    <n v="967145"/>
    <n v="57"/>
    <x v="1"/>
    <n v="6.7850000000000001"/>
    <n v="0"/>
  </r>
  <r>
    <n v="114"/>
    <d v="2019-07-08T00:00:00"/>
    <s v="Artesanal"/>
    <s v="GAVIOTA I"/>
    <n v="967281"/>
    <n v="74"/>
    <x v="0"/>
    <n v="4"/>
    <n v="0"/>
  </r>
  <r>
    <n v="114"/>
    <d v="2019-07-08T00:00:00"/>
    <s v="Artesanal"/>
    <s v="GAVIOTA I"/>
    <n v="967281"/>
    <n v="74"/>
    <x v="1"/>
    <n v="6.7850000000000001"/>
    <n v="0"/>
  </r>
  <r>
    <n v="114"/>
    <d v="2019-07-08T00:00:00"/>
    <s v="Artesanal"/>
    <s v="SILOE"/>
    <n v="904281"/>
    <n v="74"/>
    <x v="0"/>
    <n v="4"/>
    <n v="0"/>
  </r>
  <r>
    <n v="114"/>
    <d v="2019-07-08T00:00:00"/>
    <s v="Artesanal"/>
    <s v="SILOE"/>
    <n v="904281"/>
    <n v="74"/>
    <x v="1"/>
    <n v="6.7850000000000001"/>
    <n v="0"/>
  </r>
  <r>
    <n v="114"/>
    <d v="2019-07-08T00:00:00"/>
    <s v="Artesanal"/>
    <s v="SUSANA II"/>
    <n v="967342"/>
    <n v="74"/>
    <x v="0"/>
    <n v="4"/>
    <n v="0"/>
  </r>
  <r>
    <n v="114"/>
    <d v="2019-07-08T00:00:00"/>
    <s v="Artesanal"/>
    <s v="SUSANA II"/>
    <n v="967342"/>
    <n v="74"/>
    <x v="1"/>
    <n v="6.7850000000000001"/>
    <n v="0"/>
  </r>
  <r>
    <n v="116"/>
    <d v="2019-07-09T00:00:00"/>
    <s v="Artesanal"/>
    <s v="IGNACIO S"/>
    <n v="957800"/>
    <n v="12"/>
    <x v="0"/>
    <n v="4.8330000000000002"/>
    <n v="0"/>
  </r>
  <r>
    <n v="116"/>
    <d v="2019-07-09T00:00:00"/>
    <s v="Artesanal"/>
    <s v="IGNACIO S"/>
    <n v="957800"/>
    <n v="12"/>
    <x v="1"/>
    <n v="12.666"/>
    <n v="0"/>
  </r>
  <r>
    <n v="116"/>
    <d v="2019-07-09T00:00:00"/>
    <s v="Artesanal"/>
    <s v="JEAN CARLOS"/>
    <n v="963943"/>
    <n v="12"/>
    <x v="0"/>
    <n v="4.8330000000000002"/>
    <n v="0"/>
  </r>
  <r>
    <n v="116"/>
    <d v="2019-07-09T00:00:00"/>
    <s v="Artesanal"/>
    <s v="JEAN CARLOS"/>
    <n v="963943"/>
    <n v="12"/>
    <x v="1"/>
    <n v="12.666"/>
    <n v="0"/>
  </r>
  <r>
    <n v="116"/>
    <d v="2019-07-09T00:00:00"/>
    <s v="Artesanal"/>
    <s v="MAURICIO IGNACIO"/>
    <n v="964576"/>
    <n v="56"/>
    <x v="0"/>
    <n v="4.835"/>
    <n v="0"/>
  </r>
  <r>
    <n v="116"/>
    <d v="2019-07-09T00:00:00"/>
    <s v="Artesanal"/>
    <s v="MAURICIO IGNACIO"/>
    <n v="964576"/>
    <n v="56"/>
    <x v="1"/>
    <n v="12.67"/>
    <n v="0"/>
  </r>
  <r>
    <n v="116"/>
    <d v="2019-07-09T00:00:00"/>
    <s v="Artesanal"/>
    <s v="GAVIOTA I"/>
    <n v="967281"/>
    <n v="74"/>
    <x v="0"/>
    <n v="4.8330000000000002"/>
    <n v="0"/>
  </r>
  <r>
    <n v="116"/>
    <d v="2019-07-09T00:00:00"/>
    <s v="Artesanal"/>
    <s v="GAVIOTA I"/>
    <n v="967281"/>
    <n v="74"/>
    <x v="1"/>
    <n v="12.666"/>
    <n v="0"/>
  </r>
  <r>
    <n v="116"/>
    <d v="2019-07-09T00:00:00"/>
    <s v="Artesanal"/>
    <s v="SILOE"/>
    <n v="904281"/>
    <n v="74"/>
    <x v="0"/>
    <n v="4.8330000000000002"/>
    <n v="0"/>
  </r>
  <r>
    <n v="116"/>
    <d v="2019-07-09T00:00:00"/>
    <s v="Artesanal"/>
    <s v="SILOE"/>
    <n v="904281"/>
    <n v="74"/>
    <x v="1"/>
    <n v="12.666"/>
    <n v="0"/>
  </r>
  <r>
    <n v="116"/>
    <d v="2019-07-09T00:00:00"/>
    <s v="Artesanal"/>
    <s v="SUSANA II"/>
    <n v="967342"/>
    <n v="74"/>
    <x v="0"/>
    <n v="4.8330000000000002"/>
    <n v="0"/>
  </r>
  <r>
    <n v="116"/>
    <d v="2019-07-09T00:00:00"/>
    <s v="Artesanal"/>
    <s v="SUSANA II"/>
    <n v="967342"/>
    <n v="74"/>
    <x v="1"/>
    <n v="12.666"/>
    <n v="0"/>
  </r>
  <r>
    <n v="118"/>
    <d v="2019-07-10T00:00:00"/>
    <s v="Artesanal"/>
    <s v="IGNACIO S"/>
    <n v="957800"/>
    <n v="12"/>
    <x v="0"/>
    <n v="0.1"/>
    <n v="0"/>
  </r>
  <r>
    <n v="118"/>
    <d v="2019-07-10T00:00:00"/>
    <s v="Artesanal"/>
    <s v="IGNACIO S"/>
    <n v="957800"/>
    <n v="12"/>
    <x v="1"/>
    <n v="4"/>
    <n v="0"/>
  </r>
  <r>
    <n v="118"/>
    <d v="2019-07-10T00:00:00"/>
    <s v="Artesanal"/>
    <s v="JEAN CARLOS"/>
    <n v="963943"/>
    <n v="12"/>
    <x v="0"/>
    <n v="0.1"/>
    <n v="0"/>
  </r>
  <r>
    <n v="118"/>
    <d v="2019-07-10T00:00:00"/>
    <s v="Artesanal"/>
    <s v="JEAN CARLOS"/>
    <n v="963943"/>
    <n v="12"/>
    <x v="1"/>
    <n v="4"/>
    <n v="0"/>
  </r>
  <r>
    <n v="118"/>
    <d v="2019-07-10T00:00:00"/>
    <s v="Artesanal"/>
    <s v="GAVIOTA I"/>
    <n v="967281"/>
    <n v="74"/>
    <x v="0"/>
    <n v="0.1"/>
    <n v="0"/>
  </r>
  <r>
    <n v="118"/>
    <d v="2019-07-10T00:00:00"/>
    <s v="Artesanal"/>
    <s v="GAVIOTA I"/>
    <n v="967281"/>
    <n v="74"/>
    <x v="1"/>
    <n v="4"/>
    <n v="0"/>
  </r>
  <r>
    <n v="118"/>
    <d v="2019-07-10T00:00:00"/>
    <s v="Artesanal"/>
    <s v="SILOE"/>
    <n v="904281"/>
    <n v="74"/>
    <x v="0"/>
    <n v="0.1"/>
    <n v="0"/>
  </r>
  <r>
    <n v="118"/>
    <d v="2019-07-10T00:00:00"/>
    <s v="Artesanal"/>
    <s v="SILOE"/>
    <n v="904281"/>
    <n v="74"/>
    <x v="1"/>
    <n v="4"/>
    <n v="0"/>
  </r>
  <r>
    <n v="118"/>
    <d v="2019-07-10T00:00:00"/>
    <s v="Artesanal"/>
    <s v="SUSANA II"/>
    <n v="967342"/>
    <n v="74"/>
    <x v="0"/>
    <n v="0.1"/>
    <n v="0"/>
  </r>
  <r>
    <n v="118"/>
    <d v="2019-07-10T00:00:00"/>
    <s v="Artesanal"/>
    <s v="SUSANA II"/>
    <n v="967342"/>
    <n v="74"/>
    <x v="1"/>
    <n v="4"/>
    <n v="0"/>
  </r>
  <r>
    <n v="73"/>
    <d v="2019-05-16T00:00:00"/>
    <s v="Artesanal"/>
    <s v="LASTENIA I "/>
    <n v="967182"/>
    <n v="1"/>
    <x v="0"/>
    <n v="25"/>
    <m/>
  </r>
  <r>
    <n v="73"/>
    <d v="2019-05-16T00:00:00"/>
    <s v="Artesanal"/>
    <s v="LASTENIA I "/>
    <n v="967182"/>
    <n v="1"/>
    <x v="1"/>
    <n v="5"/>
    <m/>
  </r>
  <r>
    <n v="1196"/>
    <d v="2019-03-29T00:00:00"/>
    <s v="Industrial (CESION LTP)"/>
    <s v="NAHUM"/>
    <n v="961147"/>
    <n v="2"/>
    <x v="0"/>
    <n v="170"/>
    <n v="79.201999999999998"/>
  </r>
  <r>
    <n v="1196"/>
    <d v="2019-03-29T00:00:00"/>
    <s v="Industrial (CESION LTP)"/>
    <s v="NAHUM"/>
    <n v="961147"/>
    <n v="2"/>
    <x v="1"/>
    <n v="30"/>
    <n v="120.798"/>
  </r>
  <r>
    <n v="794"/>
    <d v="2019-02-20T00:00:00"/>
    <s v="Industrial (CESION LTP)"/>
    <s v="FENIX I"/>
    <n v="966307"/>
    <n v="3"/>
    <x v="0"/>
    <n v="10"/>
    <n v="37.988"/>
  </r>
  <r>
    <n v="794"/>
    <d v="2019-02-20T00:00:00"/>
    <s v="Industrial (CESION LTP)"/>
    <s v="FENIX I"/>
    <n v="966307"/>
    <n v="3"/>
    <x v="1"/>
    <n v="100"/>
    <n v="71.087999999999994"/>
  </r>
  <r>
    <n v="1462"/>
    <d v="2019-04-17T00:00:00"/>
    <s v="Industrial (CESION LTP)"/>
    <s v="PUNTA VERDE"/>
    <n v="30761"/>
    <n v="6"/>
    <x v="0"/>
    <n v="85"/>
    <n v="126.765"/>
  </r>
  <r>
    <n v="1462"/>
    <d v="2019-04-17T00:00:00"/>
    <s v="Industrial (CESION LTP)"/>
    <s v="PUNTA VERDE"/>
    <n v="30761"/>
    <n v="6"/>
    <x v="1"/>
    <n v="231"/>
    <n v="189.23500000000001"/>
  </r>
  <r>
    <n v="2140"/>
    <d v="2019-06-11T00:00:00"/>
    <s v="Industrial (CESION LTP)"/>
    <s v="PUNTA VERDE"/>
    <n v="30761"/>
    <n v="6"/>
    <x v="0"/>
    <n v="67"/>
    <n v="68.626000000000005"/>
  </r>
  <r>
    <n v="2140"/>
    <d v="2019-06-11T00:00:00"/>
    <s v="Industrial (CESION LTP)"/>
    <s v="PUNTA VERDE"/>
    <n v="30761"/>
    <n v="6"/>
    <x v="1"/>
    <n v="81"/>
    <n v="79.373999999999995"/>
  </r>
  <r>
    <n v="1462"/>
    <d v="2019-04-17T00:00:00"/>
    <s v="Industrial (CESION LTP)"/>
    <s v="JORGE HERNAN M"/>
    <n v="955448"/>
    <n v="6"/>
    <x v="0"/>
    <n v="77"/>
    <n v="153.43700000000001"/>
  </r>
  <r>
    <n v="1462"/>
    <d v="2019-04-17T00:00:00"/>
    <s v="Industrial (CESION LTP)"/>
    <s v="JORGE HERNAN M"/>
    <n v="955448"/>
    <n v="6"/>
    <x v="1"/>
    <n v="211"/>
    <n v="134.56299999999999"/>
  </r>
  <r>
    <n v="2140"/>
    <d v="2019-06-11T00:00:00"/>
    <s v="Industrial (CESION LTP)"/>
    <s v="JORGE HERNAN M"/>
    <n v="955448"/>
    <n v="6"/>
    <x v="0"/>
    <n v="67"/>
    <n v="52.768999999999998"/>
  </r>
  <r>
    <n v="2140"/>
    <d v="2019-06-11T00:00:00"/>
    <s v="Industrial (CESION LTP)"/>
    <s v="JORGE HERNAN M"/>
    <n v="955448"/>
    <n v="6"/>
    <x v="1"/>
    <n v="81"/>
    <n v="95.408000000000001"/>
  </r>
  <r>
    <n v="1462"/>
    <d v="2019-04-17T00:00:00"/>
    <s v="Industrial (CESION LTP)"/>
    <s v="DON HUGO"/>
    <n v="957939"/>
    <n v="6"/>
    <x v="0"/>
    <n v="76"/>
    <n v="95.524000000000001"/>
  </r>
  <r>
    <n v="1462"/>
    <d v="2019-04-17T00:00:00"/>
    <s v="Industrial (CESION LTP)"/>
    <s v="DON HUGO"/>
    <n v="957939"/>
    <n v="6"/>
    <x v="1"/>
    <n v="206"/>
    <n v="186.476"/>
  </r>
  <r>
    <n v="2140"/>
    <d v="2019-06-11T00:00:00"/>
    <s v="Industrial (CESION LTP)"/>
    <s v="DON HUGO"/>
    <n v="957939"/>
    <n v="6"/>
    <x v="0"/>
    <n v="67"/>
    <n v="31.35"/>
  </r>
  <r>
    <n v="2140"/>
    <d v="2019-06-11T00:00:00"/>
    <s v="Industrial (CESION LTP)"/>
    <s v="DON HUGO"/>
    <n v="957939"/>
    <n v="6"/>
    <x v="1"/>
    <n v="81"/>
    <m/>
  </r>
  <r>
    <n v="1462"/>
    <d v="2019-04-17T00:00:00"/>
    <s v="Industrial (CESION LTP)"/>
    <s v="MASTER I"/>
    <n v="959986"/>
    <n v="6"/>
    <x v="0"/>
    <n v="97"/>
    <n v="198.28700000000001"/>
  </r>
  <r>
    <n v="1462"/>
    <d v="2019-04-17T00:00:00"/>
    <s v="Industrial (CESION LTP)"/>
    <s v="MASTER I"/>
    <n v="959986"/>
    <n v="6"/>
    <x v="1"/>
    <n v="264"/>
    <n v="162.71299999999999"/>
  </r>
  <r>
    <n v="2140"/>
    <d v="2019-06-11T00:00:00"/>
    <s v="Industrial (CESION LTP)"/>
    <s v="MASTER I"/>
    <n v="959986"/>
    <n v="6"/>
    <x v="0"/>
    <n v="67"/>
    <n v="34.192"/>
  </r>
  <r>
    <n v="2140"/>
    <d v="2019-06-11T00:00:00"/>
    <s v="Industrial (CESION LTP)"/>
    <s v="MASTER I"/>
    <n v="959986"/>
    <n v="6"/>
    <x v="1"/>
    <n v="81"/>
    <n v="113.80800000000001"/>
  </r>
  <r>
    <n v="1462"/>
    <d v="2019-04-17T00:00:00"/>
    <s v="Industrial (CESION LTP)"/>
    <s v="BIO BIO"/>
    <n v="961126"/>
    <n v="6"/>
    <x v="0"/>
    <n v="97"/>
    <n v="173.90799999999999"/>
  </r>
  <r>
    <n v="1462"/>
    <d v="2019-04-17T00:00:00"/>
    <s v="Industrial (CESION LTP)"/>
    <s v="BIO BIO"/>
    <n v="961126"/>
    <n v="6"/>
    <x v="1"/>
    <n v="264"/>
    <n v="187.09200000000001"/>
  </r>
  <r>
    <n v="2140"/>
    <d v="2019-06-11T00:00:00"/>
    <s v="Industrial (CESION LTP)"/>
    <s v="BIO BIO"/>
    <n v="961126"/>
    <n v="6"/>
    <x v="0"/>
    <n v="67"/>
    <m/>
  </r>
  <r>
    <n v="2140"/>
    <d v="2019-06-11T00:00:00"/>
    <s v="Industrial (CESION LTP)"/>
    <s v="BIO BIO"/>
    <n v="961126"/>
    <n v="6"/>
    <x v="1"/>
    <n v="81"/>
    <m/>
  </r>
  <r>
    <n v="1462"/>
    <d v="2019-04-17T00:00:00"/>
    <s v="Industrial (CESION LTP)"/>
    <s v="JUAN MARCELO"/>
    <n v="966577"/>
    <n v="6"/>
    <x v="0"/>
    <n v="55"/>
    <n v="55.831000000000003"/>
  </r>
  <r>
    <n v="1462"/>
    <d v="2019-04-17T00:00:00"/>
    <s v="Industrial (CESION LTP)"/>
    <s v="JUAN MARCELO"/>
    <n v="966577"/>
    <n v="6"/>
    <x v="1"/>
    <n v="149"/>
    <n v="148.16499999999999"/>
  </r>
  <r>
    <n v="2140"/>
    <d v="2019-06-11T00:00:00"/>
    <s v="Industrial (CESION LTP)"/>
    <s v="JUAN MARCELO"/>
    <n v="966577"/>
    <n v="6"/>
    <x v="0"/>
    <n v="67"/>
    <n v="75.674000000000007"/>
  </r>
  <r>
    <n v="2140"/>
    <d v="2019-06-11T00:00:00"/>
    <s v="Industrial (CESION LTP)"/>
    <s v="JUAN MARCELO"/>
    <n v="966577"/>
    <n v="6"/>
    <x v="1"/>
    <n v="81"/>
    <n v="72.325999999999993"/>
  </r>
  <r>
    <n v="795"/>
    <d v="2019-02-28T00:00:00"/>
    <s v="Industrial (CESION LTP)"/>
    <s v="PAULINA M II"/>
    <n v="966763"/>
    <n v="6"/>
    <x v="0"/>
    <n v="36"/>
    <n v="21.010999999999999"/>
  </r>
  <r>
    <n v="795"/>
    <d v="2019-02-28T00:00:00"/>
    <s v="Industrial (CESION LTP)"/>
    <s v="PAULINA M II"/>
    <n v="966763"/>
    <n v="6"/>
    <x v="1"/>
    <n v="97"/>
    <n v="111.989"/>
  </r>
  <r>
    <n v="1462"/>
    <d v="2019-04-17T00:00:00"/>
    <s v="Industrial (CESION LTP)"/>
    <s v="DON BRUNO"/>
    <n v="951497"/>
    <n v="7"/>
    <x v="0"/>
    <n v="62"/>
    <n v="133.05099999999999"/>
  </r>
  <r>
    <n v="1462"/>
    <d v="2019-04-17T00:00:00"/>
    <s v="Industrial (CESION LTP)"/>
    <s v="DON BRUNO"/>
    <n v="951497"/>
    <n v="7"/>
    <x v="1"/>
    <n v="169"/>
    <n v="97.948999999999998"/>
  </r>
  <r>
    <n v="2140"/>
    <d v="2019-06-11T00:00:00"/>
    <s v="Industrial (CESION LTP)"/>
    <s v="DON BRUNO"/>
    <n v="951497"/>
    <n v="7"/>
    <x v="0"/>
    <n v="67"/>
    <n v="67"/>
  </r>
  <r>
    <n v="2140"/>
    <d v="2019-06-11T00:00:00"/>
    <s v="Industrial (CESION LTP)"/>
    <s v="DON BRUNO"/>
    <n v="951497"/>
    <n v="7"/>
    <x v="1"/>
    <n v="81"/>
    <n v="10.099"/>
  </r>
  <r>
    <n v="1048"/>
    <d v="2019-03-22T00:00:00"/>
    <s v="Industrial (CESION LTP)"/>
    <s v="MATILDA"/>
    <n v="963702"/>
    <n v="7"/>
    <x v="0"/>
    <n v="48"/>
    <n v="31.062000000000001"/>
  </r>
  <r>
    <n v="1048"/>
    <d v="2019-03-22T00:00:00"/>
    <s v="Industrial (CESION LTP)"/>
    <s v="MATILDA"/>
    <n v="963702"/>
    <n v="7"/>
    <x v="1"/>
    <n v="102"/>
    <n v="118.938"/>
  </r>
  <r>
    <n v="1638"/>
    <d v="2019-04-30T00:00:00"/>
    <s v="Industrial (CESION LTP)"/>
    <s v="RIO JORDAN IV"/>
    <n v="964441"/>
    <n v="7"/>
    <x v="0"/>
    <n v="10"/>
    <n v="46.356000000000002"/>
  </r>
  <r>
    <n v="1638"/>
    <d v="2019-04-30T00:00:00"/>
    <s v="Industrial (CESION LTP)"/>
    <s v="RIO JORDAN IV"/>
    <n v="964441"/>
    <n v="7"/>
    <x v="1"/>
    <n v="90"/>
    <n v="53.643999999999998"/>
  </r>
  <r>
    <n v="1048"/>
    <d v="2019-03-22T00:00:00"/>
    <s v="Industrial (CESION LTP)"/>
    <s v="MATIAS R "/>
    <n v="966475"/>
    <n v="7"/>
    <x v="0"/>
    <n v="48"/>
    <n v="86.820999999999998"/>
  </r>
  <r>
    <n v="1048"/>
    <d v="2019-03-22T00:00:00"/>
    <s v="Industrial (CESION LTP)"/>
    <s v="MATIAS R "/>
    <n v="966475"/>
    <n v="7"/>
    <x v="1"/>
    <n v="102"/>
    <n v="63.179000000000002"/>
  </r>
  <r>
    <n v="1638"/>
    <d v="2019-04-30T00:00:00"/>
    <s v="Industrial (CESION LTP)"/>
    <s v="RIO JORDAN X "/>
    <n v="967596"/>
    <n v="7"/>
    <x v="0"/>
    <n v="20"/>
    <n v="63.13"/>
  </r>
  <r>
    <n v="1638"/>
    <d v="2019-04-30T00:00:00"/>
    <s v="Industrial (CESION LTP)"/>
    <s v="RIO JORDAN X "/>
    <n v="967596"/>
    <n v="7"/>
    <x v="1"/>
    <n v="180"/>
    <n v="136.87"/>
  </r>
  <r>
    <n v="2122"/>
    <d v="2019-06-07T00:00:00"/>
    <s v="Industrial (CESION LTP)"/>
    <s v="RIO JORDAN X "/>
    <n v="967596"/>
    <n v="7"/>
    <x v="0"/>
    <n v="25"/>
    <n v="37.341000000000001"/>
  </r>
  <r>
    <n v="2122"/>
    <d v="2019-06-07T00:00:00"/>
    <s v="Industrial (CESION LTP)"/>
    <s v="RIO JORDAN X "/>
    <n v="967596"/>
    <n v="7"/>
    <x v="1"/>
    <n v="67"/>
    <n v="54.658999999999999"/>
  </r>
  <r>
    <n v="1638"/>
    <d v="2019-04-30T00:00:00"/>
    <s v="Industrial (CESION LTP)"/>
    <s v="GALEON II"/>
    <n v="924619"/>
    <n v="8"/>
    <x v="0"/>
    <n v="10"/>
    <n v="10"/>
  </r>
  <r>
    <n v="1638"/>
    <d v="2019-04-30T00:00:00"/>
    <s v="Industrial (CESION LTP)"/>
    <s v="GALEON II"/>
    <n v="924619"/>
    <n v="8"/>
    <x v="1"/>
    <n v="90"/>
    <n v="90"/>
  </r>
  <r>
    <n v="1638"/>
    <d v="2019-04-30T00:00:00"/>
    <s v="Industrial (CESION LTP)"/>
    <s v="ESTRELLA DE DAVID"/>
    <n v="963843"/>
    <n v="8"/>
    <x v="0"/>
    <n v="10"/>
    <n v="35.942"/>
  </r>
  <r>
    <n v="1638"/>
    <d v="2019-04-30T00:00:00"/>
    <s v="Industrial (CESION LTP)"/>
    <s v="ESTRELLA DE DAVID"/>
    <n v="963843"/>
    <n v="8"/>
    <x v="1"/>
    <n v="90"/>
    <n v="64.06"/>
  </r>
  <r>
    <n v="1462"/>
    <d v="2019-04-17T00:00:00"/>
    <s v="Industrial (CESION LTP)"/>
    <s v="OVNIS"/>
    <n v="923000"/>
    <n v="9"/>
    <x v="0"/>
    <n v="62"/>
    <n v="33.627000000000002"/>
  </r>
  <r>
    <n v="1462"/>
    <d v="2019-04-17T00:00:00"/>
    <s v="Industrial (CESION LTP)"/>
    <s v="OVNIS"/>
    <n v="923000"/>
    <n v="9"/>
    <x v="1"/>
    <n v="167"/>
    <n v="195.37299999999999"/>
  </r>
  <r>
    <n v="2140"/>
    <d v="2019-06-11T00:00:00"/>
    <s v="Industrial (CESION LTP)"/>
    <s v="OVNIS"/>
    <n v="923000"/>
    <n v="9"/>
    <x v="0"/>
    <n v="67"/>
    <n v="31.401"/>
  </r>
  <r>
    <n v="2140"/>
    <d v="2019-06-11T00:00:00"/>
    <s v="Industrial (CESION LTP)"/>
    <s v="OVNIS"/>
    <n v="923000"/>
    <n v="9"/>
    <x v="1"/>
    <n v="81"/>
    <n v="52.158999999999999"/>
  </r>
  <r>
    <n v="795"/>
    <d v="2019-02-28T00:00:00"/>
    <s v="Industrial (CESION LTP)"/>
    <s v="JUANITA"/>
    <n v="951093"/>
    <n v="9"/>
    <x v="0"/>
    <n v="19"/>
    <n v="9.2940000000000005"/>
  </r>
  <r>
    <n v="795"/>
    <d v="2019-02-28T00:00:00"/>
    <s v="Industrial (CESION LTP)"/>
    <s v="JUANITA"/>
    <n v="951093"/>
    <n v="9"/>
    <x v="1"/>
    <n v="51"/>
    <n v="50.475999999999999"/>
  </r>
  <r>
    <n v="1462"/>
    <d v="2019-04-17T00:00:00"/>
    <s v="Industrial (CESION LTP)"/>
    <s v="ANGELINA"/>
    <n v="951944"/>
    <n v="9"/>
    <x v="0"/>
    <n v="58"/>
    <n v="38.082999999999998"/>
  </r>
  <r>
    <n v="1462"/>
    <d v="2019-04-17T00:00:00"/>
    <s v="Industrial (CESION LTP)"/>
    <s v="ANGELINA"/>
    <n v="951944"/>
    <n v="9"/>
    <x v="1"/>
    <n v="159"/>
    <n v="50.764000000000003"/>
  </r>
  <r>
    <n v="1462"/>
    <d v="2019-04-17T00:00:00"/>
    <s v="Industrial (CESION LTP)"/>
    <s v="CHANGO"/>
    <n v="951974"/>
    <n v="9"/>
    <x v="0"/>
    <n v="97"/>
    <n v="131.87700000000001"/>
  </r>
  <r>
    <n v="1462"/>
    <d v="2019-04-17T00:00:00"/>
    <s v="Industrial (CESION LTP)"/>
    <s v="CHANGO"/>
    <n v="951974"/>
    <n v="9"/>
    <x v="1"/>
    <n v="264"/>
    <n v="173.52199999999999"/>
  </r>
  <r>
    <n v="2140"/>
    <d v="2019-06-11T00:00:00"/>
    <s v="Industrial (CESION LTP)"/>
    <s v="CHANGO"/>
    <n v="951974"/>
    <n v="9"/>
    <x v="0"/>
    <n v="67"/>
    <n v="27.059000000000001"/>
  </r>
  <r>
    <n v="2140"/>
    <d v="2019-06-11T00:00:00"/>
    <s v="Industrial (CESION LTP)"/>
    <s v="CHANGO"/>
    <n v="951974"/>
    <n v="9"/>
    <x v="1"/>
    <n v="81"/>
    <m/>
  </r>
  <r>
    <n v="795"/>
    <d v="2019-02-28T00:00:00"/>
    <s v="Industrial (CESION LTP)"/>
    <s v="DON MAÑE"/>
    <n v="958253"/>
    <n v="9"/>
    <x v="0"/>
    <n v="24"/>
    <n v="11.958"/>
  </r>
  <r>
    <n v="795"/>
    <d v="2019-02-28T00:00:00"/>
    <s v="Industrial (CESION LTP)"/>
    <s v="DON MAÑE"/>
    <n v="958253"/>
    <n v="9"/>
    <x v="1"/>
    <n v="66"/>
    <n v="78.042000000000002"/>
  </r>
  <r>
    <n v="1462"/>
    <d v="2019-04-17T00:00:00"/>
    <s v="Industrial (CESION LTP)"/>
    <s v="RIMALFREDAN II"/>
    <n v="960959"/>
    <n v="9"/>
    <x v="0"/>
    <n v="90"/>
    <n v="61.881"/>
  </r>
  <r>
    <n v="1462"/>
    <d v="2019-04-17T00:00:00"/>
    <s v="Industrial (CESION LTP)"/>
    <s v="RIMALFREDAN II"/>
    <n v="960959"/>
    <n v="9"/>
    <x v="1"/>
    <n v="245"/>
    <n v="259.91500000000002"/>
  </r>
  <r>
    <n v="1462"/>
    <d v="2019-04-17T00:00:00"/>
    <s v="Industrial (CESION LTP)"/>
    <s v="DON EMILIO IV"/>
    <n v="960143"/>
    <n v="10"/>
    <x v="0"/>
    <n v="62"/>
    <n v="90.445999999999998"/>
  </r>
  <r>
    <n v="1462"/>
    <d v="2019-04-17T00:00:00"/>
    <s v="Industrial (CESION LTP)"/>
    <s v="DON EMILIO IV"/>
    <n v="960143"/>
    <n v="10"/>
    <x v="1"/>
    <n v="169"/>
    <n v="73.375"/>
  </r>
  <r>
    <n v="2201"/>
    <d v="2019-06-19T00:00:00"/>
    <s v="Industrial (CESION LTP)"/>
    <s v="RAUL CESAR"/>
    <n v="962641"/>
    <n v="11"/>
    <x v="0"/>
    <n v="163"/>
    <n v="60.915999999999997"/>
  </r>
  <r>
    <n v="2201"/>
    <d v="2019-06-19T00:00:00"/>
    <s v="Industrial (CESION LTP)"/>
    <s v="RAUL CESAR"/>
    <n v="962641"/>
    <n v="11"/>
    <x v="1"/>
    <n v="37"/>
    <n v="42.709000000000003"/>
  </r>
  <r>
    <n v="1638"/>
    <d v="2019-04-30T00:00:00"/>
    <s v="Industrial (CESION LTP)"/>
    <s v="DON MATEO"/>
    <n v="962795"/>
    <n v="11"/>
    <x v="0"/>
    <n v="10"/>
    <n v="22.693999999999999"/>
  </r>
  <r>
    <n v="1638"/>
    <d v="2019-04-30T00:00:00"/>
    <s v="Industrial (CESION LTP)"/>
    <s v="DON MATEO"/>
    <n v="962795"/>
    <n v="11"/>
    <x v="1"/>
    <n v="90"/>
    <n v="123.46599999999999"/>
  </r>
  <r>
    <n v="1638"/>
    <d v="2019-04-30T00:00:00"/>
    <s v="Industrial (CESION LTP)"/>
    <s v="SOTILEZA"/>
    <n v="910836"/>
    <n v="12"/>
    <x v="0"/>
    <n v="20"/>
    <n v="84.41"/>
  </r>
  <r>
    <n v="1638"/>
    <d v="2019-04-30T00:00:00"/>
    <s v="Industrial (CESION LTP)"/>
    <s v="SOTILEZA"/>
    <n v="910836"/>
    <n v="12"/>
    <x v="1"/>
    <n v="80"/>
    <n v="15.59"/>
  </r>
  <r>
    <n v="1638"/>
    <d v="2019-04-30T00:00:00"/>
    <s v="Industrial (CESION LTP)"/>
    <s v="DON DEMETRIO III"/>
    <n v="924603"/>
    <n v="12"/>
    <x v="0"/>
    <n v="10"/>
    <n v="23.428000000000001"/>
  </r>
  <r>
    <n v="1638"/>
    <d v="2019-04-30T00:00:00"/>
    <s v="Industrial (CESION LTP)"/>
    <s v="DON DEMETRIO III"/>
    <n v="924603"/>
    <n v="12"/>
    <x v="1"/>
    <n v="90"/>
    <n v="66.566999999999993"/>
  </r>
  <r>
    <n v="2100"/>
    <d v="2019-06-07T00:00:00"/>
    <s v="Artesanal"/>
    <s v="IGNACIO S"/>
    <n v="957800"/>
    <n v="12"/>
    <x v="0"/>
    <n v="0"/>
    <m/>
  </r>
  <r>
    <n v="2100"/>
    <d v="2019-06-07T00:00:00"/>
    <s v="Artesanal"/>
    <s v="IGNACIO S"/>
    <n v="957800"/>
    <n v="12"/>
    <x v="1"/>
    <n v="65"/>
    <m/>
  </r>
  <r>
    <n v="2100"/>
    <d v="2019-06-07T00:00:00"/>
    <s v="Artesanal"/>
    <s v="JEAN CARLOS"/>
    <n v="963943"/>
    <n v="12"/>
    <x v="0"/>
    <n v="50"/>
    <m/>
  </r>
  <r>
    <n v="2100"/>
    <d v="2019-06-07T00:00:00"/>
    <s v="Artesanal"/>
    <s v="JEAN CARLOS"/>
    <n v="963943"/>
    <n v="12"/>
    <x v="1"/>
    <n v="0"/>
    <m/>
  </r>
  <r>
    <n v="1638"/>
    <d v="2019-04-30T00:00:00"/>
    <s v="Industrial (CESION LTP)"/>
    <s v="JACOB-ISRAEL"/>
    <n v="963197"/>
    <n v="13"/>
    <x v="0"/>
    <n v="20"/>
    <n v="20"/>
  </r>
  <r>
    <n v="1638"/>
    <d v="2019-04-30T00:00:00"/>
    <s v="Industrial (CESION LTP)"/>
    <s v="JACOB-ISRAEL"/>
    <n v="963197"/>
    <n v="13"/>
    <x v="1"/>
    <n v="80"/>
    <n v="80"/>
  </r>
  <r>
    <n v="1638"/>
    <d v="2019-04-30T00:00:00"/>
    <s v="Industrial (CESION LTP)"/>
    <s v="DON JORGE LUIS M"/>
    <n v="965677"/>
    <n v="13"/>
    <x v="0"/>
    <n v="20"/>
    <n v="20"/>
  </r>
  <r>
    <n v="1638"/>
    <d v="2019-04-30T00:00:00"/>
    <s v="Industrial (CESION LTP)"/>
    <s v="DON JORGE LUIS M"/>
    <n v="965677"/>
    <n v="13"/>
    <x v="1"/>
    <n v="80"/>
    <n v="80"/>
  </r>
  <r>
    <n v="1594"/>
    <d v="2019-04-26T00:00:00"/>
    <s v="Industrial (CESION LTP)"/>
    <s v="JOSEFA ANTONIA"/>
    <n v="962640"/>
    <n v="14"/>
    <x v="0"/>
    <n v="6"/>
    <m/>
  </r>
  <r>
    <n v="1594"/>
    <d v="2019-04-26T00:00:00"/>
    <s v="Industrial (CESION LTP)"/>
    <s v="JOSEFA ANTONIA"/>
    <n v="962640"/>
    <n v="14"/>
    <x v="1"/>
    <n v="34"/>
    <m/>
  </r>
  <r>
    <n v="1528"/>
    <d v="2019-04-23T00:00:00"/>
    <s v="Industrial (CESION LTP)"/>
    <s v="DON ADOLFO II"/>
    <n v="923960"/>
    <n v="16"/>
    <x v="0"/>
    <n v="20"/>
    <n v="96.686999999999998"/>
  </r>
  <r>
    <n v="1528"/>
    <d v="2019-04-23T00:00:00"/>
    <s v="Industrial (CESION LTP)"/>
    <s v="DON ADOLFO II"/>
    <n v="923960"/>
    <n v="16"/>
    <x v="1"/>
    <n v="200"/>
    <n v="87.204999999999998"/>
  </r>
  <r>
    <n v="1048"/>
    <d v="2019-03-22T00:00:00"/>
    <s v="Industrial (CESION LTP)"/>
    <s v="FRANCISCO JAVIER"/>
    <n v="924606"/>
    <n v="16"/>
    <x v="0"/>
    <n v="16"/>
    <n v="16"/>
  </r>
  <r>
    <n v="1048"/>
    <d v="2019-03-22T00:00:00"/>
    <s v="Industrial (CESION LTP)"/>
    <s v="FRANCISCO JAVIER"/>
    <n v="924606"/>
    <n v="16"/>
    <x v="1"/>
    <n v="34"/>
    <n v="34"/>
  </r>
  <r>
    <n v="94"/>
    <d v="2019-05-28T00:00:00"/>
    <s v="Artesanal"/>
    <s v="VERONICA ALEJANDRA"/>
    <n v="926065"/>
    <n v="16"/>
    <x v="0"/>
    <n v="4.4000000000000004"/>
    <m/>
  </r>
  <r>
    <n v="94"/>
    <d v="2019-05-28T00:00:00"/>
    <s v="Artesanal"/>
    <s v="VERONICA ALEJANDRA"/>
    <n v="926065"/>
    <n v="16"/>
    <x v="1"/>
    <n v="12.4"/>
    <m/>
  </r>
  <r>
    <n v="2053"/>
    <d v="2019-05-28T00:00:00"/>
    <s v="Industrial (CESION LTP)"/>
    <s v="VERONICA ALEJANDRA"/>
    <n v="926065"/>
    <n v="16"/>
    <x v="0"/>
    <n v="20"/>
    <n v="44.975000000000001"/>
  </r>
  <r>
    <n v="2053"/>
    <d v="2019-05-28T00:00:00"/>
    <s v="Industrial (CESION LTP)"/>
    <s v="VERONICA ALEJANDRA"/>
    <n v="926065"/>
    <n v="16"/>
    <x v="1"/>
    <n v="200"/>
    <n v="27.515000000000001"/>
  </r>
  <r>
    <n v="2446"/>
    <d v="2019-07-05T00:00:00"/>
    <s v="Industrial (CESION LTP)"/>
    <s v="VERONICA ALEJANDRA"/>
    <n v="926065"/>
    <n v="16"/>
    <x v="0"/>
    <n v="47.223999999999997"/>
    <m/>
  </r>
  <r>
    <n v="2446"/>
    <d v="2019-07-05T00:00:00"/>
    <s v="Industrial (CESION LTP)"/>
    <s v="VERONICA ALEJANDRA"/>
    <n v="926065"/>
    <n v="16"/>
    <x v="1"/>
    <n v="52.026000000000003"/>
    <m/>
  </r>
  <r>
    <n v="794"/>
    <d v="2019-02-20T00:00:00"/>
    <s v="Industrial (CESION LTP)"/>
    <s v="GLORIA I"/>
    <n v="950991"/>
    <n v="16"/>
    <x v="0"/>
    <n v="10"/>
    <n v="10"/>
  </r>
  <r>
    <n v="794"/>
    <d v="2019-02-20T00:00:00"/>
    <s v="Industrial (CESION LTP)"/>
    <s v="GLORIA I"/>
    <n v="950991"/>
    <n v="16"/>
    <x v="1"/>
    <n v="100"/>
    <n v="100"/>
  </r>
  <r>
    <n v="794"/>
    <d v="2019-02-20T00:00:00"/>
    <s v="Industrial (CESION LTP)"/>
    <s v="JOSE SEBASTIAN"/>
    <n v="951038"/>
    <n v="16"/>
    <x v="0"/>
    <n v="10"/>
    <n v="21.045999999999999"/>
  </r>
  <r>
    <n v="794"/>
    <d v="2019-02-20T00:00:00"/>
    <s v="Industrial (CESION LTP)"/>
    <s v="JOSE SEBASTIAN"/>
    <n v="951038"/>
    <n v="16"/>
    <x v="1"/>
    <n v="100"/>
    <n v="80.698999999999998"/>
  </r>
  <r>
    <n v="2139"/>
    <d v="2019-06-11T00:00:00"/>
    <s v="Industrial (CESION LTP)"/>
    <s v="JOSE SEBASTIAN"/>
    <n v="951038"/>
    <n v="16"/>
    <x v="0"/>
    <n v="20"/>
    <m/>
  </r>
  <r>
    <n v="2139"/>
    <d v="2019-06-11T00:00:00"/>
    <s v="Industrial (CESION LTP)"/>
    <s v="JOSE SEBASTIAN"/>
    <n v="951038"/>
    <n v="16"/>
    <x v="1"/>
    <n v="100"/>
    <m/>
  </r>
  <r>
    <n v="1528"/>
    <d v="2019-04-23T00:00:00"/>
    <s v="Industrial (CESION LTP)"/>
    <s v="PUNTA MAULE II"/>
    <n v="951221"/>
    <n v="16"/>
    <x v="0"/>
    <n v="20"/>
    <n v="72.677000000000007"/>
  </r>
  <r>
    <n v="1528"/>
    <d v="2019-04-23T00:00:00"/>
    <s v="Industrial (CESION LTP)"/>
    <s v="PUNTA MAULE II"/>
    <n v="951221"/>
    <n v="16"/>
    <x v="1"/>
    <n v="200"/>
    <n v="147.32300000000001"/>
  </r>
  <r>
    <n v="98"/>
    <d v="2019-05-29T00:00:00"/>
    <s v="Artesanal"/>
    <s v="DON GOYO"/>
    <n v="953832"/>
    <n v="16"/>
    <x v="0"/>
    <n v="1"/>
    <m/>
  </r>
  <r>
    <n v="98"/>
    <d v="2019-05-29T00:00:00"/>
    <s v="Artesanal"/>
    <s v="DON GOYO"/>
    <n v="953832"/>
    <n v="16"/>
    <x v="1"/>
    <n v="2.7"/>
    <m/>
  </r>
  <r>
    <n v="105"/>
    <d v="2019-06-06T00:00:00"/>
    <s v="Artesanal"/>
    <s v="DON GOYO"/>
    <n v="953832"/>
    <n v="16"/>
    <x v="0"/>
    <n v="50"/>
    <n v="20.655000000000001"/>
  </r>
  <r>
    <n v="105"/>
    <d v="2019-06-06T00:00:00"/>
    <s v="Artesanal"/>
    <s v="DON GOYO"/>
    <n v="953832"/>
    <n v="16"/>
    <x v="1"/>
    <n v="60"/>
    <n v="46.427"/>
  </r>
  <r>
    <n v="1110"/>
    <d v="2019-03-29T00:00:00"/>
    <s v="Industrial (CESION LTP)"/>
    <s v="DON GOYO"/>
    <n v="953832"/>
    <n v="16"/>
    <x v="0"/>
    <n v="10"/>
    <n v="18.800999999999998"/>
  </r>
  <r>
    <n v="1110"/>
    <d v="2019-03-29T00:00:00"/>
    <s v="Industrial (CESION LTP)"/>
    <s v="DON GOYO"/>
    <n v="953832"/>
    <n v="16"/>
    <x v="1"/>
    <n v="100"/>
    <n v="91.198999999999998"/>
  </r>
  <r>
    <n v="2139"/>
    <d v="2019-06-11T00:00:00"/>
    <s v="Industrial (CESION LTP)"/>
    <s v="DON GOYO"/>
    <n v="953832"/>
    <n v="16"/>
    <x v="0"/>
    <n v="20"/>
    <n v="75.055000000000007"/>
  </r>
  <r>
    <n v="2139"/>
    <d v="2019-06-11T00:00:00"/>
    <s v="Industrial (CESION LTP)"/>
    <s v="DON GOYO"/>
    <n v="953832"/>
    <n v="16"/>
    <x v="1"/>
    <n v="130"/>
    <n v="74.944999999999993"/>
  </r>
  <r>
    <n v="2257"/>
    <d v="2019-06-21T00:00:00"/>
    <s v="Artesanal"/>
    <s v="DON GOYO"/>
    <n v="953832"/>
    <n v="16"/>
    <x v="0"/>
    <n v="40"/>
    <m/>
  </r>
  <r>
    <n v="2257"/>
    <d v="2019-06-21T00:00:00"/>
    <s v="Artesanal"/>
    <s v="DON GOYO"/>
    <n v="953832"/>
    <n v="16"/>
    <x v="1"/>
    <n v="40"/>
    <m/>
  </r>
  <r>
    <n v="11"/>
    <d v="2019-02-25T00:00:00"/>
    <s v="Artesanal"/>
    <s v="DOÑA GLADYS II"/>
    <n v="953964"/>
    <n v="16"/>
    <x v="0"/>
    <n v="5.54"/>
    <m/>
  </r>
  <r>
    <n v="11"/>
    <d v="2019-02-25T00:00:00"/>
    <s v="Artesanal"/>
    <s v="DOÑA GLADYS II"/>
    <n v="953964"/>
    <n v="16"/>
    <x v="1"/>
    <n v="18.46"/>
    <n v="24"/>
  </r>
  <r>
    <n v="12"/>
    <d v="2019-02-25T00:00:00"/>
    <s v="Artesanal"/>
    <s v="DOÑA GLADYS II"/>
    <n v="953964"/>
    <n v="16"/>
    <x v="0"/>
    <n v="18.55"/>
    <m/>
  </r>
  <r>
    <n v="12"/>
    <d v="2019-02-25T00:00:00"/>
    <s v="Artesanal"/>
    <s v="DOÑA GLADYS II"/>
    <n v="953964"/>
    <n v="16"/>
    <x v="1"/>
    <n v="72.94"/>
    <n v="91.49"/>
  </r>
  <r>
    <n v="63"/>
    <d v="2019-05-08T00:00:00"/>
    <s v="Artesanal"/>
    <s v="DOÑA GLADYS II"/>
    <n v="953964"/>
    <n v="16"/>
    <x v="0"/>
    <n v="0"/>
    <m/>
  </r>
  <r>
    <n v="63"/>
    <d v="2019-05-08T00:00:00"/>
    <s v="Artesanal"/>
    <s v="DOÑA GLADYS II"/>
    <n v="953964"/>
    <n v="16"/>
    <x v="1"/>
    <n v="60"/>
    <n v="60"/>
  </r>
  <r>
    <n v="105"/>
    <d v="2019-06-06T00:00:00"/>
    <s v="Artesanal"/>
    <s v="DOÑA GLADYS II"/>
    <n v="953964"/>
    <n v="16"/>
    <x v="0"/>
    <n v="50"/>
    <n v="50"/>
  </r>
  <r>
    <n v="105"/>
    <d v="2019-06-06T00:00:00"/>
    <s v="Artesanal"/>
    <s v="DOÑA GLADYS II"/>
    <n v="953964"/>
    <n v="16"/>
    <x v="1"/>
    <n v="50"/>
    <n v="50"/>
  </r>
  <r>
    <n v="1110"/>
    <d v="2019-03-29T00:00:00"/>
    <s v="Industrial (CESION LTP)"/>
    <s v="DOÑA GLADYS II"/>
    <n v="953964"/>
    <n v="16"/>
    <x v="0"/>
    <n v="30"/>
    <n v="77.984999999999999"/>
  </r>
  <r>
    <n v="1110"/>
    <d v="2019-03-29T00:00:00"/>
    <s v="Industrial (CESION LTP)"/>
    <s v="DOÑA GLADYS II"/>
    <n v="953964"/>
    <n v="16"/>
    <x v="1"/>
    <n v="270"/>
    <n v="222.01499999999999"/>
  </r>
  <r>
    <n v="2139"/>
    <d v="2019-06-11T00:00:00"/>
    <s v="Industrial (CESION LTP)"/>
    <s v="DOÑA GLADYS II"/>
    <n v="953964"/>
    <n v="16"/>
    <x v="0"/>
    <n v="20"/>
    <n v="1.004"/>
  </r>
  <r>
    <n v="2139"/>
    <d v="2019-06-11T00:00:00"/>
    <s v="Industrial (CESION LTP)"/>
    <s v="DOÑA GLADYS II"/>
    <n v="953964"/>
    <n v="16"/>
    <x v="1"/>
    <n v="180"/>
    <n v="25.13"/>
  </r>
  <r>
    <n v="2257"/>
    <d v="2019-06-21T00:00:00"/>
    <s v="Artesanal"/>
    <s v="DOÑA GLADYS II"/>
    <n v="953964"/>
    <n v="16"/>
    <x v="0"/>
    <n v="40"/>
    <n v="20.553000000000001"/>
  </r>
  <r>
    <n v="2257"/>
    <d v="2019-06-21T00:00:00"/>
    <s v="Artesanal"/>
    <s v="DOÑA GLADYS II"/>
    <n v="953964"/>
    <n v="16"/>
    <x v="1"/>
    <n v="40"/>
    <n v="5.7969999999999997"/>
  </r>
  <r>
    <n v="795"/>
    <d v="2019-02-28T00:00:00"/>
    <s v="Industrial (CESION LTP)"/>
    <s v="AIDA ROSA"/>
    <n v="954645"/>
    <n v="16"/>
    <x v="0"/>
    <n v="5"/>
    <n v="2.9929999999999999"/>
  </r>
  <r>
    <n v="795"/>
    <d v="2019-02-28T00:00:00"/>
    <s v="Industrial (CESION LTP)"/>
    <s v="AIDA ROSA"/>
    <n v="954645"/>
    <n v="16"/>
    <x v="1"/>
    <n v="13"/>
    <n v="15.007"/>
  </r>
  <r>
    <n v="794"/>
    <d v="2019-02-20T00:00:00"/>
    <s v="Industrial (CESION LTP)"/>
    <s v="REINA DEL MAR II"/>
    <n v="955168"/>
    <n v="16"/>
    <x v="0"/>
    <n v="10"/>
    <n v="26.201000000000001"/>
  </r>
  <r>
    <n v="794"/>
    <d v="2019-02-20T00:00:00"/>
    <s v="Industrial (CESION LTP)"/>
    <s v="REINA DEL MAR II"/>
    <n v="955168"/>
    <n v="16"/>
    <x v="1"/>
    <n v="100"/>
    <n v="83.799000000000007"/>
  </r>
  <r>
    <n v="8"/>
    <d v="2019-02-21T00:00:00"/>
    <s v="Artesanal"/>
    <s v="DON COQUERA"/>
    <n v="955189"/>
    <n v="16"/>
    <x v="0"/>
    <n v="59"/>
    <n v="59"/>
  </r>
  <r>
    <n v="8"/>
    <d v="2019-02-21T00:00:00"/>
    <s v="Artesanal"/>
    <s v="DON COQUERA"/>
    <n v="955189"/>
    <n v="16"/>
    <x v="1"/>
    <n v="205"/>
    <n v="205"/>
  </r>
  <r>
    <n v="795"/>
    <d v="2019-02-28T00:00:00"/>
    <s v="Industrial (CESION LTP)"/>
    <s v="DON COQUERA"/>
    <n v="955189"/>
    <n v="16"/>
    <x v="0"/>
    <n v="19"/>
    <n v="19"/>
  </r>
  <r>
    <n v="795"/>
    <d v="2019-02-28T00:00:00"/>
    <s v="Industrial (CESION LTP)"/>
    <s v="DON COQUERA"/>
    <n v="955189"/>
    <n v="16"/>
    <x v="1"/>
    <n v="50"/>
    <n v="50"/>
  </r>
  <r>
    <n v="1528"/>
    <d v="2019-04-23T00:00:00"/>
    <s v="Industrial (CESION LTP)"/>
    <s v="DELIA ROSA"/>
    <n v="955374"/>
    <n v="16"/>
    <x v="0"/>
    <n v="10"/>
    <n v="46.095999999999997"/>
  </r>
  <r>
    <n v="1528"/>
    <d v="2019-04-23T00:00:00"/>
    <s v="Industrial (CESION LTP)"/>
    <s v="DELIA ROSA"/>
    <n v="955374"/>
    <n v="16"/>
    <x v="1"/>
    <n v="200"/>
    <n v="163.904"/>
  </r>
  <r>
    <n v="2257"/>
    <d v="2019-06-21T00:00:00"/>
    <s v="Artesanal"/>
    <s v="DELIA ROSA"/>
    <n v="955374"/>
    <n v="16"/>
    <x v="0"/>
    <n v="20"/>
    <m/>
  </r>
  <r>
    <n v="2257"/>
    <d v="2019-06-21T00:00:00"/>
    <s v="Artesanal"/>
    <s v="DELIA ROSA"/>
    <n v="955374"/>
    <n v="16"/>
    <x v="1"/>
    <n v="100"/>
    <m/>
  </r>
  <r>
    <n v="794"/>
    <d v="2019-02-20T00:00:00"/>
    <s v="Industrial (CESION LTP)"/>
    <s v="GALILEA I"/>
    <n v="955877"/>
    <n v="16"/>
    <x v="0"/>
    <n v="10"/>
    <n v="26.016999999999999"/>
  </r>
  <r>
    <n v="794"/>
    <d v="2019-02-20T00:00:00"/>
    <s v="Industrial (CESION LTP)"/>
    <s v="GALILEA I"/>
    <n v="955877"/>
    <n v="16"/>
    <x v="1"/>
    <n v="100"/>
    <n v="83.983000000000004"/>
  </r>
  <r>
    <n v="1462"/>
    <d v="2019-04-17T00:00:00"/>
    <s v="Industrial (CESION LTP)"/>
    <s v="SEBASTIAN II"/>
    <n v="957821"/>
    <n v="16"/>
    <x v="0"/>
    <n v="19"/>
    <n v="28.326000000000001"/>
  </r>
  <r>
    <n v="1462"/>
    <d v="2019-04-17T00:00:00"/>
    <s v="Industrial (CESION LTP)"/>
    <s v="SEBASTIAN II"/>
    <n v="957821"/>
    <n v="16"/>
    <x v="1"/>
    <n v="51"/>
    <n v="41.673999999999999"/>
  </r>
  <r>
    <n v="795"/>
    <d v="2019-02-28T00:00:00"/>
    <s v="Industrial (CESION LTP)"/>
    <s v="ERNESTO II"/>
    <n v="958006"/>
    <n v="16"/>
    <x v="0"/>
    <n v="38"/>
    <n v="12.364000000000001"/>
  </r>
  <r>
    <n v="795"/>
    <d v="2019-02-28T00:00:00"/>
    <s v="Industrial (CESION LTP)"/>
    <s v="ERNESTO II"/>
    <n v="958006"/>
    <n v="16"/>
    <x v="1"/>
    <n v="100"/>
    <n v="125.636"/>
  </r>
  <r>
    <n v="1462"/>
    <d v="2019-04-17T00:00:00"/>
    <s v="Industrial (CESION LTP)"/>
    <s v="RICARDO JESUS"/>
    <n v="959366"/>
    <n v="16"/>
    <x v="0"/>
    <n v="85"/>
    <n v="211.4"/>
  </r>
  <r>
    <n v="1462"/>
    <d v="2019-04-17T00:00:00"/>
    <s v="Industrial (CESION LTP)"/>
    <s v="RICARDO JESUS"/>
    <n v="959366"/>
    <n v="16"/>
    <x v="1"/>
    <n v="231"/>
    <n v="104.6"/>
  </r>
  <r>
    <n v="2140"/>
    <d v="2019-06-11T00:00:00"/>
    <s v="Industrial (CESION LTP)"/>
    <s v="RICARDO JESUS"/>
    <n v="959366"/>
    <n v="16"/>
    <x v="0"/>
    <n v="67"/>
    <n v="78.525999999999996"/>
  </r>
  <r>
    <n v="2140"/>
    <d v="2019-06-11T00:00:00"/>
    <s v="Industrial (CESION LTP)"/>
    <s v="RICARDO JESUS"/>
    <n v="959366"/>
    <n v="16"/>
    <x v="1"/>
    <n v="81"/>
    <n v="69.474000000000004"/>
  </r>
  <r>
    <n v="1638"/>
    <d v="2019-04-30T00:00:00"/>
    <s v="Industrial (CESION LTP)"/>
    <s v="DON BETO IV"/>
    <n v="959370"/>
    <n v="16"/>
    <x v="0"/>
    <n v="20"/>
    <n v="27.856999999999999"/>
  </r>
  <r>
    <n v="1638"/>
    <d v="2019-04-30T00:00:00"/>
    <s v="Industrial (CESION LTP)"/>
    <s v="DON BETO IV"/>
    <n v="959370"/>
    <n v="16"/>
    <x v="1"/>
    <n v="80"/>
    <n v="72.143000000000001"/>
  </r>
  <r>
    <n v="1462"/>
    <d v="2019-04-17T00:00:00"/>
    <s v="Industrial (CESION LTP)"/>
    <s v="DOÑA JOVA 2DA"/>
    <n v="959954"/>
    <n v="16"/>
    <x v="0"/>
    <n v="97"/>
    <n v="125.488"/>
  </r>
  <r>
    <n v="1462"/>
    <d v="2019-04-17T00:00:00"/>
    <s v="Industrial (CESION LTP)"/>
    <s v="DOÑA JOVA 2DA"/>
    <n v="959954"/>
    <n v="16"/>
    <x v="1"/>
    <n v="267"/>
    <n v="238.512"/>
  </r>
  <r>
    <n v="2140"/>
    <d v="2019-06-11T00:00:00"/>
    <s v="Industrial (CESION LTP)"/>
    <s v="DOÑA JOVA 2DA"/>
    <n v="959954"/>
    <n v="16"/>
    <x v="0"/>
    <n v="67"/>
    <n v="56.478999999999999"/>
  </r>
  <r>
    <n v="2140"/>
    <d v="2019-06-11T00:00:00"/>
    <s v="Industrial (CESION LTP)"/>
    <s v="DOÑA JOVA 2DA"/>
    <n v="959954"/>
    <n v="16"/>
    <x v="1"/>
    <n v="81"/>
    <n v="91.521000000000001"/>
  </r>
  <r>
    <n v="1462"/>
    <d v="2019-04-17T00:00:00"/>
    <s v="Industrial (CESION LTP)"/>
    <s v="CELINA I"/>
    <n v="959993"/>
    <n v="16"/>
    <x v="0"/>
    <n v="0"/>
    <m/>
  </r>
  <r>
    <n v="1462"/>
    <d v="2019-04-17T00:00:00"/>
    <s v="Industrial (CESION LTP)"/>
    <s v="CELINA I"/>
    <n v="959993"/>
    <n v="16"/>
    <x v="1"/>
    <n v="0"/>
    <m/>
  </r>
  <r>
    <n v="847"/>
    <d v="2019-03-06T00:00:00"/>
    <s v="Industrial (CESION LTP)"/>
    <s v="SIXTO ABRAHAM"/>
    <n v="961377"/>
    <n v="16"/>
    <x v="0"/>
    <n v="50"/>
    <n v="57.328000000000003"/>
  </r>
  <r>
    <n v="847"/>
    <d v="2019-03-06T00:00:00"/>
    <s v="Industrial (CESION LTP)"/>
    <s v="SIXTO ABRAHAM"/>
    <n v="961377"/>
    <n v="16"/>
    <x v="1"/>
    <n v="300"/>
    <n v="292.67200000000003"/>
  </r>
  <r>
    <n v="2139"/>
    <d v="2019-06-11T00:00:00"/>
    <s v="Industrial (CESION LTP)"/>
    <s v="SIXTO ABRAHAM"/>
    <n v="961377"/>
    <n v="16"/>
    <x v="0"/>
    <n v="30"/>
    <n v="31.748999999999999"/>
  </r>
  <r>
    <n v="2139"/>
    <d v="2019-06-11T00:00:00"/>
    <s v="Industrial (CESION LTP)"/>
    <s v="SIXTO ABRAHAM"/>
    <n v="961377"/>
    <n v="16"/>
    <x v="1"/>
    <n v="140"/>
    <n v="138.251"/>
  </r>
  <r>
    <n v="2122"/>
    <d v="2019-06-07T00:00:00"/>
    <s v="Industrial (CESION LTP)"/>
    <s v="DON AGUSTIN"/>
    <n v="963966"/>
    <n v="16"/>
    <x v="0"/>
    <n v="20"/>
    <m/>
  </r>
  <r>
    <n v="2122"/>
    <d v="2019-06-07T00:00:00"/>
    <s v="Industrial (CESION LTP)"/>
    <s v="DON AGUSTIN"/>
    <n v="963966"/>
    <n v="16"/>
    <x v="1"/>
    <n v="30"/>
    <m/>
  </r>
  <r>
    <n v="1638"/>
    <d v="2019-04-30T00:00:00"/>
    <s v="Industrial (CESION LTP)"/>
    <s v="EL NIEGO I"/>
    <n v="964409"/>
    <n v="16"/>
    <x v="0"/>
    <n v="20"/>
    <n v="34.152999999999999"/>
  </r>
  <r>
    <n v="1638"/>
    <d v="2019-04-30T00:00:00"/>
    <s v="Industrial (CESION LTP)"/>
    <s v="EL NIEGO I"/>
    <n v="964409"/>
    <n v="16"/>
    <x v="1"/>
    <n v="80"/>
    <n v="65.846999999999994"/>
  </r>
  <r>
    <n v="2122"/>
    <d v="2019-06-07T00:00:00"/>
    <s v="Industrial (CESION LTP)"/>
    <s v="EL NIEGO I"/>
    <n v="964409"/>
    <n v="16"/>
    <x v="0"/>
    <n v="20"/>
    <n v="4.2770000000000001"/>
  </r>
  <r>
    <n v="2122"/>
    <d v="2019-06-07T00:00:00"/>
    <s v="Industrial (CESION LTP)"/>
    <s v="EL NIEGO I"/>
    <n v="964409"/>
    <n v="16"/>
    <x v="1"/>
    <n v="50"/>
    <n v="65.722999999999999"/>
  </r>
  <r>
    <n v="1528"/>
    <d v="2019-04-23T00:00:00"/>
    <s v="Industrial (CESION LTP)"/>
    <s v="NELY NICOLE II"/>
    <n v="965070"/>
    <n v="16"/>
    <x v="0"/>
    <n v="10"/>
    <n v="83.942999999999998"/>
  </r>
  <r>
    <n v="1528"/>
    <d v="2019-04-23T00:00:00"/>
    <s v="Industrial (CESION LTP)"/>
    <s v="NELY NICOLE II"/>
    <n v="965070"/>
    <n v="16"/>
    <x v="1"/>
    <n v="200"/>
    <n v="126.057"/>
  </r>
  <r>
    <n v="2257"/>
    <d v="2019-06-21T00:00:00"/>
    <s v="Artesanal"/>
    <s v="NELY NICOLE II"/>
    <n v="965070"/>
    <n v="16"/>
    <x v="0"/>
    <n v="30"/>
    <m/>
  </r>
  <r>
    <n v="2257"/>
    <d v="2019-06-21T00:00:00"/>
    <s v="Artesanal"/>
    <s v="NELY NICOLE II"/>
    <n v="965070"/>
    <n v="16"/>
    <x v="1"/>
    <n v="120"/>
    <m/>
  </r>
  <r>
    <n v="2122"/>
    <d v="2019-06-07T00:00:00"/>
    <s v="Industrial (CESION LTP)"/>
    <s v="ABRAHAM ANTONIO"/>
    <n v="966146"/>
    <n v="16"/>
    <x v="0"/>
    <n v="10"/>
    <n v="42"/>
  </r>
  <r>
    <n v="2122"/>
    <d v="2019-06-07T00:00:00"/>
    <s v="Industrial (CESION LTP)"/>
    <s v="ABRAHAM ANTONIO"/>
    <n v="966146"/>
    <n v="16"/>
    <x v="1"/>
    <n v="70"/>
    <n v="38"/>
  </r>
  <r>
    <n v="1638"/>
    <d v="2019-04-30T00:00:00"/>
    <s v="Industrial (CESION LTP)"/>
    <s v="MAMA EDITH"/>
    <n v="966403"/>
    <n v="16"/>
    <x v="0"/>
    <n v="20"/>
    <n v="15.411"/>
  </r>
  <r>
    <n v="1638"/>
    <d v="2019-04-30T00:00:00"/>
    <s v="Industrial (CESION LTP)"/>
    <s v="MAMA EDITH"/>
    <n v="966403"/>
    <n v="16"/>
    <x v="1"/>
    <n v="80"/>
    <n v="84.501999999999995"/>
  </r>
  <r>
    <n v="2122"/>
    <d v="2019-06-07T00:00:00"/>
    <s v="Industrial (CESION LTP)"/>
    <s v="MAMA EDITH"/>
    <n v="966403"/>
    <n v="16"/>
    <x v="0"/>
    <n v="20"/>
    <n v="41.762999999999998"/>
  </r>
  <r>
    <n v="2122"/>
    <d v="2019-06-07T00:00:00"/>
    <s v="Industrial (CESION LTP)"/>
    <s v="MAMA EDITH"/>
    <n v="966403"/>
    <n v="16"/>
    <x v="1"/>
    <n v="50"/>
    <n v="28.236999999999998"/>
  </r>
  <r>
    <n v="1528"/>
    <d v="2019-04-23T00:00:00"/>
    <s v="Industrial (CESION LTP)"/>
    <s v="DON FERNANDO I"/>
    <n v="910708"/>
    <n v="18"/>
    <x v="0"/>
    <n v="10"/>
    <n v="14.058"/>
  </r>
  <r>
    <n v="1528"/>
    <d v="2019-04-23T00:00:00"/>
    <s v="Industrial (CESION LTP)"/>
    <s v="DON FERNANDO I"/>
    <n v="910708"/>
    <n v="18"/>
    <x v="1"/>
    <n v="150"/>
    <n v="11.497"/>
  </r>
  <r>
    <n v="1528"/>
    <d v="2019-04-23T00:00:00"/>
    <s v="Industrial (CESION LTP)"/>
    <s v="DON RUBEN"/>
    <n v="923215"/>
    <n v="18"/>
    <x v="0"/>
    <n v="20"/>
    <n v="88"/>
  </r>
  <r>
    <n v="1528"/>
    <d v="2019-04-23T00:00:00"/>
    <s v="Industrial (CESION LTP)"/>
    <s v="DON RUBEN"/>
    <n v="923215"/>
    <n v="18"/>
    <x v="1"/>
    <n v="200"/>
    <n v="119.358"/>
  </r>
  <r>
    <n v="2139"/>
    <d v="2019-06-11T00:00:00"/>
    <s v="Industrial (CESION LTP)"/>
    <s v="DON RUBEN"/>
    <n v="923215"/>
    <n v="18"/>
    <x v="0"/>
    <n v="30"/>
    <m/>
  </r>
  <r>
    <n v="2139"/>
    <d v="2019-06-11T00:00:00"/>
    <s v="Industrial (CESION LTP)"/>
    <s v="DON RUBEN"/>
    <n v="923215"/>
    <n v="18"/>
    <x v="1"/>
    <n v="160"/>
    <n v="80.87"/>
  </r>
  <r>
    <n v="1462"/>
    <d v="2019-04-17T00:00:00"/>
    <s v="Industrial (CESION LTP)"/>
    <s v="DOÑA COCA"/>
    <n v="951916"/>
    <n v="18"/>
    <x v="0"/>
    <n v="106"/>
    <n v="150.512"/>
  </r>
  <r>
    <n v="1462"/>
    <d v="2019-04-17T00:00:00"/>
    <s v="Industrial (CESION LTP)"/>
    <s v="DOÑA COCA"/>
    <n v="951916"/>
    <n v="18"/>
    <x v="1"/>
    <n v="288"/>
    <n v="243.488"/>
  </r>
  <r>
    <n v="2140"/>
    <d v="2019-06-11T00:00:00"/>
    <s v="Industrial (CESION LTP)"/>
    <s v="DOÑA COCA"/>
    <n v="951916"/>
    <n v="18"/>
    <x v="0"/>
    <n v="67"/>
    <n v="24.367000000000001"/>
  </r>
  <r>
    <n v="2140"/>
    <d v="2019-06-11T00:00:00"/>
    <s v="Industrial (CESION LTP)"/>
    <s v="DOÑA COCA"/>
    <n v="951916"/>
    <n v="18"/>
    <x v="1"/>
    <n v="81"/>
    <n v="61.567999999999998"/>
  </r>
  <r>
    <n v="795"/>
    <d v="2019-02-28T00:00:00"/>
    <s v="Industrial (CESION LTP)"/>
    <s v="HALCON I"/>
    <n v="965128"/>
    <n v="18"/>
    <x v="0"/>
    <n v="29"/>
    <m/>
  </r>
  <r>
    <n v="795"/>
    <d v="2019-02-28T00:00:00"/>
    <s v="Industrial (CESION LTP)"/>
    <s v="HALCON I"/>
    <n v="965128"/>
    <n v="18"/>
    <x v="1"/>
    <n v="78"/>
    <n v="107"/>
  </r>
  <r>
    <n v="1462"/>
    <d v="2019-04-17T00:00:00"/>
    <s v="Industrial (CESION LTP)"/>
    <s v="DON ERNESTO I"/>
    <n v="965442"/>
    <n v="18"/>
    <x v="0"/>
    <n v="57"/>
    <n v="93.331000000000003"/>
  </r>
  <r>
    <n v="1462"/>
    <d v="2019-04-17T00:00:00"/>
    <s v="Industrial (CESION LTP)"/>
    <s v="DON ERNESTO I"/>
    <n v="965442"/>
    <n v="18"/>
    <x v="1"/>
    <n v="156"/>
    <n v="66.459000000000003"/>
  </r>
  <r>
    <n v="1460"/>
    <d v="2019-04-17T00:00:00"/>
    <s v="Industrial (CESION LTP)"/>
    <s v="DON SIXTO"/>
    <n v="922996"/>
    <n v="19"/>
    <x v="0"/>
    <n v="2"/>
    <n v="65.31"/>
  </r>
  <r>
    <n v="1460"/>
    <d v="2019-04-17T00:00:00"/>
    <s v="Industrial (CESION LTP)"/>
    <s v="DON SIXTO"/>
    <n v="922996"/>
    <n v="19"/>
    <x v="1"/>
    <n v="198"/>
    <n v="134.69"/>
  </r>
  <r>
    <n v="2139"/>
    <d v="2019-06-11T00:00:00"/>
    <s v="Industrial (CESION LTP)"/>
    <s v="DON SIXTO"/>
    <n v="922996"/>
    <n v="19"/>
    <x v="0"/>
    <n v="60"/>
    <n v="79.995999999999995"/>
  </r>
  <r>
    <n v="2139"/>
    <d v="2019-06-11T00:00:00"/>
    <s v="Industrial (CESION LTP)"/>
    <s v="DON SIXTO"/>
    <n v="922996"/>
    <n v="19"/>
    <x v="1"/>
    <n v="140"/>
    <n v="120"/>
  </r>
  <r>
    <n v="1460"/>
    <d v="2019-04-17T00:00:00"/>
    <s v="Industrial (CESION LTP)"/>
    <s v="SIXTO ABRAHAM I"/>
    <n v="926655"/>
    <n v="19"/>
    <x v="0"/>
    <n v="2"/>
    <n v="78.168999999999997"/>
  </r>
  <r>
    <n v="1460"/>
    <d v="2019-04-17T00:00:00"/>
    <s v="Industrial (CESION LTP)"/>
    <s v="SIXTO ABRAHAM I"/>
    <n v="926655"/>
    <n v="19"/>
    <x v="1"/>
    <n v="198"/>
    <n v="121.831"/>
  </r>
  <r>
    <n v="2099"/>
    <d v="2019-06-07T00:00:00"/>
    <s v="Industrial (CESION LTP)"/>
    <s v="SIXTO ABRAHAM I"/>
    <n v="926655"/>
    <n v="19"/>
    <x v="0"/>
    <n v="40"/>
    <n v="47.869"/>
  </r>
  <r>
    <n v="2099"/>
    <d v="2019-06-07T00:00:00"/>
    <s v="Industrial (CESION LTP)"/>
    <s v="SIXTO ABRAHAM I"/>
    <n v="926655"/>
    <n v="19"/>
    <x v="1"/>
    <n v="160"/>
    <n v="128.05099999999999"/>
  </r>
  <r>
    <n v="2139"/>
    <d v="2019-06-11T00:00:00"/>
    <s v="Industrial (CESION LTP)"/>
    <s v="SIXTO ABRAHAM I"/>
    <n v="926655"/>
    <n v="19"/>
    <x v="0"/>
    <n v="60"/>
    <n v="40.286000000000001"/>
  </r>
  <r>
    <n v="2139"/>
    <d v="2019-06-11T00:00:00"/>
    <s v="Industrial (CESION LTP)"/>
    <s v="SIXTO ABRAHAM I"/>
    <n v="926655"/>
    <n v="19"/>
    <x v="1"/>
    <n v="140"/>
    <n v="108.184"/>
  </r>
  <r>
    <n v="1048"/>
    <d v="2019-03-22T00:00:00"/>
    <s v="Industrial (CESION LTP)"/>
    <s v="EDEN I"/>
    <n v="960104"/>
    <n v="19"/>
    <x v="0"/>
    <n v="32"/>
    <n v="37.902999999999999"/>
  </r>
  <r>
    <n v="1048"/>
    <d v="2019-03-22T00:00:00"/>
    <s v="Industrial (CESION LTP)"/>
    <s v="EDEN I"/>
    <n v="960104"/>
    <n v="19"/>
    <x v="1"/>
    <n v="68"/>
    <n v="36.671999999999997"/>
  </r>
  <r>
    <n v="1462"/>
    <d v="2019-04-17T00:00:00"/>
    <s v="Industrial (CESION LTP)"/>
    <s v="AZARIEL"/>
    <n v="950818"/>
    <n v="20"/>
    <x v="0"/>
    <n v="47"/>
    <m/>
  </r>
  <r>
    <n v="1462"/>
    <d v="2019-04-17T00:00:00"/>
    <s v="Industrial (CESION LTP)"/>
    <s v="AZARIEL"/>
    <n v="950818"/>
    <n v="20"/>
    <x v="1"/>
    <n v="127"/>
    <m/>
  </r>
  <r>
    <n v="2140"/>
    <d v="2019-06-11T00:00:00"/>
    <s v="Industrial (CESION LTP)"/>
    <s v="AZARIEL"/>
    <n v="950818"/>
    <n v="20"/>
    <x v="0"/>
    <n v="67"/>
    <m/>
  </r>
  <r>
    <n v="2140"/>
    <d v="2019-06-11T00:00:00"/>
    <s v="Industrial (CESION LTP)"/>
    <s v="AZARIEL"/>
    <n v="950818"/>
    <n v="20"/>
    <x v="1"/>
    <n v="81"/>
    <m/>
  </r>
  <r>
    <n v="1462"/>
    <d v="2019-04-17T00:00:00"/>
    <s v="Industrial (CESION LTP)"/>
    <s v="DOÑA MARGARITA C"/>
    <n v="924718"/>
    <n v="21"/>
    <x v="0"/>
    <n v="61"/>
    <n v="140.523"/>
  </r>
  <r>
    <n v="1462"/>
    <d v="2019-04-17T00:00:00"/>
    <s v="Industrial (CESION LTP)"/>
    <s v="DOÑA MARGARITA C"/>
    <n v="924718"/>
    <n v="21"/>
    <x v="1"/>
    <n v="165"/>
    <n v="85.477000000000004"/>
  </r>
  <r>
    <n v="2140"/>
    <d v="2019-06-11T00:00:00"/>
    <s v="Industrial (CESION LTP)"/>
    <s v="DOÑA MARGARITA C"/>
    <n v="924718"/>
    <n v="21"/>
    <x v="0"/>
    <n v="67"/>
    <n v="59.774999999999999"/>
  </r>
  <r>
    <n v="2140"/>
    <d v="2019-06-11T00:00:00"/>
    <s v="Industrial (CESION LTP)"/>
    <s v="DOÑA MARGARITA C"/>
    <n v="924718"/>
    <n v="21"/>
    <x v="1"/>
    <n v="81"/>
    <n v="88.224999999999994"/>
  </r>
  <r>
    <n v="1462"/>
    <d v="2019-04-17T00:00:00"/>
    <s v="Industrial (CESION LTP)"/>
    <s v="RAUL M"/>
    <n v="959987"/>
    <n v="21"/>
    <x v="0"/>
    <n v="89"/>
    <n v="165.73400000000001"/>
  </r>
  <r>
    <n v="1462"/>
    <d v="2019-04-17T00:00:00"/>
    <s v="Industrial (CESION LTP)"/>
    <s v="RAUL M"/>
    <n v="959987"/>
    <n v="21"/>
    <x v="1"/>
    <n v="242"/>
    <n v="165.26599999999999"/>
  </r>
  <r>
    <n v="2140"/>
    <d v="2019-06-11T00:00:00"/>
    <s v="Industrial (CESION LTP)"/>
    <s v="RAUL M"/>
    <n v="959987"/>
    <n v="21"/>
    <x v="0"/>
    <n v="67"/>
    <n v="34.414000000000001"/>
  </r>
  <r>
    <n v="2140"/>
    <d v="2019-06-11T00:00:00"/>
    <s v="Industrial (CESION LTP)"/>
    <s v="RAUL M"/>
    <n v="959987"/>
    <n v="21"/>
    <x v="1"/>
    <n v="81"/>
    <n v="113.586"/>
  </r>
  <r>
    <n v="1462"/>
    <d v="2019-04-17T00:00:00"/>
    <s v="Industrial (CESION LTP)"/>
    <s v="CANOPUS III"/>
    <n v="961162"/>
    <n v="21"/>
    <x v="0"/>
    <n v="40.814999999999998"/>
    <n v="40.518000000000001"/>
  </r>
  <r>
    <n v="1462"/>
    <d v="2019-04-17T00:00:00"/>
    <s v="Industrial (CESION LTP)"/>
    <s v="CANOPUS III"/>
    <n v="961162"/>
    <n v="21"/>
    <x v="1"/>
    <n v="22.792000000000002"/>
    <n v="22.792000000000002"/>
  </r>
  <r>
    <n v="1048"/>
    <d v="2019-03-22T00:00:00"/>
    <s v="Industrial (CESION LTP)"/>
    <s v="QUIMERA"/>
    <n v="962853"/>
    <n v="21"/>
    <x v="0"/>
    <n v="32"/>
    <n v="5.6630000000000003"/>
  </r>
  <r>
    <n v="1048"/>
    <d v="2019-03-22T00:00:00"/>
    <s v="Industrial (CESION LTP)"/>
    <s v="QUIMERA"/>
    <n v="962853"/>
    <n v="21"/>
    <x v="1"/>
    <n v="68"/>
    <n v="91.730999999999995"/>
  </r>
  <r>
    <n v="1462"/>
    <d v="2019-04-17T00:00:00"/>
    <s v="Industrial (CESION LTP)"/>
    <s v="DON LOLO"/>
    <n v="964249"/>
    <n v="21"/>
    <x v="0"/>
    <n v="109.482"/>
    <n v="130.411"/>
  </r>
  <r>
    <n v="1462"/>
    <d v="2019-04-17T00:00:00"/>
    <s v="Industrial (CESION LTP)"/>
    <s v="DON LOLO"/>
    <n v="964249"/>
    <n v="21"/>
    <x v="1"/>
    <n v="385.20800000000003"/>
    <n v="157.999"/>
  </r>
  <r>
    <n v="1462"/>
    <d v="2019-04-17T00:00:00"/>
    <s v="Industrial (CESION LTP)"/>
    <s v="MARVENTO"/>
    <n v="967393"/>
    <n v="21"/>
    <x v="0"/>
    <n v="89"/>
    <n v="189.453"/>
  </r>
  <r>
    <n v="1462"/>
    <d v="2019-04-17T00:00:00"/>
    <s v="Industrial (CESION LTP)"/>
    <s v="MARVENTO"/>
    <n v="967393"/>
    <n v="21"/>
    <x v="1"/>
    <n v="242"/>
    <n v="141.547"/>
  </r>
  <r>
    <n v="2140"/>
    <d v="2019-06-11T00:00:00"/>
    <s v="Industrial (CESION LTP)"/>
    <s v="MARVENTO"/>
    <n v="967393"/>
    <n v="21"/>
    <x v="0"/>
    <n v="67"/>
    <n v="44.213999999999999"/>
  </r>
  <r>
    <n v="2140"/>
    <d v="2019-06-11T00:00:00"/>
    <s v="Industrial (CESION LTP)"/>
    <s v="MARVENTO"/>
    <n v="967393"/>
    <n v="21"/>
    <x v="1"/>
    <n v="81"/>
    <n v="103.786"/>
  </r>
  <r>
    <n v="823"/>
    <d v="2019-03-05T00:00:00"/>
    <s v="Industrial (CESION LTP)"/>
    <s v="DON DANIEL I"/>
    <n v="4564"/>
    <n v="22"/>
    <x v="0"/>
    <n v="198.328"/>
    <n v="217.57499999999999"/>
  </r>
  <r>
    <n v="823"/>
    <d v="2019-03-05T00:00:00"/>
    <s v="Industrial (CESION LTP)"/>
    <s v="DON DANIEL I"/>
    <n v="4564"/>
    <n v="22"/>
    <x v="1"/>
    <n v="669.822"/>
    <n v="650.57500000000005"/>
  </r>
  <r>
    <n v="1198"/>
    <d v="2019-03-29T00:00:00"/>
    <s v="Industrial (CESION LTP)"/>
    <s v="DON DANIEL I"/>
    <n v="4564"/>
    <n v="22"/>
    <x v="0"/>
    <n v="150"/>
    <n v="150.08799999999999"/>
  </r>
  <r>
    <n v="1198"/>
    <d v="2019-03-29T00:00:00"/>
    <s v="Industrial (CESION LTP)"/>
    <s v="DON DANIEL I"/>
    <n v="4564"/>
    <n v="22"/>
    <x v="1"/>
    <n v="3"/>
    <n v="2.9119999999999999"/>
  </r>
  <r>
    <n v="2201"/>
    <d v="2019-06-19T00:00:00"/>
    <s v="Industrial (CESION LTP)"/>
    <s v="DON DANIEL I"/>
    <n v="4564"/>
    <n v="22"/>
    <x v="0"/>
    <n v="191.268"/>
    <n v="22.917000000000002"/>
  </r>
  <r>
    <n v="2201"/>
    <d v="2019-06-19T00:00:00"/>
    <s v="Industrial (CESION LTP)"/>
    <s v="DON DANIEL I"/>
    <n v="4564"/>
    <n v="22"/>
    <x v="1"/>
    <n v="297.64800000000002"/>
    <n v="100.66800000000001"/>
  </r>
  <r>
    <n v="823"/>
    <d v="2019-03-05T00:00:00"/>
    <s v="Industrial (CESION LTP)"/>
    <s v="CECILIA III"/>
    <n v="959621"/>
    <n v="22"/>
    <x v="0"/>
    <n v="247.91"/>
    <n v="158.114"/>
  </r>
  <r>
    <n v="823"/>
    <d v="2019-03-05T00:00:00"/>
    <s v="Industrial (CESION LTP)"/>
    <s v="CECILIA III"/>
    <n v="959621"/>
    <n v="22"/>
    <x v="1"/>
    <n v="837.27800000000002"/>
    <n v="927.07399999999996"/>
  </r>
  <r>
    <n v="1198"/>
    <d v="2019-03-29T00:00:00"/>
    <s v="Industrial (CESION LTP)"/>
    <s v="CECILIA III"/>
    <n v="959621"/>
    <n v="22"/>
    <x v="0"/>
    <n v="150"/>
    <n v="137.524"/>
  </r>
  <r>
    <n v="1198"/>
    <d v="2019-03-29T00:00:00"/>
    <s v="Industrial (CESION LTP)"/>
    <s v="CECILIA III"/>
    <n v="959621"/>
    <n v="22"/>
    <x v="1"/>
    <n v="3"/>
    <n v="15.476000000000001"/>
  </r>
  <r>
    <n v="823"/>
    <d v="2019-03-05T00:00:00"/>
    <s v="Industrial (CESION LTP)"/>
    <s v="SANDRITA I"/>
    <n v="964861"/>
    <n v="22"/>
    <x v="0"/>
    <n v="347.07400000000001"/>
    <n v="288.13799999999998"/>
  </r>
  <r>
    <n v="823"/>
    <d v="2019-03-05T00:00:00"/>
    <s v="Industrial (CESION LTP)"/>
    <s v="SANDRITA I"/>
    <n v="964861"/>
    <n v="22"/>
    <x v="1"/>
    <n v="1172.1880000000001"/>
    <n v="939.17600000000004"/>
  </r>
  <r>
    <n v="1198"/>
    <d v="2019-03-29T00:00:00"/>
    <s v="Industrial (CESION LTP)"/>
    <s v="SANDRITA I"/>
    <n v="964861"/>
    <n v="22"/>
    <x v="0"/>
    <n v="300"/>
    <n v="178.34200000000001"/>
  </r>
  <r>
    <n v="1198"/>
    <d v="2019-03-29T00:00:00"/>
    <s v="Industrial (CESION LTP)"/>
    <s v="SANDRITA I"/>
    <n v="964861"/>
    <n v="22"/>
    <x v="1"/>
    <n v="6"/>
    <n v="67.897999999999996"/>
  </r>
  <r>
    <n v="2201"/>
    <d v="2019-06-19T00:00:00"/>
    <s v="Industrial (CESION LTP)"/>
    <s v="SANDRITA I"/>
    <n v="964861"/>
    <n v="22"/>
    <x v="0"/>
    <n v="191.268"/>
    <m/>
  </r>
  <r>
    <n v="2201"/>
    <d v="2019-06-19T00:00:00"/>
    <s v="Industrial (CESION LTP)"/>
    <s v="SANDRITA I"/>
    <n v="964861"/>
    <n v="22"/>
    <x v="1"/>
    <n v="297.64800000000002"/>
    <m/>
  </r>
  <r>
    <n v="794"/>
    <d v="2019-02-20T00:00:00"/>
    <s v="Industrial (CESION LTP)"/>
    <s v="MARBELLA II"/>
    <n v="966093"/>
    <n v="22"/>
    <x v="0"/>
    <n v="10"/>
    <n v="40.33"/>
  </r>
  <r>
    <n v="794"/>
    <d v="2019-02-20T00:00:00"/>
    <s v="Industrial (CESION LTP)"/>
    <s v="MARBELLA II"/>
    <n v="966093"/>
    <n v="22"/>
    <x v="1"/>
    <n v="100"/>
    <n v="69.67"/>
  </r>
  <r>
    <n v="823"/>
    <d v="2019-03-05T00:00:00"/>
    <s v="Industrial (CESION LTP)"/>
    <s v="INTREPIDA II"/>
    <n v="967535"/>
    <n v="22"/>
    <x v="0"/>
    <n v="99.164000000000001"/>
    <n v="96.484999999999999"/>
  </r>
  <r>
    <n v="823"/>
    <d v="2019-03-05T00:00:00"/>
    <s v="Industrial (CESION LTP)"/>
    <s v="INTREPIDA II"/>
    <n v="967535"/>
    <n v="22"/>
    <x v="1"/>
    <n v="334.911"/>
    <n v="337.59"/>
  </r>
  <r>
    <n v="1198"/>
    <d v="2019-03-29T00:00:00"/>
    <s v="Industrial (CESION LTP)"/>
    <s v="INTREPIDA II"/>
    <n v="967535"/>
    <n v="22"/>
    <x v="0"/>
    <n v="0"/>
    <m/>
  </r>
  <r>
    <n v="1198"/>
    <d v="2019-03-29T00:00:00"/>
    <s v="Industrial (CESION LTP)"/>
    <s v="INTREPIDA II"/>
    <n v="967535"/>
    <n v="22"/>
    <x v="1"/>
    <n v="0"/>
    <m/>
  </r>
  <r>
    <n v="1638"/>
    <d v="2019-04-30T00:00:00"/>
    <s v="Industrial (CESION LTP)"/>
    <s v="YEYA I"/>
    <n v="960054"/>
    <n v="24"/>
    <x v="0"/>
    <n v="10"/>
    <m/>
  </r>
  <r>
    <n v="1638"/>
    <d v="2019-04-30T00:00:00"/>
    <s v="Industrial (CESION LTP)"/>
    <s v="YEYA I"/>
    <n v="960054"/>
    <n v="24"/>
    <x v="1"/>
    <n v="90"/>
    <m/>
  </r>
  <r>
    <n v="1108"/>
    <d v="2019-03-29T00:00:00"/>
    <s v="Industrial (CESION LTP)"/>
    <s v="FLORENCIA"/>
    <n v="950995"/>
    <n v="25"/>
    <x v="0"/>
    <n v="130"/>
    <n v="108.03100000000001"/>
  </r>
  <r>
    <n v="1108"/>
    <d v="2019-03-29T00:00:00"/>
    <s v="Industrial (CESION LTP)"/>
    <s v="FLORENCIA"/>
    <n v="950995"/>
    <n v="25"/>
    <x v="1"/>
    <n v="110"/>
    <n v="131.96899999999999"/>
  </r>
  <r>
    <n v="1107"/>
    <d v="2019-03-29T00:00:00"/>
    <s v="Industrial (CESION LTP)"/>
    <s v="KORMORAN 2DO"/>
    <n v="959982"/>
    <n v="25"/>
    <x v="0"/>
    <n v="132.22300000000001"/>
    <n v="203.25899999999999"/>
  </r>
  <r>
    <n v="1107"/>
    <d v="2019-03-29T00:00:00"/>
    <s v="Industrial (CESION LTP)"/>
    <s v="KORMORAN 2DO"/>
    <n v="959982"/>
    <n v="25"/>
    <x v="1"/>
    <n v="446.54899999999998"/>
    <n v="375.51299999999998"/>
  </r>
  <r>
    <n v="2367"/>
    <d v="2019-07-01T00:00:00"/>
    <s v="Industrial (CESION LTP)"/>
    <s v="KORMORAN 2DO"/>
    <n v="959982"/>
    <n v="25"/>
    <x v="0"/>
    <n v="187"/>
    <m/>
  </r>
  <r>
    <n v="2367"/>
    <d v="2019-07-01T00:00:00"/>
    <s v="Industrial (CESION LTP)"/>
    <s v="KORMORAN 2DO"/>
    <n v="959982"/>
    <n v="25"/>
    <x v="1"/>
    <n v="125"/>
    <m/>
  </r>
  <r>
    <n v="1107"/>
    <d v="2019-03-29T00:00:00"/>
    <s v="Industrial (CESION LTP)"/>
    <s v="ARMANDO S"/>
    <n v="962899"/>
    <n v="25"/>
    <x v="0"/>
    <n v="132.22300000000001"/>
    <n v="206.24799999999999"/>
  </r>
  <r>
    <n v="1107"/>
    <d v="2019-03-29T00:00:00"/>
    <s v="Industrial (CESION LTP)"/>
    <s v="ARMANDO S"/>
    <n v="962899"/>
    <n v="25"/>
    <x v="1"/>
    <n v="446.54899999999998"/>
    <n v="372.21"/>
  </r>
  <r>
    <n v="2367"/>
    <d v="2019-07-01T00:00:00"/>
    <s v="Industrial (CESION LTP)"/>
    <s v="ARMANDO S"/>
    <n v="962899"/>
    <n v="25"/>
    <x v="0"/>
    <n v="187"/>
    <m/>
  </r>
  <r>
    <n v="2367"/>
    <d v="2019-07-01T00:00:00"/>
    <s v="Industrial (CESION LTP)"/>
    <s v="ARMANDO S"/>
    <n v="962899"/>
    <n v="25"/>
    <x v="1"/>
    <n v="125"/>
    <m/>
  </r>
  <r>
    <n v="2053"/>
    <d v="2019-05-28T00:00:00"/>
    <s v="Industrial (CESION LTP)"/>
    <s v="DON PEDRO M"/>
    <n v="902723"/>
    <n v="27"/>
    <x v="0"/>
    <n v="20"/>
    <m/>
  </r>
  <r>
    <n v="2053"/>
    <d v="2019-05-28T00:00:00"/>
    <s v="Industrial (CESION LTP)"/>
    <s v="DON PEDRO M"/>
    <n v="902723"/>
    <n v="27"/>
    <x v="1"/>
    <n v="200"/>
    <m/>
  </r>
  <r>
    <n v="2053"/>
    <d v="2019-05-28T00:00:00"/>
    <s v="Industrial (CESION LTP)"/>
    <s v="MESANA"/>
    <n v="963482"/>
    <n v="27"/>
    <x v="0"/>
    <n v="10"/>
    <m/>
  </r>
  <r>
    <n v="2053"/>
    <d v="2019-05-28T00:00:00"/>
    <s v="Industrial (CESION LTP)"/>
    <s v="MESANA"/>
    <n v="963482"/>
    <n v="27"/>
    <x v="1"/>
    <n v="200"/>
    <m/>
  </r>
  <r>
    <n v="1198"/>
    <d v="2019-03-29T00:00:00"/>
    <s v="Industrial (CESION LTP)"/>
    <s v="EMELINDA"/>
    <n v="31292"/>
    <n v="29"/>
    <x v="0"/>
    <n v="196"/>
    <n v="151.477"/>
  </r>
  <r>
    <n v="1198"/>
    <d v="2019-03-29T00:00:00"/>
    <s v="Industrial (CESION LTP)"/>
    <s v="EMELINDA"/>
    <n v="31292"/>
    <n v="29"/>
    <x v="1"/>
    <n v="4"/>
    <n v="48.493000000000002"/>
  </r>
  <r>
    <n v="1528"/>
    <d v="2019-04-23T00:00:00"/>
    <s v="Industrial (CESION LTP)"/>
    <s v="TIO CHITO"/>
    <n v="910624"/>
    <n v="29"/>
    <x v="0"/>
    <n v="20"/>
    <n v="88.003"/>
  </r>
  <r>
    <n v="1528"/>
    <d v="2019-04-23T00:00:00"/>
    <s v="Industrial (CESION LTP)"/>
    <s v="TIO CHITO"/>
    <n v="910624"/>
    <n v="29"/>
    <x v="1"/>
    <n v="200"/>
    <n v="103.05800000000001"/>
  </r>
  <r>
    <n v="2139"/>
    <d v="2019-06-11T00:00:00"/>
    <s v="Industrial (CESION LTP)"/>
    <s v="TIO CHITO"/>
    <n v="910624"/>
    <n v="29"/>
    <x v="0"/>
    <n v="40"/>
    <n v="76.707999999999998"/>
  </r>
  <r>
    <n v="2139"/>
    <d v="2019-06-11T00:00:00"/>
    <s v="Industrial (CESION LTP)"/>
    <s v="TIO CHITO"/>
    <n v="910624"/>
    <n v="29"/>
    <x v="1"/>
    <n v="200"/>
    <n v="46.212000000000003"/>
  </r>
  <r>
    <n v="14"/>
    <d v="2019-02-27T00:00:00"/>
    <s v="Artesanal"/>
    <s v="YENNY"/>
    <n v="950918"/>
    <n v="29"/>
    <x v="0"/>
    <n v="14.39"/>
    <m/>
  </r>
  <r>
    <n v="14"/>
    <d v="2019-02-27T00:00:00"/>
    <s v="Artesanal"/>
    <s v="YENNY"/>
    <n v="950918"/>
    <n v="29"/>
    <x v="1"/>
    <n v="48.85"/>
    <m/>
  </r>
  <r>
    <n v="1528"/>
    <d v="2019-04-23T00:00:00"/>
    <s v="Industrial (CESION LTP)"/>
    <s v="CAPELLO"/>
    <n v="954062"/>
    <n v="29"/>
    <x v="0"/>
    <n v="20"/>
    <n v="164.23099999999999"/>
  </r>
  <r>
    <n v="1528"/>
    <d v="2019-04-23T00:00:00"/>
    <s v="Industrial (CESION LTP)"/>
    <s v="CAPELLO"/>
    <n v="954062"/>
    <n v="29"/>
    <x v="1"/>
    <n v="400"/>
    <n v="255.76900000000001"/>
  </r>
  <r>
    <n v="2139"/>
    <d v="2019-06-11T00:00:00"/>
    <s v="Industrial (CESION LTP)"/>
    <s v="CAPELLO"/>
    <n v="954062"/>
    <n v="29"/>
    <x v="0"/>
    <n v="30"/>
    <n v="156.626"/>
  </r>
  <r>
    <n v="2139"/>
    <d v="2019-06-11T00:00:00"/>
    <s v="Industrial (CESION LTP)"/>
    <s v="CAPELLO"/>
    <n v="954062"/>
    <n v="29"/>
    <x v="1"/>
    <n v="160"/>
    <n v="33.374000000000002"/>
  </r>
  <r>
    <n v="1462"/>
    <d v="2019-04-17T00:00:00"/>
    <s v="Industrial (CESION LTP)"/>
    <s v="HURACAN I"/>
    <n v="952296"/>
    <n v="30"/>
    <x v="0"/>
    <n v="157"/>
    <n v="157"/>
  </r>
  <r>
    <n v="1462"/>
    <d v="2019-04-17T00:00:00"/>
    <s v="Industrial (CESION LTP)"/>
    <s v="HURACAN I"/>
    <n v="952296"/>
    <n v="30"/>
    <x v="1"/>
    <n v="429"/>
    <n v="415.92599999999999"/>
  </r>
  <r>
    <n v="2140"/>
    <d v="2019-06-11T00:00:00"/>
    <s v="Industrial (CESION LTP)"/>
    <s v="HURACAN I"/>
    <n v="952296"/>
    <n v="30"/>
    <x v="0"/>
    <n v="29"/>
    <m/>
  </r>
  <r>
    <n v="2140"/>
    <d v="2019-06-11T00:00:00"/>
    <s v="Industrial (CESION LTP)"/>
    <s v="HURACAN I"/>
    <n v="952296"/>
    <n v="30"/>
    <x v="1"/>
    <n v="48"/>
    <m/>
  </r>
  <r>
    <n v="24"/>
    <d v="2019-03-08T00:00:00"/>
    <s v="Artesanal"/>
    <s v="SOCOROMA II"/>
    <n v="954241"/>
    <n v="30"/>
    <x v="0"/>
    <n v="45"/>
    <n v="45"/>
  </r>
  <r>
    <n v="24"/>
    <d v="2019-03-08T00:00:00"/>
    <s v="Artesanal"/>
    <s v="SOCOROMA II"/>
    <n v="954241"/>
    <n v="30"/>
    <x v="1"/>
    <n v="155"/>
    <n v="155"/>
  </r>
  <r>
    <n v="1594"/>
    <d v="2019-04-26T00:00:00"/>
    <s v="Industrial (CESION LTP)"/>
    <s v="SOCOROMA II"/>
    <n v="954241"/>
    <n v="30"/>
    <x v="0"/>
    <n v="47"/>
    <n v="125.095"/>
  </r>
  <r>
    <n v="1594"/>
    <d v="2019-04-26T00:00:00"/>
    <s v="Industrial (CESION LTP)"/>
    <s v="SOCOROMA II"/>
    <n v="954241"/>
    <n v="30"/>
    <x v="1"/>
    <n v="253"/>
    <n v="174.905"/>
  </r>
  <r>
    <n v="97"/>
    <d v="2019-05-29T00:00:00"/>
    <s v="Artesanal"/>
    <s v="CANDELARIA"/>
    <n v="966345"/>
    <n v="30"/>
    <x v="0"/>
    <n v="30.5"/>
    <n v="25.550999999999998"/>
  </r>
  <r>
    <n v="97"/>
    <d v="2019-05-29T00:00:00"/>
    <s v="Artesanal"/>
    <s v="CANDELARIA"/>
    <n v="966345"/>
    <n v="30"/>
    <x v="1"/>
    <n v="107"/>
    <n v="107"/>
  </r>
  <r>
    <n v="1594"/>
    <d v="2019-04-26T00:00:00"/>
    <s v="Industrial (CESION LTP)"/>
    <s v="CANDELARIA"/>
    <n v="966345"/>
    <n v="30"/>
    <x v="0"/>
    <n v="47"/>
    <n v="120"/>
  </r>
  <r>
    <n v="1594"/>
    <d v="2019-04-26T00:00:00"/>
    <s v="Industrial (CESION LTP)"/>
    <s v="CANDELARIA"/>
    <n v="966345"/>
    <n v="30"/>
    <x v="1"/>
    <n v="253"/>
    <n v="180"/>
  </r>
  <r>
    <n v="1462"/>
    <d v="2019-04-17T00:00:00"/>
    <s v="Industrial (CESION LTP)"/>
    <s v="LA VICTORIA"/>
    <n v="967435"/>
    <n v="30"/>
    <x v="0"/>
    <n v="158"/>
    <n v="290.61599999999999"/>
  </r>
  <r>
    <n v="1462"/>
    <d v="2019-04-17T00:00:00"/>
    <s v="Industrial (CESION LTP)"/>
    <s v="LA VICTORIA"/>
    <n v="967435"/>
    <n v="30"/>
    <x v="1"/>
    <n v="429"/>
    <n v="165.47399999999999"/>
  </r>
  <r>
    <n v="2140"/>
    <d v="2019-06-11T00:00:00"/>
    <s v="Industrial (CESION LTP)"/>
    <s v="LA VICTORIA"/>
    <n v="967435"/>
    <n v="30"/>
    <x v="0"/>
    <n v="29"/>
    <m/>
  </r>
  <r>
    <n v="2140"/>
    <d v="2019-06-11T00:00:00"/>
    <s v="Industrial (CESION LTP)"/>
    <s v="LA VICTORIA"/>
    <n v="967435"/>
    <n v="30"/>
    <x v="1"/>
    <n v="46"/>
    <m/>
  </r>
  <r>
    <n v="795"/>
    <d v="2019-02-28T00:00:00"/>
    <s v="Industrial (CESION LTP)"/>
    <s v="LAUCA"/>
    <n v="956236"/>
    <n v="33"/>
    <x v="0"/>
    <n v="10"/>
    <n v="10"/>
  </r>
  <r>
    <n v="795"/>
    <d v="2019-02-28T00:00:00"/>
    <s v="Industrial (CESION LTP)"/>
    <s v="LAUCA"/>
    <n v="956236"/>
    <n v="33"/>
    <x v="1"/>
    <n v="26"/>
    <n v="26"/>
  </r>
  <r>
    <n v="795"/>
    <d v="2019-02-28T00:00:00"/>
    <s v="Industrial (CESION LTP)"/>
    <s v="YAGAN"/>
    <n v="964451"/>
    <n v="33"/>
    <x v="0"/>
    <n v="10"/>
    <n v="6.9660000000000002"/>
  </r>
  <r>
    <n v="795"/>
    <d v="2019-02-28T00:00:00"/>
    <s v="Industrial (CESION LTP)"/>
    <s v="YAGAN"/>
    <n v="964451"/>
    <n v="33"/>
    <x v="1"/>
    <n v="27"/>
    <n v="30.033999999999999"/>
  </r>
  <r>
    <n v="1462"/>
    <d v="2019-04-17T00:00:00"/>
    <s v="Industrial (CESION LTP)"/>
    <s v="TAMARUGAL"/>
    <n v="966129"/>
    <n v="33"/>
    <x v="0"/>
    <n v="143"/>
    <n v="65.962000000000003"/>
  </r>
  <r>
    <n v="1462"/>
    <d v="2019-04-17T00:00:00"/>
    <s v="Industrial (CESION LTP)"/>
    <s v="TAMARUGAL"/>
    <n v="966129"/>
    <n v="33"/>
    <x v="1"/>
    <n v="387"/>
    <n v="200.50399999999999"/>
  </r>
  <r>
    <n v="2053"/>
    <d v="2019-05-28T00:00:00"/>
    <s v="Industrial (CESION LTP)"/>
    <s v="CRISTIAN GUILLERMO"/>
    <n v="951259"/>
    <n v="34"/>
    <x v="0"/>
    <n v="20"/>
    <n v="65.03"/>
  </r>
  <r>
    <n v="2053"/>
    <d v="2019-05-28T00:00:00"/>
    <s v="Industrial (CESION LTP)"/>
    <s v="CRISTIAN GUILLERMO"/>
    <n v="951259"/>
    <n v="34"/>
    <x v="1"/>
    <n v="200"/>
    <n v="5.61"/>
  </r>
  <r>
    <n v="1594"/>
    <d v="2019-04-26T00:00:00"/>
    <s v="Industrial (CESION LTP)"/>
    <s v="KIPPERNES"/>
    <n v="922993"/>
    <n v="35"/>
    <x v="0"/>
    <n v="109"/>
    <n v="179.37899999999999"/>
  </r>
  <r>
    <n v="1594"/>
    <d v="2019-04-26T00:00:00"/>
    <s v="Industrial (CESION LTP)"/>
    <s v="KIPPERNES"/>
    <n v="922993"/>
    <n v="35"/>
    <x v="1"/>
    <n v="591"/>
    <n v="278.64999999999998"/>
  </r>
  <r>
    <n v="1594"/>
    <d v="2019-04-26T00:00:00"/>
    <s v="Industrial (CESION LTP)"/>
    <s v="SOFIA-A"/>
    <n v="960545"/>
    <n v="35"/>
    <x v="0"/>
    <n v="109"/>
    <n v="148.483"/>
  </r>
  <r>
    <n v="1594"/>
    <d v="2019-04-26T00:00:00"/>
    <s v="Industrial (CESION LTP)"/>
    <s v="SOFIA-A"/>
    <n v="960545"/>
    <n v="35"/>
    <x v="1"/>
    <n v="591"/>
    <n v="129.33000000000001"/>
  </r>
  <r>
    <n v="1594"/>
    <d v="2019-04-26T00:00:00"/>
    <s v="Industrial (CESION LTP)"/>
    <s v="RIO MAIPO II"/>
    <n v="960658"/>
    <n v="35"/>
    <x v="0"/>
    <n v="39"/>
    <n v="65.100999999999999"/>
  </r>
  <r>
    <n v="1594"/>
    <d v="2019-04-26T00:00:00"/>
    <s v="Industrial (CESION LTP)"/>
    <s v="RIO MAIPO II"/>
    <n v="960658"/>
    <n v="35"/>
    <x v="1"/>
    <n v="211"/>
    <n v="79.239000000000004"/>
  </r>
  <r>
    <n v="2201"/>
    <d v="2019-06-19T00:00:00"/>
    <s v="Industrial (CESION LTP)"/>
    <s v="RIO MAIPO II"/>
    <n v="960658"/>
    <n v="35"/>
    <x v="0"/>
    <n v="163"/>
    <n v="70.777000000000001"/>
  </r>
  <r>
    <n v="2201"/>
    <d v="2019-06-19T00:00:00"/>
    <s v="Industrial (CESION LTP)"/>
    <s v="RIO MAIPO II"/>
    <n v="960658"/>
    <n v="35"/>
    <x v="1"/>
    <n v="37"/>
    <n v="23.887"/>
  </r>
  <r>
    <n v="2053"/>
    <d v="2019-05-28T00:00:00"/>
    <s v="Industrial (CESION LTP)"/>
    <s v="DON MATIAS J"/>
    <n v="953085"/>
    <n v="36"/>
    <x v="0"/>
    <n v="10"/>
    <m/>
  </r>
  <r>
    <n v="2053"/>
    <d v="2019-05-28T00:00:00"/>
    <s v="Industrial (CESION LTP)"/>
    <s v="DON MATIAS J"/>
    <n v="953085"/>
    <n v="36"/>
    <x v="1"/>
    <n v="100"/>
    <m/>
  </r>
  <r>
    <n v="794"/>
    <d v="2019-02-20T00:00:00"/>
    <s v="Industrial (CESION LTP)"/>
    <s v="CAYUMANQUI"/>
    <n v="954711"/>
    <n v="36"/>
    <x v="0"/>
    <n v="10"/>
    <m/>
  </r>
  <r>
    <n v="794"/>
    <d v="2019-02-20T00:00:00"/>
    <s v="Industrial (CESION LTP)"/>
    <s v="CAYUMANQUI"/>
    <n v="954711"/>
    <n v="36"/>
    <x v="1"/>
    <n v="100"/>
    <n v="83.204999999999998"/>
  </r>
  <r>
    <n v="76"/>
    <d v="2019-05-16T00:00:00"/>
    <s v="Artesanal"/>
    <s v="DON PEDRO I"/>
    <n v="955486"/>
    <n v="36"/>
    <x v="0"/>
    <n v="30"/>
    <m/>
  </r>
  <r>
    <n v="76"/>
    <d v="2019-05-16T00:00:00"/>
    <s v="Artesanal"/>
    <s v="DON PEDRO I"/>
    <n v="955486"/>
    <n v="36"/>
    <x v="1"/>
    <n v="62"/>
    <m/>
  </r>
  <r>
    <n v="847"/>
    <d v="2019-03-06T00:00:00"/>
    <s v="Industrial (CESION LTP)"/>
    <s v="DON PEDRO I"/>
    <n v="955486"/>
    <n v="36"/>
    <x v="0"/>
    <n v="20"/>
    <n v="11.871"/>
  </r>
  <r>
    <n v="847"/>
    <d v="2019-03-06T00:00:00"/>
    <s v="Industrial (CESION LTP)"/>
    <s v="DON PEDRO I"/>
    <n v="955486"/>
    <n v="36"/>
    <x v="1"/>
    <n v="110"/>
    <n v="118.129"/>
  </r>
  <r>
    <n v="2053"/>
    <d v="2019-05-28T00:00:00"/>
    <s v="Industrial (CESION LTP)"/>
    <s v="DON PEDRO I"/>
    <n v="955486"/>
    <n v="36"/>
    <x v="0"/>
    <n v="10"/>
    <n v="58.097000000000001"/>
  </r>
  <r>
    <n v="2053"/>
    <d v="2019-05-28T00:00:00"/>
    <s v="Industrial (CESION LTP)"/>
    <s v="DON PEDRO I"/>
    <n v="955486"/>
    <n v="36"/>
    <x v="1"/>
    <n v="140"/>
    <n v="91.903000000000006"/>
  </r>
  <r>
    <n v="2257"/>
    <d v="2019-06-21T00:00:00"/>
    <s v="Artesanal"/>
    <s v="DON PEDRO I"/>
    <n v="955486"/>
    <n v="36"/>
    <x v="0"/>
    <n v="50"/>
    <n v="29.055"/>
  </r>
  <r>
    <n v="2257"/>
    <d v="2019-06-21T00:00:00"/>
    <s v="Artesanal"/>
    <s v="DON PEDRO I"/>
    <n v="955486"/>
    <n v="36"/>
    <x v="1"/>
    <n v="80"/>
    <n v="43.42"/>
  </r>
  <r>
    <n v="2397"/>
    <d v="2019-07-03T00:00:00"/>
    <s v="Industrial (CESION LTP)"/>
    <s v="DON PEDRO I"/>
    <n v="955486"/>
    <n v="36"/>
    <x v="0"/>
    <n v="30.617000000000001"/>
    <m/>
  </r>
  <r>
    <n v="2397"/>
    <d v="2019-07-03T00:00:00"/>
    <s v="Industrial (CESION LTP)"/>
    <s v="DON PEDRO I"/>
    <n v="955486"/>
    <n v="36"/>
    <x v="1"/>
    <n v="119.226"/>
    <m/>
  </r>
  <r>
    <n v="795"/>
    <d v="2019-02-28T00:00:00"/>
    <s v="Industrial (CESION LTP)"/>
    <s v="CAMILA DAVID"/>
    <n v="958067"/>
    <n v="36"/>
    <x v="0"/>
    <n v="19"/>
    <m/>
  </r>
  <r>
    <n v="795"/>
    <d v="2019-02-28T00:00:00"/>
    <s v="Industrial (CESION LTP)"/>
    <s v="CAMILA DAVID"/>
    <n v="958067"/>
    <n v="36"/>
    <x v="1"/>
    <n v="50"/>
    <n v="69"/>
  </r>
  <r>
    <n v="1638"/>
    <d v="2019-04-30T00:00:00"/>
    <s v="Industrial (CESION LTP)"/>
    <s v="PATRICK JOAQUIN"/>
    <n v="967174"/>
    <n v="36"/>
    <x v="0"/>
    <n v="20"/>
    <m/>
  </r>
  <r>
    <n v="1638"/>
    <d v="2019-04-30T00:00:00"/>
    <s v="Industrial (CESION LTP)"/>
    <s v="PATRICK JOAQUIN"/>
    <n v="967174"/>
    <n v="36"/>
    <x v="1"/>
    <n v="80"/>
    <m/>
  </r>
  <r>
    <n v="1048"/>
    <d v="2019-03-22T00:00:00"/>
    <s v="Industrial (CESION LTP)"/>
    <s v="ANSELMO I"/>
    <n v="954552"/>
    <n v="37"/>
    <x v="0"/>
    <n v="34.136000000000003"/>
    <n v="18.198"/>
  </r>
  <r>
    <n v="1048"/>
    <d v="2019-03-22T00:00:00"/>
    <s v="Industrial (CESION LTP)"/>
    <s v="ANSELMO I"/>
    <n v="954552"/>
    <n v="37"/>
    <x v="1"/>
    <n v="72.537999999999997"/>
    <n v="87.841999999999999"/>
  </r>
  <r>
    <n v="1048"/>
    <d v="2019-03-22T00:00:00"/>
    <s v="Industrial (CESION LTP)"/>
    <s v="DON LUIS ALBERTO"/>
    <n v="956044"/>
    <n v="37"/>
    <x v="0"/>
    <n v="34.136000000000003"/>
    <n v="17.001000000000001"/>
  </r>
  <r>
    <n v="1048"/>
    <d v="2019-03-22T00:00:00"/>
    <s v="Industrial (CESION LTP)"/>
    <s v="DON LUIS ALBERTO"/>
    <n v="956044"/>
    <n v="37"/>
    <x v="1"/>
    <n v="72.537999999999997"/>
    <n v="89.602999999999994"/>
  </r>
  <r>
    <n v="1188"/>
    <d v="2019-03-29T00:00:00"/>
    <s v="Industrial (CESION LTP)"/>
    <s v="DON LUIS ALBERTO"/>
    <n v="956044"/>
    <n v="37"/>
    <x v="0"/>
    <n v="131.80000000000001"/>
    <n v="152.63999999999999"/>
  </r>
  <r>
    <n v="1188"/>
    <d v="2019-03-29T00:00:00"/>
    <s v="Industrial (CESION LTP)"/>
    <s v="DON LUIS ALBERTO"/>
    <n v="956044"/>
    <n v="37"/>
    <x v="1"/>
    <n v="254.8"/>
    <n v="233.88"/>
  </r>
  <r>
    <n v="2105"/>
    <d v="2019-06-07T00:00:00"/>
    <s v="Industrial (CESION LTP)"/>
    <s v="DON LUIS ALBERTO"/>
    <n v="956044"/>
    <n v="37"/>
    <x v="0"/>
    <n v="63.6"/>
    <m/>
  </r>
  <r>
    <n v="2105"/>
    <d v="2019-06-07T00:00:00"/>
    <s v="Industrial (CESION LTP)"/>
    <s v="DON LUIS ALBERTO"/>
    <n v="956044"/>
    <n v="37"/>
    <x v="1"/>
    <n v="56.7"/>
    <m/>
  </r>
  <r>
    <n v="2140"/>
    <d v="2019-06-11T00:00:00"/>
    <s v="Industrial (CESION LTP)"/>
    <s v="RIEKA I"/>
    <n v="955809"/>
    <n v="38"/>
    <x v="0"/>
    <n v="67"/>
    <m/>
  </r>
  <r>
    <n v="2140"/>
    <d v="2019-06-11T00:00:00"/>
    <s v="Industrial (CESION LTP)"/>
    <s v="RIEKA I"/>
    <n v="955809"/>
    <n v="38"/>
    <x v="1"/>
    <n v="81"/>
    <m/>
  </r>
  <r>
    <n v="795"/>
    <d v="2019-02-28T00:00:00"/>
    <s v="Industrial (CESION LTP)"/>
    <s v="DOÑA SOFIA I"/>
    <n v="964621"/>
    <n v="38"/>
    <x v="0"/>
    <n v="12"/>
    <n v="7.7779999999999996"/>
  </r>
  <r>
    <n v="795"/>
    <d v="2019-02-28T00:00:00"/>
    <s v="Industrial (CESION LTP)"/>
    <s v="DOÑA SOFIA I"/>
    <n v="964621"/>
    <n v="38"/>
    <x v="1"/>
    <n v="32"/>
    <n v="36.222000000000001"/>
  </r>
  <r>
    <n v="1462"/>
    <d v="2019-04-17T00:00:00"/>
    <s v="Industrial (CESION LTP)"/>
    <s v="DOÑA SOFIA I"/>
    <n v="964621"/>
    <n v="38"/>
    <x v="0"/>
    <n v="88"/>
    <n v="34.68"/>
  </r>
  <r>
    <n v="1462"/>
    <d v="2019-04-17T00:00:00"/>
    <s v="Industrial (CESION LTP)"/>
    <s v="DOÑA SOFIA I"/>
    <n v="964621"/>
    <n v="38"/>
    <x v="1"/>
    <n v="239"/>
    <n v="290.85500000000002"/>
  </r>
  <r>
    <n v="2053"/>
    <d v="2019-05-28T00:00:00"/>
    <s v="Industrial (CESION LTP)"/>
    <s v="YOSHIRA"/>
    <n v="953884"/>
    <n v="40"/>
    <x v="0"/>
    <n v="20"/>
    <m/>
  </r>
  <r>
    <n v="2053"/>
    <d v="2019-05-28T00:00:00"/>
    <s v="Industrial (CESION LTP)"/>
    <s v="YOSHIRA"/>
    <n v="953884"/>
    <n v="40"/>
    <x v="1"/>
    <n v="200"/>
    <m/>
  </r>
  <r>
    <n v="1528"/>
    <d v="2019-04-23T00:00:00"/>
    <s v="Industrial (CESION LTP)"/>
    <s v="NAGASAKI"/>
    <n v="966858"/>
    <n v="40"/>
    <x v="0"/>
    <n v="20"/>
    <n v="61.924999999999997"/>
  </r>
  <r>
    <n v="1528"/>
    <d v="2019-04-23T00:00:00"/>
    <s v="Industrial (CESION LTP)"/>
    <s v="NAGASAKI"/>
    <n v="966858"/>
    <n v="40"/>
    <x v="1"/>
    <n v="200"/>
    <n v="158.07499999999999"/>
  </r>
  <r>
    <n v="2139"/>
    <d v="2019-06-11T00:00:00"/>
    <s v="Industrial (CESION LTP)"/>
    <s v="NAGASAKI"/>
    <n v="966858"/>
    <n v="40"/>
    <x v="0"/>
    <n v="30"/>
    <n v="86.727000000000004"/>
  </r>
  <r>
    <n v="2139"/>
    <d v="2019-06-11T00:00:00"/>
    <s v="Industrial (CESION LTP)"/>
    <s v="NAGASAKI"/>
    <n v="966858"/>
    <n v="40"/>
    <x v="1"/>
    <n v="160"/>
    <n v="82.632999999999996"/>
  </r>
  <r>
    <n v="1594"/>
    <d v="2019-04-26T00:00:00"/>
    <s v="Industrial (CESION LTP)"/>
    <s v="ANDREA C"/>
    <n v="31015"/>
    <n v="41"/>
    <x v="0"/>
    <n v="57"/>
    <n v="56.268000000000001"/>
  </r>
  <r>
    <n v="1594"/>
    <d v="2019-04-26T00:00:00"/>
    <s v="Industrial (CESION LTP)"/>
    <s v="ANDREA C"/>
    <n v="31015"/>
    <n v="41"/>
    <x v="1"/>
    <n v="543"/>
    <n v="19.206"/>
  </r>
  <r>
    <n v="1594"/>
    <d v="2019-04-26T00:00:00"/>
    <s v="Industrial (CESION LTP)"/>
    <s v="TSUNAMI S"/>
    <n v="966410"/>
    <n v="41"/>
    <x v="0"/>
    <n v="94"/>
    <n v="124.127"/>
  </r>
  <r>
    <n v="1594"/>
    <d v="2019-04-26T00:00:00"/>
    <s v="Industrial (CESION LTP)"/>
    <s v="TSUNAMI S"/>
    <n v="966410"/>
    <n v="41"/>
    <x v="1"/>
    <n v="506"/>
    <n v="72.423000000000002"/>
  </r>
  <r>
    <n v="119"/>
    <d v="2019-07-10T00:00:00"/>
    <s v="Artesanal"/>
    <s v="DOMENICA"/>
    <n v="923199"/>
    <n v="42"/>
    <x v="0"/>
    <n v="1"/>
    <m/>
  </r>
  <r>
    <n v="119"/>
    <d v="2019-07-10T00:00:00"/>
    <s v="Artesanal"/>
    <s v="DOMENICA"/>
    <n v="923199"/>
    <n v="42"/>
    <x v="1"/>
    <n v="89"/>
    <m/>
  </r>
  <r>
    <n v="1110"/>
    <d v="2019-03-29T00:00:00"/>
    <s v="Industrial (CESION LTP)"/>
    <s v="DOMENICA"/>
    <n v="923199"/>
    <n v="42"/>
    <x v="0"/>
    <n v="50"/>
    <n v="44.283999999999999"/>
  </r>
  <r>
    <n v="1110"/>
    <d v="2019-03-29T00:00:00"/>
    <s v="Industrial (CESION LTP)"/>
    <s v="DOMENICA"/>
    <n v="923199"/>
    <n v="42"/>
    <x v="1"/>
    <n v="200"/>
    <n v="205.71600000000001"/>
  </r>
  <r>
    <n v="1574"/>
    <d v="2019-04-26T00:00:00"/>
    <s v="Industrial (CESION LTP)"/>
    <s v="DOMENICA"/>
    <n v="923199"/>
    <n v="42"/>
    <x v="0"/>
    <n v="20"/>
    <n v="39.290999999999997"/>
  </r>
  <r>
    <n v="1574"/>
    <d v="2019-04-26T00:00:00"/>
    <s v="Industrial (CESION LTP)"/>
    <s v="DOMENICA"/>
    <n v="923199"/>
    <n v="42"/>
    <x v="1"/>
    <n v="230"/>
    <n v="210.714"/>
  </r>
  <r>
    <n v="1883"/>
    <d v="2019-05-23T00:00:00"/>
    <s v="Artesanal"/>
    <s v="DOMENICA"/>
    <n v="923199"/>
    <n v="42"/>
    <x v="0"/>
    <n v="100"/>
    <n v="99.765000000000001"/>
  </r>
  <r>
    <n v="1883"/>
    <d v="2019-05-23T00:00:00"/>
    <s v="Artesanal"/>
    <s v="DOMENICA"/>
    <n v="923199"/>
    <n v="42"/>
    <x v="1"/>
    <n v="300"/>
    <n v="335.83"/>
  </r>
  <r>
    <n v="2052"/>
    <d v="2019-05-28T00:00:00"/>
    <s v="Artesanal"/>
    <s v="DOMENICA"/>
    <n v="923199"/>
    <n v="42"/>
    <x v="0"/>
    <n v="87"/>
    <n v="15.272"/>
  </r>
  <r>
    <n v="2052"/>
    <d v="2019-05-28T00:00:00"/>
    <s v="Artesanal"/>
    <s v="DOMENICA"/>
    <n v="923199"/>
    <n v="42"/>
    <x v="1"/>
    <n v="128"/>
    <n v="199.72800000000001"/>
  </r>
  <r>
    <n v="2139"/>
    <d v="2019-06-11T00:00:00"/>
    <s v="Industrial (CESION LTP)"/>
    <s v="DOMENICA"/>
    <n v="923199"/>
    <n v="42"/>
    <x v="0"/>
    <n v="50"/>
    <m/>
  </r>
  <r>
    <n v="2139"/>
    <d v="2019-06-11T00:00:00"/>
    <s v="Industrial (CESION LTP)"/>
    <s v="DOMENICA"/>
    <n v="923199"/>
    <n v="42"/>
    <x v="1"/>
    <n v="250"/>
    <n v="300"/>
  </r>
  <r>
    <n v="117"/>
    <d v="2019-07-09T00:00:00"/>
    <s v="Artesanal"/>
    <s v="VENTISQUERO"/>
    <n v="958905"/>
    <n v="42"/>
    <x v="0"/>
    <n v="1"/>
    <m/>
  </r>
  <r>
    <n v="117"/>
    <d v="2019-07-09T00:00:00"/>
    <s v="Artesanal"/>
    <s v="VENTISQUERO"/>
    <n v="958905"/>
    <n v="42"/>
    <x v="1"/>
    <n v="89"/>
    <m/>
  </r>
  <r>
    <n v="1110"/>
    <d v="2019-03-29T00:00:00"/>
    <s v="Industrial (CESION LTP)"/>
    <s v="RUELI"/>
    <n v="964068"/>
    <n v="42"/>
    <x v="0"/>
    <n v="10"/>
    <n v="13.686999999999999"/>
  </r>
  <r>
    <n v="1110"/>
    <d v="2019-03-29T00:00:00"/>
    <s v="Industrial (CESION LTP)"/>
    <s v="RUELI"/>
    <n v="964068"/>
    <n v="42"/>
    <x v="1"/>
    <n v="100"/>
    <n v="81.947999999999993"/>
  </r>
  <r>
    <n v="2027"/>
    <d v="2019-05-28T00:00:00"/>
    <s v="Artesanal"/>
    <s v="RUELI"/>
    <n v="964068"/>
    <n v="42"/>
    <x v="0"/>
    <n v="25"/>
    <n v="6.4089999999999998"/>
  </r>
  <r>
    <n v="2027"/>
    <d v="2019-05-28T00:00:00"/>
    <s v="Artesanal"/>
    <s v="RUELI"/>
    <n v="964068"/>
    <n v="42"/>
    <x v="1"/>
    <n v="75"/>
    <n v="91.501000000000005"/>
  </r>
  <r>
    <n v="2257"/>
    <d v="2019-06-21T00:00:00"/>
    <s v="Artesanal"/>
    <s v="RUELI"/>
    <n v="964068"/>
    <n v="42"/>
    <x v="0"/>
    <n v="40"/>
    <m/>
  </r>
  <r>
    <n v="2257"/>
    <d v="2019-06-21T00:00:00"/>
    <s v="Artesanal"/>
    <s v="RUELI"/>
    <n v="964068"/>
    <n v="42"/>
    <x v="1"/>
    <n v="40"/>
    <m/>
  </r>
  <r>
    <n v="70"/>
    <d v="2019-05-16T00:00:00"/>
    <s v="Artesanal"/>
    <s v="JOAQUIN ISAAC"/>
    <n v="966875"/>
    <n v="42"/>
    <x v="0"/>
    <n v="27.65"/>
    <n v="52.100999999999999"/>
  </r>
  <r>
    <n v="70"/>
    <d v="2019-05-16T00:00:00"/>
    <s v="Artesanal"/>
    <s v="JOAQUIN ISAAC"/>
    <n v="966875"/>
    <n v="42"/>
    <x v="1"/>
    <n v="77.3"/>
    <n v="29.619"/>
  </r>
  <r>
    <n v="104"/>
    <d v="2019-06-05T00:00:00"/>
    <s v="Artesanal"/>
    <s v="JOAQUIN ISAAC"/>
    <n v="966875"/>
    <n v="42"/>
    <x v="0"/>
    <n v="10"/>
    <m/>
  </r>
  <r>
    <n v="104"/>
    <d v="2019-06-05T00:00:00"/>
    <s v="Artesanal"/>
    <s v="JOAQUIN ISAAC"/>
    <n v="966875"/>
    <n v="42"/>
    <x v="1"/>
    <n v="90"/>
    <m/>
  </r>
  <r>
    <n v="2139"/>
    <d v="2019-06-11T00:00:00"/>
    <s v="Industrial (CESION LTP)"/>
    <s v="JOAQUIN ISAAC"/>
    <n v="966875"/>
    <n v="42"/>
    <x v="0"/>
    <n v="70"/>
    <n v="41.819000000000003"/>
  </r>
  <r>
    <n v="2139"/>
    <d v="2019-06-11T00:00:00"/>
    <s v="Industrial (CESION LTP)"/>
    <s v="JOAQUIN ISAAC"/>
    <n v="966875"/>
    <n v="42"/>
    <x v="1"/>
    <n v="180"/>
    <n v="50.561"/>
  </r>
  <r>
    <n v="2257"/>
    <d v="2019-06-21T00:00:00"/>
    <s v="Artesanal"/>
    <s v="JOAQUIN ISAAC"/>
    <n v="966875"/>
    <n v="42"/>
    <x v="0"/>
    <n v="100"/>
    <m/>
  </r>
  <r>
    <n v="2257"/>
    <d v="2019-06-21T00:00:00"/>
    <s v="Artesanal"/>
    <s v="JOAQUIN ISAAC"/>
    <n v="966875"/>
    <n v="42"/>
    <x v="1"/>
    <n v="60"/>
    <m/>
  </r>
  <r>
    <n v="44"/>
    <d v="2019-04-10T00:00:00"/>
    <s v="Artesanal"/>
    <s v="ENZO NICOLAS I"/>
    <n v="967692"/>
    <n v="42"/>
    <x v="0"/>
    <n v="113.85"/>
    <n v="195.91300000000001"/>
  </r>
  <r>
    <n v="44"/>
    <d v="2019-04-10T00:00:00"/>
    <s v="Artesanal"/>
    <s v="ENZO NICOLAS I"/>
    <n v="967692"/>
    <n v="42"/>
    <x v="1"/>
    <n v="386.35"/>
    <n v="306.08699999999999"/>
  </r>
  <r>
    <n v="93"/>
    <d v="2019-05-27T00:00:00"/>
    <s v="Artesanal"/>
    <s v="ENZO NICOLAS I"/>
    <n v="967692"/>
    <n v="42"/>
    <x v="0"/>
    <n v="110.8"/>
    <n v="35.426000000000002"/>
  </r>
  <r>
    <n v="93"/>
    <d v="2019-05-27T00:00:00"/>
    <s v="Artesanal"/>
    <s v="ENZO NICOLAS I"/>
    <n v="967692"/>
    <n v="42"/>
    <x v="1"/>
    <n v="400.3"/>
    <n v="141.56899999999999"/>
  </r>
  <r>
    <n v="2125"/>
    <d v="2019-06-07T00:00:00"/>
    <s v="Artesanal"/>
    <s v="ENZO NICOLAS I"/>
    <n v="967692"/>
    <n v="42"/>
    <x v="0"/>
    <n v="71"/>
    <m/>
  </r>
  <r>
    <n v="2125"/>
    <d v="2019-06-07T00:00:00"/>
    <s v="Artesanal"/>
    <s v="ENZO NICOLAS I"/>
    <n v="967692"/>
    <n v="42"/>
    <x v="1"/>
    <n v="177"/>
    <m/>
  </r>
  <r>
    <n v="847"/>
    <d v="2019-03-06T00:00:00"/>
    <s v="Industrial (CESION LTP)"/>
    <s v="YOLANDA S"/>
    <n v="963890"/>
    <n v="45"/>
    <x v="0"/>
    <n v="10"/>
    <n v="10"/>
  </r>
  <r>
    <n v="847"/>
    <d v="2019-03-06T00:00:00"/>
    <s v="Industrial (CESION LTP)"/>
    <s v="YOLANDA S"/>
    <n v="963890"/>
    <n v="45"/>
    <x v="1"/>
    <n v="150"/>
    <n v="150"/>
  </r>
  <r>
    <n v="2139"/>
    <d v="2019-06-11T00:00:00"/>
    <s v="Industrial (CESION LTP)"/>
    <s v="YOLANDA S"/>
    <n v="963890"/>
    <n v="45"/>
    <x v="0"/>
    <n v="20"/>
    <n v="0.109"/>
  </r>
  <r>
    <n v="2139"/>
    <d v="2019-06-11T00:00:00"/>
    <s v="Industrial (CESION LTP)"/>
    <s v="YOLANDA S"/>
    <n v="963890"/>
    <n v="45"/>
    <x v="1"/>
    <n v="100"/>
    <n v="5.3209999999999997"/>
  </r>
  <r>
    <n v="1594"/>
    <d v="2019-04-26T00:00:00"/>
    <s v="Industrial (CESION LTP)"/>
    <s v="TURIMAR II"/>
    <n v="31043"/>
    <n v="46"/>
    <x v="0"/>
    <n v="39"/>
    <n v="59.906999999999996"/>
  </r>
  <r>
    <n v="1594"/>
    <d v="2019-04-26T00:00:00"/>
    <s v="Industrial (CESION LTP)"/>
    <s v="TURIMAR II"/>
    <n v="31043"/>
    <n v="46"/>
    <x v="1"/>
    <n v="211"/>
    <n v="92.783000000000001"/>
  </r>
  <r>
    <n v="1594"/>
    <d v="2019-04-26T00:00:00"/>
    <s v="Industrial (CESION LTP)"/>
    <s v="BLANCA ESTELA"/>
    <n v="902767"/>
    <n v="46"/>
    <x v="0"/>
    <n v="16"/>
    <n v="39.570999999999998"/>
  </r>
  <r>
    <n v="1594"/>
    <d v="2019-04-26T00:00:00"/>
    <s v="Industrial (CESION LTP)"/>
    <s v="BLANCA ESTELA"/>
    <n v="902767"/>
    <n v="46"/>
    <x v="1"/>
    <n v="84"/>
    <n v="60.429000000000002"/>
  </r>
  <r>
    <n v="1594"/>
    <d v="2019-04-26T00:00:00"/>
    <s v="Industrial (CESION LTP)"/>
    <s v="TURIMAR III"/>
    <n v="923223"/>
    <n v="46"/>
    <x v="0"/>
    <n v="39"/>
    <n v="96.82"/>
  </r>
  <r>
    <n v="1594"/>
    <d v="2019-04-26T00:00:00"/>
    <s v="Industrial (CESION LTP)"/>
    <s v="TURIMAR III"/>
    <n v="923223"/>
    <n v="46"/>
    <x v="1"/>
    <n v="211"/>
    <n v="101.46299999999999"/>
  </r>
  <r>
    <n v="1462"/>
    <d v="2019-04-17T00:00:00"/>
    <s v="Industrial (CESION LTP)"/>
    <s v="MARICIA"/>
    <n v="39473"/>
    <n v="47"/>
    <x v="0"/>
    <n v="70"/>
    <n v="149.25399999999999"/>
  </r>
  <r>
    <n v="1462"/>
    <d v="2019-04-17T00:00:00"/>
    <s v="Industrial (CESION LTP)"/>
    <s v="MARICIA"/>
    <n v="39473"/>
    <n v="47"/>
    <x v="1"/>
    <n v="190"/>
    <n v="110.746"/>
  </r>
  <r>
    <n v="2140"/>
    <d v="2019-06-11T00:00:00"/>
    <s v="Industrial (CESION LTP)"/>
    <s v="MARICIA"/>
    <n v="39473"/>
    <n v="47"/>
    <x v="0"/>
    <n v="67"/>
    <n v="14.712"/>
  </r>
  <r>
    <n v="2140"/>
    <d v="2019-06-11T00:00:00"/>
    <s v="Industrial (CESION LTP)"/>
    <s v="MARICIA"/>
    <n v="39473"/>
    <n v="47"/>
    <x v="1"/>
    <n v="81"/>
    <n v="50.173000000000002"/>
  </r>
  <r>
    <n v="1462"/>
    <d v="2019-04-17T00:00:00"/>
    <s v="Industrial (CESION LTP)"/>
    <s v="DON ARMANDO"/>
    <n v="922965"/>
    <n v="47"/>
    <x v="0"/>
    <n v="59"/>
    <n v="82.879000000000005"/>
  </r>
  <r>
    <n v="1462"/>
    <d v="2019-04-17T00:00:00"/>
    <s v="Industrial (CESION LTP)"/>
    <s v="DON ARMANDO"/>
    <n v="922965"/>
    <n v="47"/>
    <x v="1"/>
    <n v="160"/>
    <n v="113.161"/>
  </r>
  <r>
    <n v="1594"/>
    <d v="2019-04-26T00:00:00"/>
    <s v="Industrial (CESION LTP)"/>
    <s v="DONCELLA II"/>
    <n v="951919"/>
    <n v="47"/>
    <x v="0"/>
    <n v="16"/>
    <n v="11.609"/>
  </r>
  <r>
    <n v="1594"/>
    <d v="2019-04-26T00:00:00"/>
    <s v="Industrial (CESION LTP)"/>
    <s v="DONCELLA II"/>
    <n v="951919"/>
    <n v="47"/>
    <x v="1"/>
    <n v="84"/>
    <n v="0.251"/>
  </r>
  <r>
    <n v="2053"/>
    <d v="2019-05-28T00:00:00"/>
    <s v="Industrial (CESION LTP)"/>
    <s v="MACEDONIA I"/>
    <n v="952183"/>
    <n v="47"/>
    <x v="0"/>
    <n v="20"/>
    <m/>
  </r>
  <r>
    <n v="2053"/>
    <d v="2019-05-28T00:00:00"/>
    <s v="Industrial (CESION LTP)"/>
    <s v="MACEDONIA I"/>
    <n v="952183"/>
    <n v="47"/>
    <x v="1"/>
    <n v="200"/>
    <m/>
  </r>
  <r>
    <n v="1594"/>
    <d v="2019-04-26T00:00:00"/>
    <s v="Industrial (CESION LTP)"/>
    <s v="PEDRO JOSÉ"/>
    <n v="953992"/>
    <n v="47"/>
    <x v="0"/>
    <n v="55"/>
    <n v="70.391999999999996"/>
  </r>
  <r>
    <n v="1594"/>
    <d v="2019-04-26T00:00:00"/>
    <s v="Industrial (CESION LTP)"/>
    <s v="PEDRO JOSÉ"/>
    <n v="953992"/>
    <n v="47"/>
    <x v="1"/>
    <n v="295"/>
    <n v="32.078000000000003"/>
  </r>
  <r>
    <n v="1594"/>
    <d v="2019-04-26T00:00:00"/>
    <s v="Industrial (CESION LTP)"/>
    <s v="DON MIGUEL"/>
    <n v="954609"/>
    <n v="47"/>
    <x v="0"/>
    <n v="47"/>
    <n v="134.48500000000001"/>
  </r>
  <r>
    <n v="1594"/>
    <d v="2019-04-26T00:00:00"/>
    <s v="Industrial (CESION LTP)"/>
    <s v="DON MIGUEL"/>
    <n v="954609"/>
    <n v="47"/>
    <x v="1"/>
    <n v="253"/>
    <n v="112.61"/>
  </r>
  <r>
    <n v="1594"/>
    <d v="2019-04-26T00:00:00"/>
    <s v="Industrial (CESION LTP)"/>
    <s v="DON MIGUEL II"/>
    <n v="955330"/>
    <n v="47"/>
    <x v="0"/>
    <n v="31"/>
    <n v="89.338999999999999"/>
  </r>
  <r>
    <n v="1594"/>
    <d v="2019-04-26T00:00:00"/>
    <s v="Industrial (CESION LTP)"/>
    <s v="DON MIGUEL II"/>
    <n v="955330"/>
    <n v="47"/>
    <x v="1"/>
    <n v="169"/>
    <n v="72.555999999999997"/>
  </r>
  <r>
    <n v="1594"/>
    <d v="2019-04-26T00:00:00"/>
    <s v="Industrial (CESION LTP)"/>
    <s v="PITUCO"/>
    <n v="955404"/>
    <n v="47"/>
    <x v="0"/>
    <n v="47"/>
    <n v="116.277"/>
  </r>
  <r>
    <n v="1594"/>
    <d v="2019-04-26T00:00:00"/>
    <s v="Industrial (CESION LTP)"/>
    <s v="PITUCO"/>
    <n v="955404"/>
    <n v="47"/>
    <x v="1"/>
    <n v="253"/>
    <n v="98.253"/>
  </r>
  <r>
    <n v="1462"/>
    <d v="2019-04-17T00:00:00"/>
    <s v="Industrial (CESION LTP)"/>
    <s v="ESTURION"/>
    <n v="958085"/>
    <n v="47"/>
    <x v="0"/>
    <n v="47"/>
    <n v="115.929"/>
  </r>
  <r>
    <n v="1462"/>
    <d v="2019-04-17T00:00:00"/>
    <s v="Industrial (CESION LTP)"/>
    <s v="ESTURION"/>
    <n v="958085"/>
    <n v="47"/>
    <x v="1"/>
    <n v="129"/>
    <n v="60.070999999999998"/>
  </r>
  <r>
    <n v="2140"/>
    <d v="2019-06-11T00:00:00"/>
    <s v="Industrial (CESION LTP)"/>
    <s v="ESTURION"/>
    <n v="958085"/>
    <n v="47"/>
    <x v="0"/>
    <n v="67"/>
    <m/>
  </r>
  <r>
    <n v="2140"/>
    <d v="2019-06-11T00:00:00"/>
    <s v="Industrial (CESION LTP)"/>
    <s v="ESTURION"/>
    <n v="958085"/>
    <n v="47"/>
    <x v="1"/>
    <n v="81"/>
    <m/>
  </r>
  <r>
    <n v="2053"/>
    <d v="2019-05-28T00:00:00"/>
    <s v="Industrial (CESION LTP)"/>
    <s v="DOÑA CANDELARIA"/>
    <n v="926664"/>
    <n v="48"/>
    <x v="0"/>
    <n v="20"/>
    <n v="4.0529999999999999"/>
  </r>
  <r>
    <n v="2053"/>
    <d v="2019-05-28T00:00:00"/>
    <s v="Industrial (CESION LTP)"/>
    <s v="DOÑA CANDELARIA"/>
    <n v="926664"/>
    <n v="48"/>
    <x v="1"/>
    <n v="200"/>
    <n v="54.182000000000002"/>
  </r>
  <r>
    <n v="794"/>
    <d v="2019-02-20T00:00:00"/>
    <s v="Industrial (CESION LTP)"/>
    <s v="ISABEL V "/>
    <n v="967223"/>
    <n v="48"/>
    <x v="0"/>
    <n v="10"/>
    <m/>
  </r>
  <r>
    <n v="794"/>
    <d v="2019-02-20T00:00:00"/>
    <s v="Industrial (CESION LTP)"/>
    <s v="ISABEL V "/>
    <n v="967223"/>
    <n v="48"/>
    <x v="1"/>
    <n v="100"/>
    <m/>
  </r>
  <r>
    <n v="1528"/>
    <d v="2019-04-23T00:00:00"/>
    <s v="Industrial (CESION LTP)"/>
    <s v="POSEIDON II"/>
    <n v="902733"/>
    <n v="49"/>
    <x v="0"/>
    <n v="20"/>
    <n v="93.168000000000006"/>
  </r>
  <r>
    <n v="1528"/>
    <d v="2019-04-23T00:00:00"/>
    <s v="Industrial (CESION LTP)"/>
    <s v="POSEIDON II"/>
    <n v="902733"/>
    <n v="49"/>
    <x v="1"/>
    <n v="200"/>
    <n v="126.83199999999999"/>
  </r>
  <r>
    <n v="2139"/>
    <d v="2019-06-11T00:00:00"/>
    <s v="Industrial (CESION LTP)"/>
    <s v="POSEIDON II"/>
    <n v="902733"/>
    <n v="49"/>
    <x v="0"/>
    <n v="30"/>
    <n v="58.869"/>
  </r>
  <r>
    <n v="2139"/>
    <d v="2019-06-11T00:00:00"/>
    <s v="Industrial (CESION LTP)"/>
    <s v="POSEIDON II"/>
    <n v="902733"/>
    <n v="49"/>
    <x v="1"/>
    <n v="160"/>
    <n v="130.25700000000001"/>
  </r>
  <r>
    <n v="1594"/>
    <d v="2019-04-26T00:00:00"/>
    <s v="Industrial (CESION LTP)"/>
    <s v="PUERTO BALLARTA"/>
    <n v="952323"/>
    <n v="49"/>
    <x v="0"/>
    <n v="55"/>
    <n v="119.399"/>
  </r>
  <r>
    <n v="1594"/>
    <d v="2019-04-26T00:00:00"/>
    <s v="Industrial (CESION LTP)"/>
    <s v="PUERTO BALLARTA"/>
    <n v="952323"/>
    <n v="49"/>
    <x v="1"/>
    <n v="295"/>
    <n v="105.271"/>
  </r>
  <r>
    <n v="1462"/>
    <d v="2019-04-17T00:00:00"/>
    <s v="Industrial (CESION LTP)"/>
    <s v="ADONAI"/>
    <n v="952868"/>
    <n v="49"/>
    <x v="0"/>
    <n v="36"/>
    <n v="58.786999999999999"/>
  </r>
  <r>
    <n v="1462"/>
    <d v="2019-04-17T00:00:00"/>
    <s v="Industrial (CESION LTP)"/>
    <s v="ADONAI"/>
    <n v="952868"/>
    <n v="49"/>
    <x v="1"/>
    <n v="98"/>
    <n v="58.993000000000002"/>
  </r>
  <r>
    <n v="1638"/>
    <d v="2019-04-30T00:00:00"/>
    <s v="Industrial (CESION LTP)"/>
    <s v="NAZARETH II"/>
    <n v="956608"/>
    <n v="49"/>
    <x v="0"/>
    <n v="10"/>
    <n v="45.533999999999999"/>
  </r>
  <r>
    <n v="1638"/>
    <d v="2019-04-30T00:00:00"/>
    <s v="Industrial (CESION LTP)"/>
    <s v="NAZARETH II"/>
    <n v="956608"/>
    <n v="49"/>
    <x v="1"/>
    <n v="90"/>
    <n v="54.466000000000001"/>
  </r>
  <r>
    <n v="1594"/>
    <d v="2019-04-26T00:00:00"/>
    <s v="Industrial (CESION LTP)"/>
    <s v="CARPINTERO"/>
    <n v="961564"/>
    <n v="49"/>
    <x v="0"/>
    <n v="23"/>
    <m/>
  </r>
  <r>
    <n v="1594"/>
    <d v="2019-04-26T00:00:00"/>
    <s v="Industrial (CESION LTP)"/>
    <s v="CARPINTERO"/>
    <n v="961564"/>
    <n v="49"/>
    <x v="1"/>
    <n v="127"/>
    <m/>
  </r>
  <r>
    <n v="1079"/>
    <d v="2019-03-27T00:00:00"/>
    <s v="Industrial (CESION LTP)"/>
    <s v="MAR DE LIGURIA"/>
    <n v="956591"/>
    <n v="50"/>
    <x v="0"/>
    <n v="100"/>
    <n v="117.39100000000001"/>
  </r>
  <r>
    <n v="1079"/>
    <d v="2019-03-27T00:00:00"/>
    <s v="Industrial (CESION LTP)"/>
    <s v="MAR DE LIGURIA"/>
    <n v="956591"/>
    <n v="50"/>
    <x v="1"/>
    <n v="200"/>
    <n v="172.21899999999999"/>
  </r>
  <r>
    <n v="1411"/>
    <d v="2019-04-11T00:00:00"/>
    <s v="Artesanal"/>
    <s v="MAR DE LIGURIA"/>
    <n v="956591"/>
    <n v="50"/>
    <x v="0"/>
    <n v="25"/>
    <n v="12.68"/>
  </r>
  <r>
    <n v="1411"/>
    <d v="2019-04-11T00:00:00"/>
    <s v="Artesanal"/>
    <s v="MAR DE LIGURIA"/>
    <n v="956591"/>
    <n v="50"/>
    <x v="1"/>
    <n v="575"/>
    <n v="33.07"/>
  </r>
  <r>
    <n v="1462"/>
    <d v="2019-04-17T00:00:00"/>
    <s v="Industrial (CESION LTP)"/>
    <s v="CARMEN LORETO"/>
    <n v="958713"/>
    <n v="50"/>
    <x v="0"/>
    <n v="83"/>
    <n v="20"/>
  </r>
  <r>
    <n v="1462"/>
    <d v="2019-04-17T00:00:00"/>
    <s v="Industrial (CESION LTP)"/>
    <s v="CARMEN LORETO"/>
    <n v="958713"/>
    <n v="50"/>
    <x v="1"/>
    <n v="227"/>
    <n v="13.363"/>
  </r>
  <r>
    <n v="1528"/>
    <d v="2019-04-23T00:00:00"/>
    <s v="Industrial (CESION LTP)"/>
    <s v="TOME II"/>
    <n v="960060"/>
    <n v="50"/>
    <x v="0"/>
    <n v="20"/>
    <n v="130.94200000000001"/>
  </r>
  <r>
    <n v="1528"/>
    <d v="2019-04-23T00:00:00"/>
    <s v="Industrial (CESION LTP)"/>
    <s v="TOME II"/>
    <n v="960060"/>
    <n v="50"/>
    <x v="1"/>
    <n v="200"/>
    <n v="89.058000000000007"/>
  </r>
  <r>
    <n v="2139"/>
    <d v="2019-06-11T00:00:00"/>
    <s v="Industrial (CESION LTP)"/>
    <s v="TOME II"/>
    <n v="960060"/>
    <n v="50"/>
    <x v="0"/>
    <n v="30"/>
    <n v="126.08499999999999"/>
  </r>
  <r>
    <n v="2139"/>
    <d v="2019-06-11T00:00:00"/>
    <s v="Industrial (CESION LTP)"/>
    <s v="TOME II"/>
    <n v="960060"/>
    <n v="50"/>
    <x v="1"/>
    <n v="160"/>
    <n v="63.914999999999999"/>
  </r>
  <r>
    <n v="2026"/>
    <d v="2019-05-28T00:00:00"/>
    <s v="Artesanal"/>
    <s v="MAULINA V"/>
    <n v="962146"/>
    <n v="50"/>
    <x v="0"/>
    <n v="50"/>
    <n v="58.064"/>
  </r>
  <r>
    <n v="2026"/>
    <d v="2019-05-28T00:00:00"/>
    <s v="Artesanal"/>
    <s v="MAULINA V"/>
    <n v="962146"/>
    <n v="50"/>
    <x v="1"/>
    <n v="250"/>
    <n v="11.196"/>
  </r>
  <r>
    <n v="794"/>
    <d v="2019-02-20T00:00:00"/>
    <s v="Industrial (CESION LTP)"/>
    <s v="AMPARITO I"/>
    <n v="963607"/>
    <n v="50"/>
    <x v="0"/>
    <n v="10"/>
    <n v="81.504000000000005"/>
  </r>
  <r>
    <n v="794"/>
    <d v="2019-02-20T00:00:00"/>
    <s v="Industrial (CESION LTP)"/>
    <s v="AMPARITO I"/>
    <n v="963607"/>
    <n v="50"/>
    <x v="1"/>
    <n v="100"/>
    <n v="27.745999999999999"/>
  </r>
  <r>
    <n v="794"/>
    <d v="2019-02-20T00:00:00"/>
    <s v="Industrial (CESION LTP)"/>
    <s v="JUANITA I"/>
    <n v="964344"/>
    <n v="51"/>
    <x v="0"/>
    <n v="10"/>
    <n v="50.53"/>
  </r>
  <r>
    <n v="794"/>
    <d v="2019-02-20T00:00:00"/>
    <s v="Industrial (CESION LTP)"/>
    <s v="JUANITA I"/>
    <n v="964344"/>
    <n v="51"/>
    <x v="1"/>
    <n v="100"/>
    <n v="59.47"/>
  </r>
  <r>
    <n v="795"/>
    <d v="2019-02-28T00:00:00"/>
    <s v="Industrial (CESION LTP)"/>
    <s v="DON KEVIN"/>
    <n v="913411"/>
    <n v="52"/>
    <x v="0"/>
    <n v="44"/>
    <n v="30.684000000000001"/>
  </r>
  <r>
    <n v="795"/>
    <d v="2019-02-28T00:00:00"/>
    <s v="Industrial (CESION LTP)"/>
    <s v="DON KEVIN"/>
    <n v="913411"/>
    <n v="52"/>
    <x v="1"/>
    <n v="118"/>
    <n v="118"/>
  </r>
  <r>
    <n v="1638"/>
    <d v="2019-04-30T00:00:00"/>
    <s v="Industrial (CESION LTP)"/>
    <s v="DON GUILLERMO I"/>
    <n v="951136"/>
    <n v="52"/>
    <x v="0"/>
    <n v="10"/>
    <n v="68.63"/>
  </r>
  <r>
    <n v="1638"/>
    <d v="2019-04-30T00:00:00"/>
    <s v="Industrial (CESION LTP)"/>
    <s v="DON GUILLERMO I"/>
    <n v="951136"/>
    <n v="52"/>
    <x v="1"/>
    <n v="90"/>
    <n v="52.543999999999997"/>
  </r>
  <r>
    <n v="2485"/>
    <d v="2019-07-09T00:00:00"/>
    <s v="Industrial (CESION LTP)"/>
    <s v="DON GUILLERMO I"/>
    <n v="951136"/>
    <n v="52"/>
    <x v="0"/>
    <n v="0"/>
    <m/>
  </r>
  <r>
    <n v="2485"/>
    <d v="2019-07-09T00:00:00"/>
    <s v="Industrial (CESION LTP)"/>
    <s v="DON GUILLERMO I"/>
    <n v="951136"/>
    <n v="52"/>
    <x v="1"/>
    <n v="86.709000000000003"/>
    <m/>
  </r>
  <r>
    <n v="2139"/>
    <d v="2019-06-11T00:00:00"/>
    <s v="Industrial (CESION LTP)"/>
    <s v="CARLOS PATRICIO"/>
    <n v="952052"/>
    <n v="52"/>
    <x v="0"/>
    <n v="20"/>
    <n v="20"/>
  </r>
  <r>
    <n v="2139"/>
    <d v="2019-06-11T00:00:00"/>
    <s v="Industrial (CESION LTP)"/>
    <s v="CARLOS PATRICIO"/>
    <n v="952052"/>
    <n v="52"/>
    <x v="1"/>
    <n v="130"/>
    <n v="38.902999999999999"/>
  </r>
  <r>
    <n v="1196"/>
    <d v="2019-03-29T00:00:00"/>
    <s v="Industrial (CESION LTP)"/>
    <s v="LAGO RANCO"/>
    <n v="953084"/>
    <n v="52"/>
    <x v="0"/>
    <n v="260"/>
    <n v="190.018"/>
  </r>
  <r>
    <n v="1196"/>
    <d v="2019-03-29T00:00:00"/>
    <s v="Industrial (CESION LTP)"/>
    <s v="LAGO RANCO"/>
    <n v="953084"/>
    <n v="52"/>
    <x v="1"/>
    <n v="40"/>
    <n v="109.532"/>
  </r>
  <r>
    <n v="847"/>
    <d v="2019-03-06T00:00:00"/>
    <s v="Industrial (CESION LTP)"/>
    <s v="RIO LOA I"/>
    <n v="956244"/>
    <n v="52"/>
    <x v="0"/>
    <n v="10"/>
    <n v="58.689"/>
  </r>
  <r>
    <n v="847"/>
    <d v="2019-03-06T00:00:00"/>
    <s v="Industrial (CESION LTP)"/>
    <s v="RIO LOA I"/>
    <n v="956244"/>
    <n v="52"/>
    <x v="1"/>
    <n v="150"/>
    <n v="101.31100000000001"/>
  </r>
  <r>
    <n v="2257"/>
    <d v="2019-06-21T00:00:00"/>
    <s v="Artesanal"/>
    <s v="RIO LOA I"/>
    <n v="956244"/>
    <n v="52"/>
    <x v="0"/>
    <n v="30"/>
    <n v="38.701999999999998"/>
  </r>
  <r>
    <n v="2257"/>
    <d v="2019-06-21T00:00:00"/>
    <s v="Artesanal"/>
    <s v="RIO LOA I"/>
    <n v="956244"/>
    <n v="52"/>
    <x v="1"/>
    <n v="140"/>
    <n v="6.9779999999999998"/>
  </r>
  <r>
    <n v="1110"/>
    <d v="2019-03-29T00:00:00"/>
    <s v="Industrial (CESION LTP)"/>
    <s v="HABACUC"/>
    <n v="961133"/>
    <n v="52"/>
    <x v="0"/>
    <n v="20"/>
    <n v="20"/>
  </r>
  <r>
    <n v="1110"/>
    <d v="2019-03-29T00:00:00"/>
    <s v="Industrial (CESION LTP)"/>
    <s v="HABACUC"/>
    <n v="961133"/>
    <n v="52"/>
    <x v="1"/>
    <n v="150"/>
    <n v="150.001"/>
  </r>
  <r>
    <n v="794"/>
    <d v="2019-02-20T00:00:00"/>
    <s v="Industrial (CESION LTP)"/>
    <s v="FLOR MARLENE"/>
    <n v="962497"/>
    <n v="52"/>
    <x v="0"/>
    <n v="10"/>
    <n v="18.437999999999999"/>
  </r>
  <r>
    <n v="794"/>
    <d v="2019-02-20T00:00:00"/>
    <s v="Industrial (CESION LTP)"/>
    <s v="FLOR MARLENE"/>
    <n v="962497"/>
    <n v="52"/>
    <x v="1"/>
    <n v="100"/>
    <n v="40.302"/>
  </r>
  <r>
    <n v="1110"/>
    <d v="2019-03-29T00:00:00"/>
    <s v="Industrial (CESION LTP)"/>
    <s v="YENNY VALESKA II"/>
    <n v="966236"/>
    <n v="52"/>
    <x v="0"/>
    <n v="5"/>
    <n v="5"/>
  </r>
  <r>
    <n v="1110"/>
    <d v="2019-03-29T00:00:00"/>
    <s v="Industrial (CESION LTP)"/>
    <s v="YENNY VALESKA II"/>
    <n v="966236"/>
    <n v="52"/>
    <x v="1"/>
    <n v="95"/>
    <n v="46.429000000000002"/>
  </r>
  <r>
    <n v="1112"/>
    <d v="2019-03-29T00:00:00"/>
    <s v="Industrial (CESION LTP)"/>
    <s v="JOSEFA I "/>
    <n v="966342"/>
    <n v="52"/>
    <x v="0"/>
    <n v="48"/>
    <n v="50.612000000000002"/>
  </r>
  <r>
    <n v="1112"/>
    <d v="2019-03-29T00:00:00"/>
    <s v="Industrial (CESION LTP)"/>
    <s v="JOSEFA I "/>
    <n v="966342"/>
    <n v="52"/>
    <x v="1"/>
    <n v="102"/>
    <n v="98.334000000000003"/>
  </r>
  <r>
    <n v="1638"/>
    <d v="2019-04-30T00:00:00"/>
    <s v="Industrial (CESION LTP)"/>
    <s v="JOSEFA I "/>
    <n v="966342"/>
    <n v="52"/>
    <x v="0"/>
    <n v="11"/>
    <n v="11.558"/>
  </r>
  <r>
    <n v="1638"/>
    <d v="2019-04-30T00:00:00"/>
    <s v="Industrial (CESION LTP)"/>
    <s v="JOSEFA I "/>
    <n v="966342"/>
    <n v="52"/>
    <x v="1"/>
    <n v="81"/>
    <n v="80.441999999999993"/>
  </r>
  <r>
    <n v="2122"/>
    <d v="2019-06-07T00:00:00"/>
    <s v="Industrial (CESION LTP)"/>
    <s v="JOSEFA I "/>
    <n v="966342"/>
    <n v="52"/>
    <x v="0"/>
    <n v="2"/>
    <n v="9.1679999999999993"/>
  </r>
  <r>
    <n v="2122"/>
    <d v="2019-06-07T00:00:00"/>
    <s v="Industrial (CESION LTP)"/>
    <s v="JOSEFA I "/>
    <n v="966342"/>
    <n v="52"/>
    <x v="1"/>
    <n v="48"/>
    <n v="2.2919999999999998"/>
  </r>
  <r>
    <n v="2257"/>
    <d v="2019-06-21T00:00:00"/>
    <s v="Artesanal"/>
    <s v="JOSEFA I "/>
    <n v="966342"/>
    <n v="52"/>
    <x v="0"/>
    <n v="100"/>
    <m/>
  </r>
  <r>
    <n v="2257"/>
    <d v="2019-06-21T00:00:00"/>
    <s v="Artesanal"/>
    <s v="JOSEFA I "/>
    <n v="966342"/>
    <n v="52"/>
    <x v="1"/>
    <n v="50"/>
    <m/>
  </r>
  <r>
    <n v="795"/>
    <d v="2019-02-28T00:00:00"/>
    <s v="Industrial (CESION LTP)"/>
    <s v="DON MANUEL R"/>
    <n v="955517"/>
    <n v="55"/>
    <x v="0"/>
    <n v="25"/>
    <n v="7.4539999999999997"/>
  </r>
  <r>
    <n v="795"/>
    <d v="2019-02-28T00:00:00"/>
    <s v="Industrial (CESION LTP)"/>
    <s v="DON MANUEL R"/>
    <n v="955517"/>
    <n v="55"/>
    <x v="1"/>
    <n v="67"/>
    <n v="84.546000000000006"/>
  </r>
  <r>
    <n v="1462"/>
    <d v="2019-04-17T00:00:00"/>
    <s v="Industrial (CESION LTP)"/>
    <s v="DON MANUEL R"/>
    <n v="955517"/>
    <n v="55"/>
    <x v="0"/>
    <n v="70"/>
    <n v="101.85299999999999"/>
  </r>
  <r>
    <n v="1462"/>
    <d v="2019-04-17T00:00:00"/>
    <s v="Industrial (CESION LTP)"/>
    <s v="DON MANUEL R"/>
    <n v="955517"/>
    <n v="55"/>
    <x v="1"/>
    <n v="190"/>
    <n v="158.14699999999999"/>
  </r>
  <r>
    <n v="2140"/>
    <d v="2019-06-11T00:00:00"/>
    <s v="Industrial (CESION LTP)"/>
    <s v="DON MANUEL R"/>
    <n v="955517"/>
    <n v="55"/>
    <x v="0"/>
    <n v="67"/>
    <m/>
  </r>
  <r>
    <n v="2140"/>
    <d v="2019-06-11T00:00:00"/>
    <s v="Industrial (CESION LTP)"/>
    <s v="DON MANUEL R"/>
    <n v="955517"/>
    <n v="55"/>
    <x v="1"/>
    <n v="81"/>
    <m/>
  </r>
  <r>
    <n v="1462"/>
    <d v="2019-04-17T00:00:00"/>
    <s v="Industrial (CESION LTP)"/>
    <s v="DON EMILIO"/>
    <n v="958078"/>
    <n v="55"/>
    <x v="0"/>
    <n v="129"/>
    <n v="196.80199999999999"/>
  </r>
  <r>
    <n v="1462"/>
    <d v="2019-04-17T00:00:00"/>
    <s v="Industrial (CESION LTP)"/>
    <s v="DON EMILIO"/>
    <n v="958078"/>
    <n v="55"/>
    <x v="1"/>
    <n v="352"/>
    <n v="284.19799999999998"/>
  </r>
  <r>
    <n v="2140"/>
    <d v="2019-06-11T00:00:00"/>
    <s v="Industrial (CESION LTP)"/>
    <s v="DON EMILIO"/>
    <n v="958078"/>
    <n v="55"/>
    <x v="0"/>
    <n v="67"/>
    <n v="38.054000000000002"/>
  </r>
  <r>
    <n v="2140"/>
    <d v="2019-06-11T00:00:00"/>
    <s v="Industrial (CESION LTP)"/>
    <s v="DON EMILIO"/>
    <n v="958078"/>
    <n v="55"/>
    <x v="1"/>
    <n v="81"/>
    <n v="5.3760000000000003"/>
  </r>
  <r>
    <n v="1462"/>
    <d v="2019-04-17T00:00:00"/>
    <s v="Industrial (CESION LTP)"/>
    <s v="HERMINIA I"/>
    <n v="958573"/>
    <n v="55"/>
    <x v="0"/>
    <n v="130"/>
    <n v="198.982"/>
  </r>
  <r>
    <n v="1462"/>
    <d v="2019-04-17T00:00:00"/>
    <s v="Industrial (CESION LTP)"/>
    <s v="HERMINIA I"/>
    <n v="958573"/>
    <n v="55"/>
    <x v="1"/>
    <n v="350"/>
    <n v="281.01799999999997"/>
  </r>
  <r>
    <n v="2140"/>
    <d v="2019-06-11T00:00:00"/>
    <s v="Industrial (CESION LTP)"/>
    <s v="HERMINIA I"/>
    <n v="958573"/>
    <n v="55"/>
    <x v="0"/>
    <n v="67"/>
    <n v="125.03100000000001"/>
  </r>
  <r>
    <n v="2140"/>
    <d v="2019-06-11T00:00:00"/>
    <s v="Industrial (CESION LTP)"/>
    <s v="HERMINIA I"/>
    <n v="958573"/>
    <n v="55"/>
    <x v="1"/>
    <n v="81"/>
    <n v="6.6589999999999998"/>
  </r>
  <r>
    <n v="1462"/>
    <d v="2019-04-17T00:00:00"/>
    <s v="Industrial (CESION LTP)"/>
    <s v="DON RICARDO II"/>
    <n v="959062"/>
    <n v="55"/>
    <x v="0"/>
    <n v="113"/>
    <n v="195.03299999999999"/>
  </r>
  <r>
    <n v="1462"/>
    <d v="2019-04-17T00:00:00"/>
    <s v="Industrial (CESION LTP)"/>
    <s v="DON RICARDO II"/>
    <n v="959062"/>
    <n v="55"/>
    <x v="1"/>
    <n v="307"/>
    <n v="224.96700000000001"/>
  </r>
  <r>
    <n v="2140"/>
    <d v="2019-06-11T00:00:00"/>
    <s v="Industrial (CESION LTP)"/>
    <s v="DON RICARDO II"/>
    <n v="959062"/>
    <n v="55"/>
    <x v="0"/>
    <n v="67"/>
    <n v="90.710999999999999"/>
  </r>
  <r>
    <n v="2140"/>
    <d v="2019-06-11T00:00:00"/>
    <s v="Industrial (CESION LTP)"/>
    <s v="DON RICARDO II"/>
    <n v="959062"/>
    <n v="55"/>
    <x v="1"/>
    <n v="81"/>
    <n v="57.289000000000001"/>
  </r>
  <r>
    <n v="2140"/>
    <d v="2019-06-11T00:00:00"/>
    <s v="Industrial (CESION LTP)"/>
    <s v="CARLOS EMILIO"/>
    <n v="960761"/>
    <n v="55"/>
    <x v="0"/>
    <n v="67"/>
    <n v="100.765"/>
  </r>
  <r>
    <n v="2140"/>
    <d v="2019-06-11T00:00:00"/>
    <s v="Industrial (CESION LTP)"/>
    <s v="CARLOS EMILIO"/>
    <n v="960761"/>
    <n v="55"/>
    <x v="1"/>
    <n v="81"/>
    <n v="11.879"/>
  </r>
  <r>
    <n v="2140"/>
    <d v="2019-06-11T00:00:00"/>
    <s v="Industrial (CESION LTP)"/>
    <s v="DON RICARDO"/>
    <n v="960936"/>
    <n v="55"/>
    <x v="0"/>
    <n v="67"/>
    <n v="38.097000000000001"/>
  </r>
  <r>
    <n v="2140"/>
    <d v="2019-06-11T00:00:00"/>
    <s v="Industrial (CESION LTP)"/>
    <s v="DON RICARDO"/>
    <n v="960936"/>
    <n v="55"/>
    <x v="1"/>
    <n v="81"/>
    <n v="36.603000000000002"/>
  </r>
  <r>
    <n v="15"/>
    <d v="2019-02-27T00:00:00"/>
    <s v="Artesanal"/>
    <s v="SERGIO III"/>
    <n v="963731"/>
    <n v="55"/>
    <x v="0"/>
    <n v="2"/>
    <n v="38.006"/>
  </r>
  <r>
    <n v="15"/>
    <d v="2019-02-27T00:00:00"/>
    <s v="Artesanal"/>
    <s v="SERGIO III"/>
    <n v="963731"/>
    <n v="55"/>
    <x v="1"/>
    <n v="98"/>
    <n v="61.994"/>
  </r>
  <r>
    <n v="795"/>
    <d v="2019-02-28T00:00:00"/>
    <s v="Industrial (CESION LTP)"/>
    <s v="DON MATI I "/>
    <n v="965035"/>
    <n v="55"/>
    <x v="0"/>
    <n v="6"/>
    <n v="3.59"/>
  </r>
  <r>
    <n v="795"/>
    <d v="2019-02-28T00:00:00"/>
    <s v="Industrial (CESION LTP)"/>
    <s v="DON MATI I "/>
    <n v="965035"/>
    <n v="55"/>
    <x v="1"/>
    <n v="18"/>
    <n v="20.41"/>
  </r>
  <r>
    <n v="83"/>
    <d v="2019-05-23T00:00:00"/>
    <s v="Artesanal"/>
    <s v="CATALINA M"/>
    <n v="966599"/>
    <n v="56"/>
    <x v="0"/>
    <n v="6.38"/>
    <n v="0.63800000000000001"/>
  </r>
  <r>
    <n v="83"/>
    <d v="2019-05-23T00:00:00"/>
    <s v="Artesanal"/>
    <s v="CATALINA M"/>
    <n v="966599"/>
    <n v="56"/>
    <x v="1"/>
    <n v="9.9600000000000009"/>
    <n v="1.77"/>
  </r>
  <r>
    <n v="1352"/>
    <d v="2019-04-09T00:00:00"/>
    <s v="Industrial (CESION LTP)"/>
    <s v="GIANLUCA"/>
    <n v="966994"/>
    <n v="56"/>
    <x v="0"/>
    <n v="0"/>
    <m/>
  </r>
  <r>
    <n v="1352"/>
    <d v="2019-04-09T00:00:00"/>
    <s v="Industrial (CESION LTP)"/>
    <s v="GIANLUCA"/>
    <n v="966994"/>
    <n v="56"/>
    <x v="1"/>
    <n v="266.05"/>
    <n v="266.05200000000002"/>
  </r>
  <r>
    <n v="544"/>
    <d v="2019-02-11T00:00:00"/>
    <s v="Industrial (CESION LTP)"/>
    <s v="NIÑA XIMENA"/>
    <n v="966995"/>
    <n v="56"/>
    <x v="0"/>
    <n v="70.709999999999994"/>
    <n v="641.00800000000004"/>
  </r>
  <r>
    <n v="544"/>
    <d v="2019-02-11T00:00:00"/>
    <s v="Industrial (CESION LTP)"/>
    <s v="NIÑA XIMENA"/>
    <n v="966995"/>
    <n v="56"/>
    <x v="1"/>
    <n v="1929.7529999999999"/>
    <n v="1319.453"/>
  </r>
  <r>
    <n v="2312"/>
    <d v="2019-06-27T00:00:00"/>
    <s v="Industrial (CESION LTP)"/>
    <s v="NIÑA XIMENA"/>
    <n v="966995"/>
    <n v="56"/>
    <x v="0"/>
    <n v="12.974"/>
    <m/>
  </r>
  <r>
    <n v="2312"/>
    <d v="2019-06-27T00:00:00"/>
    <s v="Industrial (CESION LTP)"/>
    <s v="NIÑA XIMENA"/>
    <n v="966995"/>
    <n v="56"/>
    <x v="1"/>
    <n v="87.432000000000002"/>
    <m/>
  </r>
  <r>
    <n v="1111"/>
    <d v="2019-03-29T00:00:00"/>
    <s v="Industrial (CESION LTP)"/>
    <s v="GIANFRANCO"/>
    <n v="965073"/>
    <n v="57"/>
    <x v="0"/>
    <n v="0"/>
    <m/>
  </r>
  <r>
    <n v="1111"/>
    <d v="2019-03-29T00:00:00"/>
    <s v="Industrial (CESION LTP)"/>
    <s v="GIANFRANCO"/>
    <n v="965073"/>
    <n v="57"/>
    <x v="1"/>
    <n v="88.683000000000007"/>
    <n v="88.683999999999997"/>
  </r>
  <r>
    <n v="1463"/>
    <d v="2019-04-17T00:00:00"/>
    <s v="Industrial (CESION LTP)"/>
    <s v="GIANFRANCO"/>
    <n v="965073"/>
    <n v="57"/>
    <x v="0"/>
    <n v="0"/>
    <m/>
  </r>
  <r>
    <n v="1463"/>
    <d v="2019-04-17T00:00:00"/>
    <s v="Industrial (CESION LTP)"/>
    <s v="GIANFRANCO"/>
    <n v="965073"/>
    <n v="57"/>
    <x v="1"/>
    <n v="133.02500000000001"/>
    <n v="142.27500000000001"/>
  </r>
  <r>
    <n v="2398"/>
    <d v="2019-07-03T00:00:00"/>
    <s v="Industrial (CESION LTP)"/>
    <s v="GIANFRANCO"/>
    <n v="965073"/>
    <n v="57"/>
    <x v="0"/>
    <n v="0"/>
    <m/>
  </r>
  <r>
    <n v="2398"/>
    <d v="2019-07-03T00:00:00"/>
    <s v="Industrial (CESION LTP)"/>
    <s v="GIANFRANCO"/>
    <n v="965073"/>
    <n v="57"/>
    <x v="1"/>
    <n v="108.372"/>
    <m/>
  </r>
  <r>
    <n v="56"/>
    <d v="2019-04-24T00:00:00"/>
    <s v="Artesanal"/>
    <s v="JOHANA I"/>
    <n v="965344"/>
    <n v="57"/>
    <x v="0"/>
    <n v="22.8"/>
    <n v="39.216999999999999"/>
  </r>
  <r>
    <n v="56"/>
    <d v="2019-04-24T00:00:00"/>
    <s v="Artesanal"/>
    <s v="JOHANA I"/>
    <n v="965344"/>
    <n v="57"/>
    <x v="1"/>
    <n v="77.37"/>
    <n v="57.677999999999997"/>
  </r>
  <r>
    <n v="686"/>
    <d v="2019-02-20T00:00:00"/>
    <s v="Industrial (CESION LTP)"/>
    <s v="PAULINA M "/>
    <n v="967145"/>
    <n v="57"/>
    <x v="0"/>
    <n v="101.88500000000001"/>
    <n v="865.697"/>
  </r>
  <r>
    <n v="686"/>
    <d v="2019-02-20T00:00:00"/>
    <s v="Industrial (CESION LTP)"/>
    <s v="PAULINA M "/>
    <n v="967145"/>
    <n v="57"/>
    <x v="1"/>
    <n v="2075.3290000000002"/>
    <n v="1287.4280000000001"/>
  </r>
  <r>
    <n v="825"/>
    <d v="2019-03-05T00:00:00"/>
    <s v="Industrial (CESION LTP)"/>
    <s v="PAULINA M "/>
    <n v="967145"/>
    <n v="57"/>
    <x v="0"/>
    <n v="81.236000000000004"/>
    <n v="26.792000000000002"/>
  </r>
  <r>
    <n v="825"/>
    <d v="2019-03-05T00:00:00"/>
    <s v="Industrial (CESION LTP)"/>
    <s v="PAULINA M "/>
    <n v="967145"/>
    <n v="57"/>
    <x v="1"/>
    <n v="74.664000000000001"/>
    <n v="130.797"/>
  </r>
  <r>
    <n v="971"/>
    <d v="2019-03-19T00:00:00"/>
    <s v="Industrial (CESION LTP)"/>
    <s v="PAULINA M "/>
    <n v="967145"/>
    <n v="57"/>
    <x v="0"/>
    <n v="106.78700000000001"/>
    <n v="153.376"/>
  </r>
  <r>
    <n v="971"/>
    <d v="2019-03-19T00:00:00"/>
    <s v="Industrial (CESION LTP)"/>
    <s v="PAULINA M "/>
    <n v="967145"/>
    <n v="57"/>
    <x v="1"/>
    <n v="460.56"/>
    <n v="297.20699999999999"/>
  </r>
  <r>
    <n v="2444"/>
    <d v="2019-07-05T00:00:00"/>
    <s v="Industrial (CESION LTP)"/>
    <s v="PAULINA M "/>
    <n v="967145"/>
    <n v="57"/>
    <x v="0"/>
    <n v="48.002000000000002"/>
    <m/>
  </r>
  <r>
    <n v="2444"/>
    <d v="2019-07-05T00:00:00"/>
    <s v="Industrial (CESION LTP)"/>
    <s v="PAULINA M "/>
    <n v="967145"/>
    <n v="57"/>
    <x v="1"/>
    <n v="52.026000000000003"/>
    <m/>
  </r>
  <r>
    <n v="2"/>
    <d v="2019-02-14T00:00:00"/>
    <s v="Artesanal"/>
    <s v="MARIA BRISTELA"/>
    <n v="955660"/>
    <n v="58"/>
    <x v="0"/>
    <n v="110.85"/>
    <n v="102.834"/>
  </r>
  <r>
    <n v="2"/>
    <d v="2019-02-14T00:00:00"/>
    <s v="Artesanal"/>
    <s v="MARIA BRISTELA"/>
    <n v="955660"/>
    <n v="58"/>
    <x v="1"/>
    <n v="376.14"/>
    <n v="385.46600000000001"/>
  </r>
  <r>
    <n v="793"/>
    <d v="2019-02-28T00:00:00"/>
    <s v="Industrial (CESION LTP)"/>
    <s v="MARIA BRISTELA"/>
    <n v="955660"/>
    <n v="58"/>
    <x v="0"/>
    <n v="1"/>
    <n v="40.173999999999999"/>
  </r>
  <r>
    <n v="793"/>
    <d v="2019-02-28T00:00:00"/>
    <s v="Industrial (CESION LTP)"/>
    <s v="MARIA BRISTELA"/>
    <n v="955660"/>
    <n v="58"/>
    <x v="1"/>
    <n v="119"/>
    <n v="89.575000000000003"/>
  </r>
  <r>
    <n v="2108"/>
    <d v="2019-06-07T00:00:00"/>
    <s v="Artesanal"/>
    <s v="MARIA BRISTELA"/>
    <n v="955660"/>
    <n v="58"/>
    <x v="0"/>
    <n v="1"/>
    <m/>
  </r>
  <r>
    <n v="2108"/>
    <d v="2019-06-07T00:00:00"/>
    <s v="Artesanal"/>
    <s v="MARIA BRISTELA"/>
    <n v="955660"/>
    <n v="58"/>
    <x v="1"/>
    <n v="119"/>
    <m/>
  </r>
  <r>
    <n v="2201"/>
    <d v="2019-06-19T00:00:00"/>
    <s v="Industrial (CESION LTP)"/>
    <s v="MARIA BRISTELA"/>
    <n v="955660"/>
    <n v="58"/>
    <x v="0"/>
    <n v="89"/>
    <m/>
  </r>
  <r>
    <n v="2201"/>
    <d v="2019-06-19T00:00:00"/>
    <s v="Industrial (CESION LTP)"/>
    <s v="MARIA BRISTELA"/>
    <n v="955660"/>
    <n v="58"/>
    <x v="1"/>
    <n v="21"/>
    <m/>
  </r>
  <r>
    <n v="2053"/>
    <d v="2019-05-28T00:00:00"/>
    <s v="Industrial (CESION LTP)"/>
    <s v="BILL"/>
    <n v="958080"/>
    <n v="58"/>
    <x v="0"/>
    <n v="20"/>
    <m/>
  </r>
  <r>
    <n v="2053"/>
    <d v="2019-05-28T00:00:00"/>
    <s v="Industrial (CESION LTP)"/>
    <s v="BILL"/>
    <n v="958080"/>
    <n v="58"/>
    <x v="1"/>
    <n v="200"/>
    <m/>
  </r>
  <r>
    <n v="1048"/>
    <d v="2019-03-22T00:00:00"/>
    <s v="Industrial (CESION LTP)"/>
    <s v="MATIAS"/>
    <n v="922513"/>
    <n v="60"/>
    <x v="0"/>
    <n v="129"/>
    <n v="128.97999999999999"/>
  </r>
  <r>
    <n v="1048"/>
    <d v="2019-03-22T00:00:00"/>
    <s v="Industrial (CESION LTP)"/>
    <s v="MATIAS"/>
    <n v="922513"/>
    <n v="60"/>
    <x v="1"/>
    <n v="271"/>
    <n v="271"/>
  </r>
  <r>
    <n v="1528"/>
    <d v="2019-04-23T00:00:00"/>
    <s v="Industrial (CESION LTP)"/>
    <s v="SHIMANE"/>
    <n v="953883"/>
    <n v="60"/>
    <x v="0"/>
    <n v="20"/>
    <n v="47.008000000000003"/>
  </r>
  <r>
    <n v="1528"/>
    <d v="2019-04-23T00:00:00"/>
    <s v="Industrial (CESION LTP)"/>
    <s v="SHIMANE"/>
    <n v="953883"/>
    <n v="60"/>
    <x v="1"/>
    <n v="200"/>
    <n v="172.99199999999999"/>
  </r>
  <r>
    <n v="2139"/>
    <d v="2019-06-11T00:00:00"/>
    <s v="Industrial (CESION LTP)"/>
    <s v="SHIMANE"/>
    <n v="953883"/>
    <n v="60"/>
    <x v="0"/>
    <n v="30"/>
    <n v="47.39"/>
  </r>
  <r>
    <n v="2139"/>
    <d v="2019-06-11T00:00:00"/>
    <s v="Industrial (CESION LTP)"/>
    <s v="SHIMANE"/>
    <n v="953883"/>
    <n v="60"/>
    <x v="1"/>
    <n v="160"/>
    <n v="142.61000000000001"/>
  </r>
  <r>
    <n v="1528"/>
    <d v="2019-04-23T00:00:00"/>
    <s v="Industrial (CESION LTP)"/>
    <s v="DON PATRICIO I"/>
    <n v="958198"/>
    <n v="60"/>
    <x v="0"/>
    <n v="20"/>
    <n v="105.879"/>
  </r>
  <r>
    <n v="1528"/>
    <d v="2019-04-23T00:00:00"/>
    <s v="Industrial (CESION LTP)"/>
    <s v="DON PATRICIO I"/>
    <n v="958198"/>
    <n v="60"/>
    <x v="1"/>
    <n v="200"/>
    <n v="114.121"/>
  </r>
  <r>
    <n v="1048"/>
    <d v="2019-03-22T00:00:00"/>
    <s v="Industrial (CESION LTP)"/>
    <s v="DON DIONISIO II"/>
    <n v="963589"/>
    <n v="61"/>
    <x v="0"/>
    <n v="22"/>
    <n v="22"/>
  </r>
  <r>
    <n v="1048"/>
    <d v="2019-03-22T00:00:00"/>
    <s v="Industrial (CESION LTP)"/>
    <s v="DON DIONISIO II"/>
    <n v="963589"/>
    <n v="61"/>
    <x v="1"/>
    <n v="46"/>
    <n v="46"/>
  </r>
  <r>
    <n v="1048"/>
    <d v="2019-03-22T00:00:00"/>
    <s v="Industrial (CESION LTP)"/>
    <s v="JAIRO ELI"/>
    <n v="964265"/>
    <n v="61"/>
    <x v="0"/>
    <n v="21"/>
    <n v="21"/>
  </r>
  <r>
    <n v="1048"/>
    <d v="2019-03-22T00:00:00"/>
    <s v="Industrial (CESION LTP)"/>
    <s v="JAIRO ELI"/>
    <n v="964265"/>
    <n v="61"/>
    <x v="1"/>
    <n v="45"/>
    <n v="45"/>
  </r>
  <r>
    <n v="1113"/>
    <d v="2019-03-29T00:00:00"/>
    <s v="Industrial (CESION LTP)"/>
    <s v="SANTA RITA III"/>
    <n v="950724"/>
    <n v="62"/>
    <x v="0"/>
    <n v="16"/>
    <n v="16"/>
  </r>
  <r>
    <n v="1113"/>
    <d v="2019-03-29T00:00:00"/>
    <s v="Industrial (CESION LTP)"/>
    <s v="SANTA RITA III"/>
    <n v="950724"/>
    <n v="62"/>
    <x v="1"/>
    <n v="34"/>
    <n v="17.184999999999999"/>
  </r>
  <r>
    <n v="794"/>
    <d v="2019-02-20T00:00:00"/>
    <s v="Industrial (CESION LTP)"/>
    <s v="ANA BELEN I"/>
    <n v="958563"/>
    <n v="63"/>
    <x v="0"/>
    <n v="10"/>
    <n v="27.175000000000001"/>
  </r>
  <r>
    <n v="794"/>
    <d v="2019-02-20T00:00:00"/>
    <s v="Industrial (CESION LTP)"/>
    <s v="ANA BELEN I"/>
    <n v="958563"/>
    <n v="63"/>
    <x v="1"/>
    <n v="100"/>
    <n v="82.825000000000003"/>
  </r>
  <r>
    <n v="2139"/>
    <d v="2019-06-11T00:00:00"/>
    <s v="Industrial (CESION LTP)"/>
    <s v="ANA BELEN I"/>
    <n v="958563"/>
    <n v="63"/>
    <x v="0"/>
    <n v="10"/>
    <n v="12.805999999999999"/>
  </r>
  <r>
    <n v="2139"/>
    <d v="2019-06-11T00:00:00"/>
    <s v="Industrial (CESION LTP)"/>
    <s v="ANA BELEN I"/>
    <n v="958563"/>
    <n v="63"/>
    <x v="1"/>
    <n v="90"/>
    <n v="8.8989999999999991"/>
  </r>
  <r>
    <n v="1462"/>
    <d v="2019-04-17T00:00:00"/>
    <s v="Industrial (CESION LTP)"/>
    <s v="DON ARNALDO"/>
    <n v="962492"/>
    <n v="63"/>
    <x v="0"/>
    <n v="95"/>
    <n v="85.632000000000005"/>
  </r>
  <r>
    <n v="1462"/>
    <d v="2019-04-17T00:00:00"/>
    <s v="Industrial (CESION LTP)"/>
    <s v="DON ARNALDO"/>
    <n v="962492"/>
    <n v="63"/>
    <x v="1"/>
    <n v="257"/>
    <n v="239.74100000000001"/>
  </r>
  <r>
    <n v="2201"/>
    <d v="2019-06-19T00:00:00"/>
    <s v="Industrial (CESION LTP)"/>
    <s v="DON VALENTIN"/>
    <n v="952055"/>
    <n v="66"/>
    <x v="0"/>
    <n v="163"/>
    <m/>
  </r>
  <r>
    <n v="2201"/>
    <d v="2019-06-19T00:00:00"/>
    <s v="Industrial (CESION LTP)"/>
    <s v="DON VALENTIN"/>
    <n v="952055"/>
    <n v="66"/>
    <x v="1"/>
    <n v="37"/>
    <m/>
  </r>
  <r>
    <n v="795"/>
    <d v="2019-02-28T00:00:00"/>
    <s v="Industrial (CESION LTP)"/>
    <s v="ABRAHAM"/>
    <n v="959347"/>
    <n v="67"/>
    <x v="0"/>
    <n v="19"/>
    <m/>
  </r>
  <r>
    <n v="795"/>
    <d v="2019-02-28T00:00:00"/>
    <s v="Industrial (CESION LTP)"/>
    <s v="ABRAHAM"/>
    <n v="959347"/>
    <n v="67"/>
    <x v="1"/>
    <n v="51"/>
    <n v="70"/>
  </r>
  <r>
    <n v="822"/>
    <d v="2019-03-05T00:00:00"/>
    <s v="Industrial (CESION LTP)"/>
    <s v="MATIAS NICOLAS"/>
    <n v="962102"/>
    <n v="67"/>
    <x v="0"/>
    <n v="300"/>
    <n v="300"/>
  </r>
  <r>
    <n v="822"/>
    <d v="2019-03-05T00:00:00"/>
    <s v="Industrial (CESION LTP)"/>
    <s v="MATIAS NICOLAS"/>
    <n v="962102"/>
    <n v="67"/>
    <x v="1"/>
    <n v="200"/>
    <n v="200"/>
  </r>
  <r>
    <n v="1198"/>
    <d v="2019-03-29T00:00:00"/>
    <s v="Industrial (CESION LTP)"/>
    <s v="MATIAS NICOLAS"/>
    <n v="962102"/>
    <n v="67"/>
    <x v="0"/>
    <n v="200"/>
    <n v="200"/>
  </r>
  <r>
    <n v="1198"/>
    <d v="2019-03-29T00:00:00"/>
    <s v="Industrial (CESION LTP)"/>
    <s v="MATIAS NICOLAS"/>
    <n v="962102"/>
    <n v="67"/>
    <x v="1"/>
    <n v="30"/>
    <n v="30"/>
  </r>
  <r>
    <n v="2313"/>
    <d v="2019-06-27T00:00:00"/>
    <s v="Industrial (CESION LTP)"/>
    <s v="MATIAS NICOLAS"/>
    <n v="962102"/>
    <n v="67"/>
    <x v="0"/>
    <n v="163"/>
    <n v="15.273"/>
  </r>
  <r>
    <n v="2313"/>
    <d v="2019-06-27T00:00:00"/>
    <s v="Industrial (CESION LTP)"/>
    <s v="MATIAS NICOLAS"/>
    <n v="962102"/>
    <n v="67"/>
    <x v="1"/>
    <n v="37"/>
    <n v="12.497"/>
  </r>
  <r>
    <n v="447"/>
    <d v="2019-02-07T00:00:00"/>
    <s v="Artesanal"/>
    <s v="ANGELA VALENTINA"/>
    <n v="963875"/>
    <n v="67"/>
    <x v="0"/>
    <n v="50"/>
    <n v="19.629000000000001"/>
  </r>
  <r>
    <n v="447"/>
    <d v="2019-02-07T00:00:00"/>
    <s v="Artesanal"/>
    <s v="ANGELA VALENTINA"/>
    <n v="963875"/>
    <n v="67"/>
    <x v="1"/>
    <n v="300"/>
    <n v="330.37099999999998"/>
  </r>
  <r>
    <n v="822"/>
    <d v="2019-03-05T00:00:00"/>
    <s v="Industrial (CESION LTP)"/>
    <s v="ANGELA VALENTINA"/>
    <n v="963875"/>
    <n v="67"/>
    <x v="0"/>
    <n v="300"/>
    <n v="300"/>
  </r>
  <r>
    <n v="822"/>
    <d v="2019-03-05T00:00:00"/>
    <s v="Industrial (CESION LTP)"/>
    <s v="ANGELA VALENTINA"/>
    <n v="963875"/>
    <n v="67"/>
    <x v="1"/>
    <n v="200"/>
    <n v="200"/>
  </r>
  <r>
    <n v="1198"/>
    <d v="2019-03-29T00:00:00"/>
    <s v="Industrial (CESION LTP)"/>
    <s v="ANGELA VALENTINA"/>
    <n v="963875"/>
    <n v="67"/>
    <x v="0"/>
    <n v="200"/>
    <n v="170.22499999999999"/>
  </r>
  <r>
    <n v="1198"/>
    <d v="2019-03-29T00:00:00"/>
    <s v="Industrial (CESION LTP)"/>
    <s v="ANGELA VALENTINA"/>
    <n v="963875"/>
    <n v="67"/>
    <x v="1"/>
    <n v="40"/>
    <n v="69.775000000000006"/>
  </r>
  <r>
    <n v="2313"/>
    <d v="2019-06-27T00:00:00"/>
    <s v="Industrial (CESION LTP)"/>
    <s v="ANGELA VALENTINA"/>
    <n v="963875"/>
    <n v="67"/>
    <x v="0"/>
    <n v="163"/>
    <n v="15.648"/>
  </r>
  <r>
    <n v="2313"/>
    <d v="2019-06-27T00:00:00"/>
    <s v="Industrial (CESION LTP)"/>
    <s v="ANGELA VALENTINA"/>
    <n v="963875"/>
    <n v="67"/>
    <x v="1"/>
    <n v="37"/>
    <n v="12.802"/>
  </r>
  <r>
    <n v="822"/>
    <d v="2019-03-05T00:00:00"/>
    <s v="Industrial (CESION LTP)"/>
    <s v="ISAAC"/>
    <n v="964948"/>
    <n v="67"/>
    <x v="0"/>
    <n v="300"/>
    <n v="300"/>
  </r>
  <r>
    <n v="822"/>
    <d v="2019-03-05T00:00:00"/>
    <s v="Industrial (CESION LTP)"/>
    <s v="ISAAC"/>
    <n v="964948"/>
    <n v="67"/>
    <x v="1"/>
    <n v="200"/>
    <n v="200"/>
  </r>
  <r>
    <n v="1198"/>
    <d v="2019-03-29T00:00:00"/>
    <s v="Industrial (CESION LTP)"/>
    <s v="ISAAC"/>
    <n v="964948"/>
    <n v="67"/>
    <x v="0"/>
    <n v="200"/>
    <n v="200"/>
  </r>
  <r>
    <n v="1198"/>
    <d v="2019-03-29T00:00:00"/>
    <s v="Industrial (CESION LTP)"/>
    <s v="ISAAC"/>
    <n v="964948"/>
    <n v="67"/>
    <x v="1"/>
    <n v="30"/>
    <n v="30"/>
  </r>
  <r>
    <n v="2313"/>
    <d v="2019-06-27T00:00:00"/>
    <s v="Industrial (CESION LTP)"/>
    <s v="ISAAC"/>
    <n v="964948"/>
    <n v="67"/>
    <x v="0"/>
    <n v="163"/>
    <m/>
  </r>
  <r>
    <n v="2313"/>
    <d v="2019-06-27T00:00:00"/>
    <s v="Industrial (CESION LTP)"/>
    <s v="ISAAC"/>
    <n v="964948"/>
    <n v="67"/>
    <x v="1"/>
    <n v="37"/>
    <m/>
  </r>
  <r>
    <n v="1638"/>
    <d v="2019-04-30T00:00:00"/>
    <s v="Industrial (CESION LTP)"/>
    <s v="DON ANSELMO II"/>
    <n v="913375"/>
    <n v="68"/>
    <x v="0"/>
    <n v="15"/>
    <n v="97.019000000000005"/>
  </r>
  <r>
    <n v="1638"/>
    <d v="2019-04-30T00:00:00"/>
    <s v="Industrial (CESION LTP)"/>
    <s v="DON ANSELMO II"/>
    <n v="913375"/>
    <n v="68"/>
    <x v="1"/>
    <n v="185"/>
    <n v="104.983"/>
  </r>
  <r>
    <n v="1048"/>
    <d v="2019-03-22T00:00:00"/>
    <s v="Industrial (CESION LTP)"/>
    <s v="EBEN EZER III"/>
    <n v="926674"/>
    <n v="68"/>
    <x v="0"/>
    <n v="16"/>
    <n v="16"/>
  </r>
  <r>
    <n v="1048"/>
    <d v="2019-03-22T00:00:00"/>
    <s v="Industrial (CESION LTP)"/>
    <s v="EBEN EZER III"/>
    <n v="926674"/>
    <n v="68"/>
    <x v="1"/>
    <n v="34"/>
    <n v="34"/>
  </r>
  <r>
    <n v="1594"/>
    <d v="2019-04-26T00:00:00"/>
    <s v="Industrial (CESION LTP)"/>
    <s v="MAR PRIMERO"/>
    <n v="955473"/>
    <n v="68"/>
    <x v="0"/>
    <n v="78"/>
    <n v="78"/>
  </r>
  <r>
    <n v="1594"/>
    <d v="2019-04-26T00:00:00"/>
    <s v="Industrial (CESION LTP)"/>
    <s v="MAR PRIMERO"/>
    <n v="955473"/>
    <n v="68"/>
    <x v="1"/>
    <n v="422"/>
    <n v="422"/>
  </r>
  <r>
    <n v="1198"/>
    <d v="2019-03-29T00:00:00"/>
    <s v="Industrial (CESION LTP)"/>
    <s v="MAR SEGUNDO"/>
    <n v="967746"/>
    <n v="68"/>
    <x v="0"/>
    <n v="200"/>
    <n v="200"/>
  </r>
  <r>
    <n v="1198"/>
    <d v="2019-03-29T00:00:00"/>
    <s v="Industrial (CESION LTP)"/>
    <s v="MAR SEGUNDO"/>
    <n v="967746"/>
    <n v="68"/>
    <x v="1"/>
    <n v="90"/>
    <n v="90"/>
  </r>
  <r>
    <n v="1197"/>
    <d v="2019-03-29T00:00:00"/>
    <s v="Industrial (CESION LTP)"/>
    <s v="ADRIANA V"/>
    <n v="960094"/>
    <n v="69"/>
    <x v="0"/>
    <n v="4"/>
    <m/>
  </r>
  <r>
    <n v="1197"/>
    <d v="2019-03-29T00:00:00"/>
    <s v="Industrial (CESION LTP)"/>
    <s v="ADRIANA V"/>
    <n v="960094"/>
    <n v="69"/>
    <x v="1"/>
    <n v="196"/>
    <n v="95.242000000000004"/>
  </r>
  <r>
    <n v="71"/>
    <d v="2019-05-16T00:00:00"/>
    <s v="Artesanal"/>
    <s v="LERITO"/>
    <n v="962295"/>
    <n v="71"/>
    <x v="0"/>
    <n v="1"/>
    <m/>
  </r>
  <r>
    <n v="71"/>
    <d v="2019-05-16T00:00:00"/>
    <s v="Artesanal"/>
    <s v="LERITO"/>
    <n v="962295"/>
    <n v="71"/>
    <x v="1"/>
    <n v="114"/>
    <m/>
  </r>
  <r>
    <n v="1594"/>
    <d v="2019-04-26T00:00:00"/>
    <s v="Industrial (CESION LTP)"/>
    <s v="OMEGA"/>
    <n v="965724"/>
    <n v="71"/>
    <x v="0"/>
    <n v="6"/>
    <n v="1.002"/>
  </r>
  <r>
    <n v="1594"/>
    <d v="2019-04-26T00:00:00"/>
    <s v="Industrial (CESION LTP)"/>
    <s v="OMEGA"/>
    <n v="965724"/>
    <n v="71"/>
    <x v="1"/>
    <n v="34"/>
    <n v="10.128"/>
  </r>
  <r>
    <n v="1594"/>
    <d v="2019-04-26T00:00:00"/>
    <s v="Industrial (CESION LTP)"/>
    <s v="RAYO II"/>
    <n v="965911"/>
    <n v="71"/>
    <x v="0"/>
    <n v="6"/>
    <m/>
  </r>
  <r>
    <n v="1594"/>
    <d v="2019-04-26T00:00:00"/>
    <s v="Industrial (CESION LTP)"/>
    <s v="RAYO II"/>
    <n v="965911"/>
    <n v="71"/>
    <x v="1"/>
    <n v="34"/>
    <m/>
  </r>
  <r>
    <n v="1594"/>
    <d v="2019-04-26T00:00:00"/>
    <s v="Industrial (CESION LTP)"/>
    <s v="VICTOR RENE"/>
    <n v="966304"/>
    <n v="71"/>
    <x v="0"/>
    <n v="6"/>
    <m/>
  </r>
  <r>
    <n v="1594"/>
    <d v="2019-04-26T00:00:00"/>
    <s v="Industrial (CESION LTP)"/>
    <s v="VICTOR RENE"/>
    <n v="966304"/>
    <n v="71"/>
    <x v="1"/>
    <n v="34"/>
    <m/>
  </r>
  <r>
    <n v="1594"/>
    <d v="2019-04-26T00:00:00"/>
    <s v="Industrial (CESION LTP)"/>
    <s v="MISIONERA III"/>
    <n v="960952"/>
    <n v="72"/>
    <x v="0"/>
    <n v="62"/>
    <n v="173.34200000000001"/>
  </r>
  <r>
    <n v="1594"/>
    <d v="2019-04-26T00:00:00"/>
    <s v="Industrial (CESION LTP)"/>
    <s v="MISIONERA III"/>
    <n v="960952"/>
    <n v="72"/>
    <x v="1"/>
    <n v="338"/>
    <n v="156.86099999999999"/>
  </r>
  <r>
    <n v="2140"/>
    <d v="2019-06-11T00:00:00"/>
    <s v="Industrial (CESION LTP)"/>
    <s v="ACHERNAR"/>
    <n v="30822"/>
    <n v="73"/>
    <x v="0"/>
    <n v="67"/>
    <m/>
  </r>
  <r>
    <n v="2140"/>
    <d v="2019-06-11T00:00:00"/>
    <s v="Industrial (CESION LTP)"/>
    <s v="ACHERNAR"/>
    <n v="30822"/>
    <n v="73"/>
    <x v="1"/>
    <n v="81"/>
    <m/>
  </r>
  <r>
    <n v="1594"/>
    <d v="2019-04-26T00:00:00"/>
    <s v="Industrial (CESION LTP)"/>
    <s v="DOÑA LETICIA"/>
    <n v="952061"/>
    <n v="73"/>
    <x v="0"/>
    <n v="47"/>
    <m/>
  </r>
  <r>
    <n v="1594"/>
    <d v="2019-04-26T00:00:00"/>
    <s v="Industrial (CESION LTP)"/>
    <s v="DOÑA LETICIA"/>
    <n v="952061"/>
    <n v="73"/>
    <x v="1"/>
    <n v="253"/>
    <m/>
  </r>
  <r>
    <n v="1462"/>
    <d v="2019-04-17T00:00:00"/>
    <s v="Industrial (CESION LTP)"/>
    <s v="ANTARES V"/>
    <n v="952452"/>
    <n v="73"/>
    <x v="0"/>
    <n v="297"/>
    <n v="494.53199999999998"/>
  </r>
  <r>
    <n v="1462"/>
    <d v="2019-04-17T00:00:00"/>
    <s v="Industrial (CESION LTP)"/>
    <s v="ANTARES V"/>
    <n v="952452"/>
    <n v="73"/>
    <x v="1"/>
    <n v="727"/>
    <n v="426.68799999999999"/>
  </r>
  <r>
    <n v="1594"/>
    <d v="2019-04-26T00:00:00"/>
    <s v="Industrial (CESION LTP)"/>
    <s v="DON KAKO"/>
    <n v="960538"/>
    <n v="73"/>
    <x v="0"/>
    <n v="47"/>
    <n v="158.10400000000001"/>
  </r>
  <r>
    <n v="1594"/>
    <d v="2019-04-26T00:00:00"/>
    <s v="Industrial (CESION LTP)"/>
    <s v="DON KAKO"/>
    <n v="960538"/>
    <n v="73"/>
    <x v="1"/>
    <n v="253"/>
    <n v="140.31200000000001"/>
  </r>
  <r>
    <n v="1594"/>
    <d v="2019-04-26T00:00:00"/>
    <s v="Industrial (CESION LTP)"/>
    <s v="PEDRO L"/>
    <n v="966170"/>
    <n v="73"/>
    <x v="0"/>
    <n v="47"/>
    <n v="120.01"/>
  </r>
  <r>
    <n v="1594"/>
    <d v="2019-04-26T00:00:00"/>
    <s v="Industrial (CESION LTP)"/>
    <s v="PEDRO L"/>
    <n v="966170"/>
    <n v="73"/>
    <x v="1"/>
    <n v="253"/>
    <n v="180"/>
  </r>
  <r>
    <n v="2100"/>
    <d v="2019-06-07T00:00:00"/>
    <s v="Artesanal"/>
    <s v="SILOE"/>
    <n v="904281"/>
    <n v="74"/>
    <x v="0"/>
    <n v="50"/>
    <m/>
  </r>
  <r>
    <n v="2100"/>
    <d v="2019-06-07T00:00:00"/>
    <s v="Artesanal"/>
    <s v="SILOE"/>
    <n v="904281"/>
    <n v="74"/>
    <x v="1"/>
    <n v="0"/>
    <m/>
  </r>
  <r>
    <n v="2100"/>
    <d v="2019-06-07T00:00:00"/>
    <s v="Artesanal"/>
    <s v="GAVIOTA I"/>
    <n v="967281"/>
    <n v="74"/>
    <x v="0"/>
    <n v="0"/>
    <m/>
  </r>
  <r>
    <n v="2100"/>
    <d v="2019-06-07T00:00:00"/>
    <s v="Artesanal"/>
    <s v="GAVIOTA I"/>
    <n v="967281"/>
    <n v="74"/>
    <x v="1"/>
    <n v="65"/>
    <m/>
  </r>
  <r>
    <n v="2100"/>
    <d v="2019-06-07T00:00:00"/>
    <s v="Artesanal"/>
    <s v="SUSANA II"/>
    <n v="967342"/>
    <n v="74"/>
    <x v="0"/>
    <n v="0"/>
    <m/>
  </r>
  <r>
    <n v="2100"/>
    <d v="2019-06-07T00:00:00"/>
    <s v="Artesanal"/>
    <s v="SUSANA II"/>
    <n v="967342"/>
    <n v="74"/>
    <x v="1"/>
    <n v="70"/>
    <m/>
  </r>
  <r>
    <n v="7"/>
    <d v="2019-02-21T00:00:00"/>
    <s v="Artesanal"/>
    <s v="ODISEO II"/>
    <n v="965770"/>
    <n v="76"/>
    <x v="0"/>
    <n v="22"/>
    <n v="23.265999999999998"/>
  </r>
  <r>
    <n v="7"/>
    <d v="2019-02-21T00:00:00"/>
    <s v="Artesanal"/>
    <s v="ODISEO II"/>
    <n v="965770"/>
    <n v="76"/>
    <x v="1"/>
    <n v="352"/>
    <n v="350.73399999999998"/>
  </r>
  <r>
    <n v="40"/>
    <d v="2019-03-27T00:00:00"/>
    <s v="Artesanal"/>
    <s v="ODISEO II"/>
    <n v="965770"/>
    <n v="76"/>
    <x v="0"/>
    <n v="24"/>
    <n v="20.597999999999999"/>
  </r>
  <r>
    <n v="40"/>
    <d v="2019-03-27T00:00:00"/>
    <s v="Artesanal"/>
    <s v="ODISEO II"/>
    <n v="965770"/>
    <n v="76"/>
    <x v="1"/>
    <n v="0"/>
    <m/>
  </r>
  <r>
    <n v="87"/>
    <d v="2019-05-23T00:00:00"/>
    <s v="Artesanal"/>
    <s v="ODISEO II"/>
    <n v="965770"/>
    <n v="76"/>
    <x v="0"/>
    <n v="40"/>
    <n v="14.798999999999999"/>
  </r>
  <r>
    <n v="87"/>
    <d v="2019-05-23T00:00:00"/>
    <s v="Artesanal"/>
    <s v="ODISEO II"/>
    <n v="965770"/>
    <n v="76"/>
    <x v="1"/>
    <n v="60"/>
    <n v="27.577000000000002"/>
  </r>
  <r>
    <n v="1015"/>
    <d v="2019-03-21T00:00:00"/>
    <s v="Artesanal"/>
    <s v="ODISEO II"/>
    <n v="965770"/>
    <n v="76"/>
    <x v="0"/>
    <n v="0"/>
    <m/>
  </r>
  <r>
    <n v="1015"/>
    <d v="2019-03-21T00:00:00"/>
    <s v="Artesanal"/>
    <s v="ODISEO II"/>
    <n v="965770"/>
    <n v="76"/>
    <x v="1"/>
    <n v="330"/>
    <n v="335.185"/>
  </r>
  <r>
    <n v="1112"/>
    <d v="2019-03-29T00:00:00"/>
    <s v="Industrial (CESION LTP)"/>
    <s v="ODISEO II"/>
    <n v="965770"/>
    <n v="76"/>
    <x v="0"/>
    <n v="65"/>
    <n v="151.26400000000001"/>
  </r>
  <r>
    <n v="1112"/>
    <d v="2019-03-29T00:00:00"/>
    <s v="Industrial (CESION LTP)"/>
    <s v="ODISEO II"/>
    <n v="965770"/>
    <n v="76"/>
    <x v="1"/>
    <n v="135"/>
    <n v="48.625999999999998"/>
  </r>
  <r>
    <n v="2255"/>
    <d v="2019-06-21T00:00:00"/>
    <s v="Artesanal"/>
    <s v="MATEO ABDON"/>
    <n v="967484"/>
    <n v="76"/>
    <x v="0"/>
    <n v="9"/>
    <m/>
  </r>
  <r>
    <n v="2255"/>
    <d v="2019-06-21T00:00:00"/>
    <s v="Artesanal"/>
    <s v="MATEO ABDON"/>
    <n v="967484"/>
    <n v="76"/>
    <x v="1"/>
    <n v="114"/>
    <m/>
  </r>
  <r>
    <n v="84"/>
    <d v="2019-05-23T00:00:00"/>
    <s v="Artesanal"/>
    <s v="JACOB MOISES"/>
    <n v="967528"/>
    <n v="76"/>
    <x v="0"/>
    <n v="1"/>
    <m/>
  </r>
  <r>
    <n v="84"/>
    <d v="2019-05-23T00:00:00"/>
    <s v="Artesanal"/>
    <s v="JACOB MOISES"/>
    <n v="967528"/>
    <n v="76"/>
    <x v="1"/>
    <n v="24"/>
    <m/>
  </r>
  <r>
    <m/>
    <m/>
    <m/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4" applyNumberFormats="0" applyBorderFormats="0" applyFontFormats="0" applyPatternFormats="0" applyAlignmentFormats="0" applyWidthHeightFormats="1" dataCaption="C " updatedVersion="3" minRefreshableVersion="3" showCalcMbrs="0" useAutoFormatting="1" itemPrintTitles="1" createdVersion="3" indent="0" outline="1" outlineData="1" multipleFieldFilters="0" rowHeaderCaption="ESPECIE">
  <location ref="Q2:S6" firstHeaderRow="1" firstDataRow="2" firstDataCol="1"/>
  <pivotFields count="9">
    <pivotField showAll="0" defaultSubtotal="0"/>
    <pivotField numFmtId="14" showAll="0"/>
    <pivotField showAll="0" defaultSubtotal="0"/>
    <pivotField showAll="0"/>
    <pivotField showAll="0"/>
    <pivotField showAll="0" defaultSubtotal="0"/>
    <pivotField axis="axisRow" showAll="0" defaultSubtotal="0">
      <items count="3">
        <item x="0"/>
        <item x="1"/>
        <item h="1" x="2"/>
      </items>
    </pivotField>
    <pivotField dataField="1" showAll="0" defaultSubtotal="0"/>
    <pivotField dataField="1" showAll="0" defaultSubtota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antidad (Ton)" fld="7" baseField="0" baseItem="0"/>
    <dataField name="Suma de Desembarque (Ton)" fld="8" baseField="0" baseItem="0"/>
  </dataFields>
  <formats count="12">
    <format dxfId="11">
      <pivotArea type="origin" dataOnly="0" labelOnly="1" outline="0" fieldPosition="0"/>
    </format>
    <format dxfId="10">
      <pivotArea field="-2" type="button" dataOnly="0" labelOnly="1" outline="0" axis="axisCol" fieldPosition="0"/>
    </format>
    <format dxfId="9">
      <pivotArea type="origin" dataOnly="0" labelOnly="1" outline="0" fieldPosition="0"/>
    </format>
    <format dxfId="8">
      <pivotArea field="-2" type="button" dataOnly="0" labelOnly="1" outline="0" axis="axisCol" fieldPosition="0"/>
    </format>
    <format dxfId="7">
      <pivotArea type="all" dataOnly="0" outline="0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6" type="button" dataOnly="0" labelOnly="1" outline="0" axis="axisRow" fieldPosition="0"/>
    </format>
    <format dxfId="2">
      <pivotArea dataOnly="0" labelOnly="1" fieldPosition="0">
        <references count="1">
          <reference field="6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L59"/>
  <sheetViews>
    <sheetView showGridLines="0" tabSelected="1" zoomScale="65" zoomScaleNormal="65" workbookViewId="0">
      <selection activeCell="P44" sqref="P44"/>
    </sheetView>
  </sheetViews>
  <sheetFormatPr baseColWidth="10" defaultColWidth="11.5703125" defaultRowHeight="12"/>
  <cols>
    <col min="1" max="1" width="10.140625" style="565" customWidth="1"/>
    <col min="2" max="2" width="30.5703125" style="52" customWidth="1"/>
    <col min="3" max="3" width="9.5703125" style="52" customWidth="1"/>
    <col min="4" max="4" width="17.7109375" style="52" customWidth="1"/>
    <col min="5" max="5" width="14.42578125" style="52" customWidth="1"/>
    <col min="6" max="6" width="14.85546875" style="52" customWidth="1"/>
    <col min="7" max="7" width="12" style="52" customWidth="1"/>
    <col min="8" max="8" width="13.28515625" style="52" customWidth="1"/>
    <col min="9" max="9" width="12.5703125" style="52" customWidth="1"/>
    <col min="10" max="10" width="10.28515625" style="559" customWidth="1"/>
    <col min="11" max="12" width="11.5703125" style="559"/>
    <col min="13" max="16384" width="11.5703125" style="2"/>
  </cols>
  <sheetData>
    <row r="1" spans="1:12">
      <c r="B1" s="1"/>
      <c r="C1" s="1"/>
      <c r="D1" s="1"/>
      <c r="E1" s="1"/>
      <c r="F1" s="1"/>
      <c r="G1" s="1"/>
      <c r="H1" s="1"/>
      <c r="I1" s="1"/>
    </row>
    <row r="2" spans="1:12" s="3" customFormat="1" ht="22.15" customHeight="1">
      <c r="A2" s="566"/>
      <c r="B2" s="642" t="s">
        <v>0</v>
      </c>
      <c r="C2" s="643"/>
      <c r="D2" s="643"/>
      <c r="E2" s="643"/>
      <c r="F2" s="643"/>
      <c r="G2" s="643"/>
      <c r="H2" s="643"/>
      <c r="I2" s="644"/>
      <c r="J2" s="560"/>
      <c r="K2" s="560"/>
      <c r="L2" s="560"/>
    </row>
    <row r="3" spans="1:12" s="3" customFormat="1" ht="24" customHeight="1">
      <c r="A3" s="566"/>
      <c r="B3" s="645">
        <v>43663</v>
      </c>
      <c r="C3" s="646"/>
      <c r="D3" s="646"/>
      <c r="E3" s="646"/>
      <c r="F3" s="646"/>
      <c r="G3" s="646"/>
      <c r="H3" s="646"/>
      <c r="I3" s="647"/>
      <c r="J3" s="560"/>
      <c r="K3" s="560"/>
      <c r="L3" s="560"/>
    </row>
    <row r="4" spans="1:12" s="3" customFormat="1" ht="9" customHeight="1">
      <c r="A4" s="566"/>
      <c r="B4" s="4"/>
      <c r="C4" s="4"/>
      <c r="D4" s="4"/>
      <c r="E4" s="4"/>
      <c r="F4" s="4"/>
      <c r="G4" s="4"/>
      <c r="H4" s="4"/>
      <c r="I4" s="4"/>
      <c r="J4" s="560"/>
      <c r="K4" s="560"/>
      <c r="L4" s="560"/>
    </row>
    <row r="5" spans="1:12" s="3" customFormat="1" ht="24" customHeight="1">
      <c r="A5" s="566"/>
      <c r="B5" s="4"/>
      <c r="C5" s="4"/>
      <c r="D5" s="4"/>
      <c r="E5" s="4"/>
      <c r="F5" s="4"/>
      <c r="G5" s="4"/>
      <c r="H5" s="4"/>
      <c r="I5" s="4"/>
      <c r="J5" s="560"/>
      <c r="K5" s="560"/>
      <c r="L5" s="560"/>
    </row>
    <row r="6" spans="1:12" s="3" customFormat="1" ht="27.6" customHeight="1">
      <c r="A6" s="566"/>
      <c r="B6" s="648" t="s">
        <v>1</v>
      </c>
      <c r="C6" s="648"/>
      <c r="D6" s="648"/>
      <c r="E6" s="648"/>
      <c r="F6" s="648"/>
      <c r="G6" s="648"/>
      <c r="H6" s="648"/>
      <c r="I6" s="648"/>
      <c r="J6" s="560"/>
      <c r="K6" s="560"/>
      <c r="L6" s="560"/>
    </row>
    <row r="7" spans="1:12" s="3" customFormat="1" ht="24" customHeight="1">
      <c r="A7" s="566"/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60"/>
      <c r="K7" s="560"/>
      <c r="L7" s="560"/>
    </row>
    <row r="8" spans="1:12" s="3" customFormat="1" ht="15" customHeight="1">
      <c r="A8" s="566"/>
      <c r="B8" s="649" t="s">
        <v>10</v>
      </c>
      <c r="C8" s="650"/>
      <c r="D8" s="6">
        <v>120500</v>
      </c>
      <c r="E8" s="6"/>
      <c r="F8" s="6">
        <f>D8+E8</f>
        <v>120500</v>
      </c>
      <c r="G8" s="6"/>
      <c r="H8" s="6">
        <f>F8-G8</f>
        <v>120500</v>
      </c>
      <c r="I8" s="7">
        <f>G8/F8</f>
        <v>0</v>
      </c>
      <c r="J8" s="560"/>
      <c r="K8" s="560"/>
      <c r="L8" s="560"/>
    </row>
    <row r="9" spans="1:12" s="3" customFormat="1" ht="15" customHeight="1">
      <c r="A9" s="566"/>
      <c r="B9" s="633" t="s">
        <v>11</v>
      </c>
      <c r="C9" s="634"/>
      <c r="D9" s="8">
        <v>150</v>
      </c>
      <c r="E9" s="8"/>
      <c r="F9" s="9">
        <f>+D9+E9</f>
        <v>150</v>
      </c>
      <c r="G9" s="10">
        <f>+'Pesca Investigacion'!D9</f>
        <v>0.17100000000000004</v>
      </c>
      <c r="H9" s="8">
        <f>F9-G9</f>
        <v>149.82900000000001</v>
      </c>
      <c r="I9" s="7">
        <f t="shared" ref="I9:I12" si="0">G9/F9</f>
        <v>1.1400000000000002E-3</v>
      </c>
      <c r="J9" s="560"/>
      <c r="K9" s="560"/>
      <c r="L9" s="560"/>
    </row>
    <row r="10" spans="1:12" s="3" customFormat="1" ht="15" customHeight="1">
      <c r="A10" s="566"/>
      <c r="B10" s="633" t="s">
        <v>12</v>
      </c>
      <c r="C10" s="634"/>
      <c r="D10" s="12">
        <v>1205</v>
      </c>
      <c r="E10" s="8"/>
      <c r="F10" s="9">
        <f>+D10+E10</f>
        <v>1205</v>
      </c>
      <c r="G10" s="10"/>
      <c r="H10" s="12">
        <f>F10-G10</f>
        <v>1205</v>
      </c>
      <c r="I10" s="7">
        <f t="shared" si="0"/>
        <v>0</v>
      </c>
      <c r="J10" s="560"/>
      <c r="K10" s="560"/>
      <c r="L10" s="560"/>
    </row>
    <row r="11" spans="1:12" s="3" customFormat="1" ht="15" customHeight="1">
      <c r="A11" s="566"/>
      <c r="B11" s="633" t="s">
        <v>13</v>
      </c>
      <c r="C11" s="634"/>
      <c r="D11" s="8">
        <v>1205</v>
      </c>
      <c r="E11" s="8"/>
      <c r="F11" s="9">
        <f>+D11</f>
        <v>1205</v>
      </c>
      <c r="G11" s="13">
        <f>+'Consumo Humano'!E9</f>
        <v>1153.204</v>
      </c>
      <c r="H11" s="8">
        <f>F11-G11</f>
        <v>51.796000000000049</v>
      </c>
      <c r="I11" s="7">
        <f t="shared" si="0"/>
        <v>0.95701576763485474</v>
      </c>
      <c r="J11" s="560"/>
      <c r="K11" s="560"/>
      <c r="L11" s="560"/>
    </row>
    <row r="12" spans="1:12" s="3" customFormat="1" ht="15" customHeight="1">
      <c r="A12" s="224">
        <f>+'PELAGICOS LTP'!E24</f>
        <v>25946.997405300004</v>
      </c>
      <c r="B12" s="651" t="s">
        <v>14</v>
      </c>
      <c r="C12" s="652"/>
      <c r="D12" s="390">
        <f>+'PELAGICOS LTP'!E24</f>
        <v>25946.997405300004</v>
      </c>
      <c r="E12" s="391">
        <f>+'PELAGICOS LTP'!F24</f>
        <v>-18636.913999999997</v>
      </c>
      <c r="F12" s="392">
        <f>+D12+E12</f>
        <v>7310.0834053000071</v>
      </c>
      <c r="G12" s="393">
        <f>'PELAGICOS LTP'!H24</f>
        <v>57.192</v>
      </c>
      <c r="H12" s="390">
        <f>F12-G12</f>
        <v>7252.8914053000071</v>
      </c>
      <c r="I12" s="7">
        <f t="shared" si="0"/>
        <v>7.8237137429286053E-3</v>
      </c>
      <c r="J12" s="560"/>
      <c r="K12" s="560"/>
      <c r="L12" s="560"/>
    </row>
    <row r="13" spans="1:12" s="3" customFormat="1" ht="15" customHeight="1">
      <c r="A13" s="566"/>
      <c r="B13" s="649" t="s">
        <v>15</v>
      </c>
      <c r="C13" s="650"/>
      <c r="D13" s="6">
        <f>+D14+D22</f>
        <v>91993</v>
      </c>
      <c r="E13" s="14">
        <f>+E14+E22</f>
        <v>-2656.71</v>
      </c>
      <c r="F13" s="6">
        <f t="shared" ref="F13:H13" si="1">+F14+F22</f>
        <v>89336.29</v>
      </c>
      <c r="G13" s="6">
        <f t="shared" si="1"/>
        <v>95596.332999999984</v>
      </c>
      <c r="H13" s="463">
        <f t="shared" si="1"/>
        <v>-6260.0429999999906</v>
      </c>
      <c r="I13" s="464">
        <f>+I14+I22</f>
        <v>1.5267725853867502</v>
      </c>
      <c r="J13" s="560"/>
      <c r="K13" s="560"/>
      <c r="L13" s="560"/>
    </row>
    <row r="14" spans="1:12" s="19" customFormat="1" ht="15" customHeight="1">
      <c r="A14" s="557">
        <v>1765</v>
      </c>
      <c r="B14" s="15" t="s">
        <v>16</v>
      </c>
      <c r="C14" s="16" t="s">
        <v>17</v>
      </c>
      <c r="D14" s="17">
        <v>150</v>
      </c>
      <c r="E14" s="17"/>
      <c r="F14" s="17">
        <f>+D14+E14</f>
        <v>150</v>
      </c>
      <c r="G14" s="17">
        <v>0</v>
      </c>
      <c r="H14" s="17">
        <f>+F14-G14</f>
        <v>150</v>
      </c>
      <c r="I14" s="18">
        <f>+I15+I23</f>
        <v>0.45490007000350019</v>
      </c>
      <c r="J14" s="561"/>
      <c r="K14" s="561"/>
      <c r="L14" s="561"/>
    </row>
    <row r="15" spans="1:12" s="19" customFormat="1" ht="15" customHeight="1">
      <c r="A15" s="557">
        <f>+'ANCHOVETA '!F11</f>
        <v>5715.0000000000009</v>
      </c>
      <c r="B15" s="20" t="s">
        <v>18</v>
      </c>
      <c r="C15" s="21" t="s">
        <v>19</v>
      </c>
      <c r="D15" s="22">
        <v>5714</v>
      </c>
      <c r="E15" s="22">
        <f>+'ANCHOVETA '!G11</f>
        <v>0</v>
      </c>
      <c r="F15" s="22">
        <f t="shared" ref="F15" si="2">D15+E15</f>
        <v>5714</v>
      </c>
      <c r="G15" s="22">
        <f>+'ANCHOVETA '!I11+'ANCHOVETA '!J11+'ANCHOVETA '!K11</f>
        <v>2599.299</v>
      </c>
      <c r="H15" s="22">
        <f t="shared" ref="H15:H17" si="3">F15-G15</f>
        <v>3114.701</v>
      </c>
      <c r="I15" s="23">
        <f t="shared" ref="I15:I22" si="4">G15/F15</f>
        <v>0.45490007000350019</v>
      </c>
      <c r="J15" s="562">
        <f>+D15-A15</f>
        <v>-1.0000000000009095</v>
      </c>
      <c r="K15" s="561"/>
      <c r="L15" s="561"/>
    </row>
    <row r="16" spans="1:12" s="19" customFormat="1" ht="15" customHeight="1">
      <c r="A16" s="557">
        <f>+'ANCHOVETA '!F12</f>
        <v>36</v>
      </c>
      <c r="B16" s="20" t="s">
        <v>18</v>
      </c>
      <c r="C16" s="21" t="s">
        <v>20</v>
      </c>
      <c r="D16" s="22">
        <v>36</v>
      </c>
      <c r="E16" s="22">
        <f>+'ANCHOVETA '!G12</f>
        <v>0</v>
      </c>
      <c r="F16" s="22">
        <f>+'ANCHOVETA '!H12</f>
        <v>36</v>
      </c>
      <c r="G16" s="22">
        <f>+'ANCHOVETA '!I12+'ANCHOVETA '!J12+'ANCHOVETA '!K12</f>
        <v>0</v>
      </c>
      <c r="H16" s="22">
        <f t="shared" si="3"/>
        <v>36</v>
      </c>
      <c r="I16" s="23">
        <f t="shared" si="4"/>
        <v>0</v>
      </c>
      <c r="J16" s="562">
        <f t="shared" ref="J16:J22" si="5">+D16-A16</f>
        <v>0</v>
      </c>
      <c r="K16" s="561"/>
      <c r="L16" s="561"/>
    </row>
    <row r="17" spans="1:12" s="19" customFormat="1" ht="15" customHeight="1">
      <c r="A17" s="557">
        <f>+'ANCHOVETA '!F17</f>
        <v>611</v>
      </c>
      <c r="B17" s="20" t="s">
        <v>18</v>
      </c>
      <c r="C17" s="21" t="s">
        <v>21</v>
      </c>
      <c r="D17" s="22">
        <v>611</v>
      </c>
      <c r="E17" s="24">
        <f>+'ANCHOVETA '!G17</f>
        <v>-193</v>
      </c>
      <c r="F17" s="22">
        <f>+'ANCHOVETA '!H17</f>
        <v>418</v>
      </c>
      <c r="G17" s="22">
        <f>+'ANCHOVETA '!I17+'ANCHOVETA '!J17+'ANCHOVETA '!K17</f>
        <v>364.31700000000001</v>
      </c>
      <c r="H17" s="22">
        <f t="shared" si="3"/>
        <v>53.682999999999993</v>
      </c>
      <c r="I17" s="23">
        <f t="shared" si="4"/>
        <v>0.87157177033492828</v>
      </c>
      <c r="J17" s="562">
        <f t="shared" si="5"/>
        <v>0</v>
      </c>
      <c r="K17" s="561"/>
      <c r="L17" s="561"/>
    </row>
    <row r="18" spans="1:12" s="19" customFormat="1" ht="15" customHeight="1">
      <c r="A18" s="557">
        <f>+'ANCHOVETA '!F94</f>
        <v>73228.024999999965</v>
      </c>
      <c r="B18" s="20" t="s">
        <v>18</v>
      </c>
      <c r="C18" s="21" t="s">
        <v>22</v>
      </c>
      <c r="D18" s="22">
        <v>73229</v>
      </c>
      <c r="E18" s="24">
        <f>+'ANCHOVETA '!G94</f>
        <v>-205.47999999999996</v>
      </c>
      <c r="F18" s="22">
        <f>+'ANCHOVETA '!H94</f>
        <v>73022.544999999955</v>
      </c>
      <c r="G18" s="22">
        <f>+'ANCHOVETA '!I94+'ANCHOVETA '!J94+'ANCHOVETA '!K94</f>
        <v>89018.538</v>
      </c>
      <c r="H18" s="25">
        <f>F18-G18</f>
        <v>-15995.993000000046</v>
      </c>
      <c r="I18" s="11">
        <f t="shared" si="4"/>
        <v>1.2190555396282075</v>
      </c>
      <c r="J18" s="562">
        <f t="shared" si="5"/>
        <v>0.9750000000349246</v>
      </c>
      <c r="K18" s="561"/>
      <c r="L18" s="561"/>
    </row>
    <row r="19" spans="1:12" s="19" customFormat="1" ht="15" customHeight="1">
      <c r="A19" s="557">
        <f>+'ANCHOVETA '!F96</f>
        <v>1141</v>
      </c>
      <c r="B19" s="20" t="s">
        <v>18</v>
      </c>
      <c r="C19" s="21" t="s">
        <v>23</v>
      </c>
      <c r="D19" s="22">
        <v>1141</v>
      </c>
      <c r="E19" s="22">
        <f>+'ANCHOVETA '!G95</f>
        <v>0</v>
      </c>
      <c r="F19" s="22">
        <f>D19+E19</f>
        <v>1141</v>
      </c>
      <c r="G19" s="22">
        <f>+'ANCHOVETA '!I95+'ANCHOVETA '!J95+'ANCHOVETA '!K95</f>
        <v>303.19300000000004</v>
      </c>
      <c r="H19" s="22">
        <f t="shared" ref="H19:H21" si="6">F19-G19</f>
        <v>837.80700000000002</v>
      </c>
      <c r="I19" s="23">
        <f t="shared" si="4"/>
        <v>0.26572567922874674</v>
      </c>
      <c r="J19" s="562">
        <f t="shared" si="5"/>
        <v>0</v>
      </c>
      <c r="K19" s="561"/>
      <c r="L19" s="561"/>
    </row>
    <row r="20" spans="1:12" s="19" customFormat="1" ht="15" customHeight="1">
      <c r="A20" s="557">
        <f>+'ANCHOVETA '!F108</f>
        <v>6875.6059999999998</v>
      </c>
      <c r="B20" s="20" t="s">
        <v>18</v>
      </c>
      <c r="C20" s="21" t="s">
        <v>24</v>
      </c>
      <c r="D20" s="22">
        <v>6876</v>
      </c>
      <c r="E20" s="22">
        <f>+'ANCHOVETA '!G108</f>
        <v>-402.23</v>
      </c>
      <c r="F20" s="22">
        <f>+'ANCHOVETA '!H108</f>
        <v>6473.3760000000002</v>
      </c>
      <c r="G20" s="22">
        <f>+'ANCHOVETA '!I108+'ANCHOVETA '!J108+'ANCHOVETA '!K108</f>
        <v>2522.23</v>
      </c>
      <c r="H20" s="22">
        <f t="shared" si="6"/>
        <v>3951.1460000000002</v>
      </c>
      <c r="I20" s="23">
        <f t="shared" si="4"/>
        <v>0.38963131447949262</v>
      </c>
      <c r="J20" s="562">
        <f t="shared" si="5"/>
        <v>0.39400000000023283</v>
      </c>
      <c r="K20" s="561"/>
      <c r="L20" s="561"/>
    </row>
    <row r="21" spans="1:12" s="19" customFormat="1" ht="15" customHeight="1">
      <c r="A21" s="557">
        <f>+'ANCHOVETA '!F120</f>
        <v>4235.9997480000002</v>
      </c>
      <c r="B21" s="20" t="s">
        <v>18</v>
      </c>
      <c r="C21" s="21" t="s">
        <v>25</v>
      </c>
      <c r="D21" s="22">
        <v>4236</v>
      </c>
      <c r="E21" s="24">
        <f>+'ANCHOVETA '!G120</f>
        <v>-1856</v>
      </c>
      <c r="F21" s="22">
        <f>D21+E21</f>
        <v>2380</v>
      </c>
      <c r="G21" s="22">
        <f>+'ANCHOVETA '!I120+'ANCHOVETA '!J120+'ANCHOVETA '!K120</f>
        <v>788.75600000000009</v>
      </c>
      <c r="H21" s="22">
        <f t="shared" si="6"/>
        <v>1591.2439999999999</v>
      </c>
      <c r="I21" s="23">
        <f t="shared" si="4"/>
        <v>0.33141008403361349</v>
      </c>
      <c r="J21" s="562">
        <f t="shared" si="5"/>
        <v>2.5199999981850851E-4</v>
      </c>
      <c r="K21" s="561"/>
      <c r="L21" s="561"/>
    </row>
    <row r="22" spans="1:12" s="19" customFormat="1" ht="15" customHeight="1">
      <c r="A22" s="567">
        <f>SUM(A15:A21)</f>
        <v>91842.630747999967</v>
      </c>
      <c r="B22" s="15" t="s">
        <v>26</v>
      </c>
      <c r="C22" s="16" t="s">
        <v>17</v>
      </c>
      <c r="D22" s="17">
        <f>SUM(D15:D21)</f>
        <v>91843</v>
      </c>
      <c r="E22" s="17">
        <f>SUM(E15:E21)</f>
        <v>-2656.71</v>
      </c>
      <c r="F22" s="17">
        <f>+D22+E22</f>
        <v>89186.29</v>
      </c>
      <c r="G22" s="17">
        <f>SUM(G15:G21)</f>
        <v>95596.332999999984</v>
      </c>
      <c r="H22" s="26">
        <f>+F22-G22</f>
        <v>-6410.0429999999906</v>
      </c>
      <c r="I22" s="18">
        <f t="shared" si="4"/>
        <v>1.07187251538325</v>
      </c>
      <c r="J22" s="562">
        <f t="shared" si="5"/>
        <v>0.36925200003315695</v>
      </c>
      <c r="K22" s="561"/>
      <c r="L22" s="561"/>
    </row>
    <row r="23" spans="1:12" s="19" customFormat="1" ht="13.9" customHeight="1">
      <c r="A23" s="568"/>
      <c r="B23" s="27"/>
      <c r="C23" s="27"/>
      <c r="D23" s="27"/>
      <c r="E23" s="27"/>
      <c r="F23" s="27"/>
      <c r="G23" s="27"/>
      <c r="H23" s="27"/>
      <c r="I23" s="27"/>
      <c r="J23" s="561"/>
      <c r="K23" s="561"/>
      <c r="L23" s="561"/>
    </row>
    <row r="24" spans="1:12" s="19" customFormat="1" ht="12" hidden="1" customHeight="1">
      <c r="A24" s="568"/>
      <c r="B24" s="28"/>
      <c r="C24" s="28"/>
      <c r="D24" s="28"/>
      <c r="E24" s="28"/>
      <c r="F24" s="28"/>
      <c r="G24" s="28"/>
      <c r="H24" s="28"/>
      <c r="I24" s="28"/>
      <c r="J24" s="561"/>
      <c r="K24" s="561"/>
      <c r="L24" s="561"/>
    </row>
    <row r="25" spans="1:12" s="19" customFormat="1" ht="27" customHeight="1">
      <c r="A25" s="568"/>
      <c r="B25" s="653" t="s">
        <v>27</v>
      </c>
      <c r="C25" s="654"/>
      <c r="D25" s="654"/>
      <c r="E25" s="654"/>
      <c r="F25" s="654"/>
      <c r="G25" s="654"/>
      <c r="H25" s="654"/>
      <c r="I25" s="655"/>
      <c r="J25" s="561"/>
      <c r="K25" s="561"/>
      <c r="L25" s="561"/>
    </row>
    <row r="26" spans="1:12" s="19" customFormat="1" ht="25.15" customHeight="1">
      <c r="A26" s="568"/>
      <c r="B26" s="29" t="s">
        <v>2</v>
      </c>
      <c r="C26" s="29" t="s">
        <v>3</v>
      </c>
      <c r="D26" s="29" t="s">
        <v>4</v>
      </c>
      <c r="E26" s="29" t="s">
        <v>5</v>
      </c>
      <c r="F26" s="29" t="s">
        <v>6</v>
      </c>
      <c r="G26" s="29" t="s">
        <v>28</v>
      </c>
      <c r="H26" s="29" t="s">
        <v>8</v>
      </c>
      <c r="I26" s="29" t="s">
        <v>9</v>
      </c>
      <c r="J26" s="561"/>
      <c r="K26" s="561"/>
      <c r="L26" s="561"/>
    </row>
    <row r="27" spans="1:12" s="19" customFormat="1" ht="15" customHeight="1">
      <c r="A27" s="568"/>
      <c r="B27" s="637" t="s">
        <v>10</v>
      </c>
      <c r="C27" s="638" t="s">
        <v>29</v>
      </c>
      <c r="D27" s="30">
        <v>335334</v>
      </c>
      <c r="E27" s="30"/>
      <c r="F27" s="30">
        <f>D27+E27</f>
        <v>335334</v>
      </c>
      <c r="G27" s="30"/>
      <c r="H27" s="30">
        <f>F27-G27</f>
        <v>335334</v>
      </c>
      <c r="I27" s="31">
        <f>G27/F27</f>
        <v>0</v>
      </c>
      <c r="J27" s="561"/>
      <c r="K27" s="561"/>
      <c r="L27" s="561"/>
    </row>
    <row r="28" spans="1:12" s="19" customFormat="1" ht="15" customHeight="1">
      <c r="A28" s="568"/>
      <c r="B28" s="633" t="s">
        <v>11</v>
      </c>
      <c r="C28" s="634" t="s">
        <v>29</v>
      </c>
      <c r="D28" s="25">
        <v>180</v>
      </c>
      <c r="E28" s="32"/>
      <c r="F28" s="32">
        <f>+D28+E28</f>
        <v>180</v>
      </c>
      <c r="G28" s="32">
        <f>+'Pesca Investigacion'!E9</f>
        <v>0.35200000000000004</v>
      </c>
      <c r="H28" s="32">
        <f>F28-G28</f>
        <v>179.648</v>
      </c>
      <c r="I28" s="31">
        <f t="shared" ref="I28:I31" si="7">G28/F28</f>
        <v>1.9555555555555559E-3</v>
      </c>
      <c r="J28" s="561"/>
      <c r="K28" s="561"/>
      <c r="L28" s="561"/>
    </row>
    <row r="29" spans="1:12" s="19" customFormat="1" ht="15" customHeight="1">
      <c r="A29" s="568"/>
      <c r="B29" s="633" t="s">
        <v>12</v>
      </c>
      <c r="C29" s="634" t="s">
        <v>29</v>
      </c>
      <c r="D29" s="25">
        <v>3353</v>
      </c>
      <c r="E29" s="33">
        <f>-999-1221</f>
        <v>-2220</v>
      </c>
      <c r="F29" s="32">
        <f>+D29+E29</f>
        <v>1133</v>
      </c>
      <c r="G29" s="32"/>
      <c r="H29" s="32">
        <f>F29-G29</f>
        <v>1133</v>
      </c>
      <c r="I29" s="31">
        <f t="shared" si="7"/>
        <v>0</v>
      </c>
      <c r="J29" s="561"/>
      <c r="K29" s="561"/>
      <c r="L29" s="561"/>
    </row>
    <row r="30" spans="1:12" s="19" customFormat="1" ht="15" customHeight="1">
      <c r="A30" s="568"/>
      <c r="B30" s="633" t="s">
        <v>13</v>
      </c>
      <c r="C30" s="634" t="s">
        <v>29</v>
      </c>
      <c r="D30" s="25">
        <v>3353</v>
      </c>
      <c r="E30" s="32"/>
      <c r="F30" s="32">
        <f>+D30</f>
        <v>3353</v>
      </c>
      <c r="G30" s="32">
        <f>+'Consumo Humano'!E10</f>
        <v>3360.7359999999999</v>
      </c>
      <c r="H30" s="32">
        <f>F30-G30</f>
        <v>-7.7359999999998763</v>
      </c>
      <c r="I30" s="31">
        <f t="shared" si="7"/>
        <v>1.0023071875932001</v>
      </c>
      <c r="J30" s="561"/>
      <c r="K30" s="561"/>
      <c r="L30" s="561"/>
    </row>
    <row r="31" spans="1:12" s="19" customFormat="1" ht="15" customHeight="1">
      <c r="A31" s="568"/>
      <c r="B31" s="635" t="s">
        <v>14</v>
      </c>
      <c r="C31" s="636" t="s">
        <v>29</v>
      </c>
      <c r="D31" s="394">
        <f>+'PELAGICOS LTP'!E48</f>
        <v>72258.014451599971</v>
      </c>
      <c r="E31" s="395">
        <f>+'PELAGICOS LTP'!F48</f>
        <v>-61656.553</v>
      </c>
      <c r="F31" s="396">
        <f>+D31+E31</f>
        <v>10601.461451599971</v>
      </c>
      <c r="G31" s="396">
        <f>'PELAGICOS LTP'!H38</f>
        <v>0</v>
      </c>
      <c r="H31" s="396">
        <f>F31-G31</f>
        <v>10601.461451599971</v>
      </c>
      <c r="I31" s="31">
        <f t="shared" si="7"/>
        <v>0</v>
      </c>
      <c r="J31" s="561"/>
      <c r="K31" s="561"/>
      <c r="L31" s="561"/>
    </row>
    <row r="32" spans="1:12" ht="15" customHeight="1">
      <c r="A32" s="569"/>
      <c r="B32" s="637" t="s">
        <v>15</v>
      </c>
      <c r="C32" s="638" t="s">
        <v>29</v>
      </c>
      <c r="D32" s="34">
        <v>256190</v>
      </c>
      <c r="E32" s="34">
        <f>+E33+E41</f>
        <v>-8983.3799999999992</v>
      </c>
      <c r="F32" s="34">
        <f>+F33+F41</f>
        <v>247206.62</v>
      </c>
      <c r="G32" s="34">
        <f t="shared" ref="G32:H32" si="8">+G33+G41</f>
        <v>185247.35799999995</v>
      </c>
      <c r="H32" s="34">
        <f t="shared" si="8"/>
        <v>61959.262000000046</v>
      </c>
      <c r="I32" s="31">
        <f>G32/F32</f>
        <v>0.7493624483033664</v>
      </c>
    </row>
    <row r="33" spans="1:10" ht="15" customHeight="1">
      <c r="A33" s="569"/>
      <c r="B33" s="15" t="s">
        <v>16</v>
      </c>
      <c r="C33" s="16" t="s">
        <v>17</v>
      </c>
      <c r="D33" s="17">
        <v>150</v>
      </c>
      <c r="E33" s="17"/>
      <c r="F33" s="17">
        <f>+D33+E33</f>
        <v>150</v>
      </c>
      <c r="G33" s="17">
        <v>0</v>
      </c>
      <c r="H33" s="17">
        <f>+F33-G33</f>
        <v>150</v>
      </c>
      <c r="I33" s="18">
        <f>+I34+I42</f>
        <v>0.2099630955659598</v>
      </c>
    </row>
    <row r="34" spans="1:10" ht="15" customHeight="1">
      <c r="A34" s="569">
        <f>+'SARDINA COMUN '!F10</f>
        <v>3630.9989999999998</v>
      </c>
      <c r="B34" s="20" t="s">
        <v>18</v>
      </c>
      <c r="C34" s="35" t="s">
        <v>19</v>
      </c>
      <c r="D34" s="35">
        <v>3631</v>
      </c>
      <c r="E34" s="35">
        <f>+'SARDINA COMUN '!G11</f>
        <v>0</v>
      </c>
      <c r="F34" s="35">
        <f t="shared" ref="F34:F40" si="9">D34+E34</f>
        <v>3631</v>
      </c>
      <c r="G34" s="35">
        <f>+'SARDINA COMUN '!I6+'SARDINA COMUN '!J6+'SARDINA COMUN '!K6</f>
        <v>762.37599999999998</v>
      </c>
      <c r="H34" s="35">
        <f t="shared" ref="H34:H40" si="10">F34-G34</f>
        <v>2868.6239999999998</v>
      </c>
      <c r="I34" s="36">
        <f t="shared" ref="I34:I41" si="11">G34/F34</f>
        <v>0.2099630955659598</v>
      </c>
      <c r="J34" s="563">
        <f t="shared" ref="J34:J36" si="12">+D34-A34</f>
        <v>1.0000000002037268E-3</v>
      </c>
    </row>
    <row r="35" spans="1:10" ht="15" customHeight="1">
      <c r="A35" s="565">
        <f>+'SARDINA COMUN '!F12</f>
        <v>86</v>
      </c>
      <c r="B35" s="20" t="s">
        <v>18</v>
      </c>
      <c r="C35" s="37" t="s">
        <v>20</v>
      </c>
      <c r="D35" s="21">
        <v>86</v>
      </c>
      <c r="E35" s="21">
        <f>'SARDINA COMUN '!G12</f>
        <v>0</v>
      </c>
      <c r="F35" s="21">
        <f t="shared" si="9"/>
        <v>86</v>
      </c>
      <c r="G35" s="21">
        <f>+'SARDINA COMUN '!I12+'SARDINA COMUN '!J12+'SARDINA COMUN '!K12</f>
        <v>0</v>
      </c>
      <c r="H35" s="21">
        <f t="shared" si="10"/>
        <v>86</v>
      </c>
      <c r="I35" s="23">
        <f t="shared" si="11"/>
        <v>0</v>
      </c>
      <c r="J35" s="563">
        <f t="shared" si="12"/>
        <v>0</v>
      </c>
    </row>
    <row r="36" spans="1:10" ht="15" customHeight="1">
      <c r="A36" s="565">
        <f>+'SARDINA COMUN '!F16</f>
        <v>1281</v>
      </c>
      <c r="B36" s="20" t="s">
        <v>18</v>
      </c>
      <c r="C36" s="37" t="s">
        <v>21</v>
      </c>
      <c r="D36" s="21">
        <v>1281</v>
      </c>
      <c r="E36" s="38">
        <f>'SARDINA COMUN '!G16</f>
        <v>-416</v>
      </c>
      <c r="F36" s="21">
        <f t="shared" si="9"/>
        <v>865</v>
      </c>
      <c r="G36" s="21">
        <f>+'SARDINA COMUN '!I16+'SARDINA COMUN '!J16+'SARDINA COMUN '!K16</f>
        <v>588.072</v>
      </c>
      <c r="H36" s="21">
        <f t="shared" si="10"/>
        <v>276.928</v>
      </c>
      <c r="I36" s="23">
        <f t="shared" si="11"/>
        <v>0.67985202312138726</v>
      </c>
      <c r="J36" s="563">
        <f t="shared" si="12"/>
        <v>0</v>
      </c>
    </row>
    <row r="37" spans="1:10" ht="15" customHeight="1">
      <c r="A37" s="569">
        <f>+'SARDINA COMUN '!F93</f>
        <v>204759.97700000001</v>
      </c>
      <c r="B37" s="20" t="s">
        <v>18</v>
      </c>
      <c r="C37" s="37" t="s">
        <v>22</v>
      </c>
      <c r="D37" s="21">
        <v>204934</v>
      </c>
      <c r="E37" s="21">
        <f>'SARDINA COMUN '!G93</f>
        <v>3748.6900000000005</v>
      </c>
      <c r="F37" s="21">
        <f t="shared" si="9"/>
        <v>208682.69</v>
      </c>
      <c r="G37" s="21">
        <f>+'SARDINA COMUN '!I93+'SARDINA COMUN '!J93+'SARDINA COMUN '!K93</f>
        <v>152228.52199999997</v>
      </c>
      <c r="H37" s="21">
        <f t="shared" si="10"/>
        <v>56454.168000000034</v>
      </c>
      <c r="I37" s="23">
        <f>G37/F37</f>
        <v>0.72947364249521585</v>
      </c>
      <c r="J37" s="563">
        <f>+D37-A37</f>
        <v>174.0229999999865</v>
      </c>
    </row>
    <row r="38" spans="1:10" ht="15" customHeight="1">
      <c r="A38" s="570">
        <f>+'SARDINA COMUN '!F95</f>
        <v>3033</v>
      </c>
      <c r="B38" s="20" t="s">
        <v>18</v>
      </c>
      <c r="C38" s="37" t="s">
        <v>23</v>
      </c>
      <c r="D38" s="39">
        <v>3033</v>
      </c>
      <c r="E38" s="39">
        <f>'SARDINA COMUN '!G95</f>
        <v>999</v>
      </c>
      <c r="F38" s="39">
        <f>D38+E38</f>
        <v>4032</v>
      </c>
      <c r="G38" s="39">
        <f>+'SARDINA COMUN '!I95+'SARDINA COMUN '!J95+'SARDINA COMUN '!K95</f>
        <v>4855.0030000000006</v>
      </c>
      <c r="H38" s="40">
        <f>F38-G38</f>
        <v>-823.00300000000061</v>
      </c>
      <c r="I38" s="41">
        <f t="shared" si="11"/>
        <v>1.2041178075396828</v>
      </c>
      <c r="J38" s="563">
        <f t="shared" ref="J38" si="13">+D38-A38</f>
        <v>0</v>
      </c>
    </row>
    <row r="39" spans="1:10" ht="15" customHeight="1">
      <c r="A39" s="569">
        <f>+'SARDINA COMUN '!F107</f>
        <v>29337.001000000004</v>
      </c>
      <c r="B39" s="20" t="s">
        <v>18</v>
      </c>
      <c r="C39" s="37" t="s">
        <v>24</v>
      </c>
      <c r="D39" s="21">
        <v>29362</v>
      </c>
      <c r="E39" s="38">
        <f>+'SARDINA COMUN '!G107</f>
        <v>-1613.0700000000002</v>
      </c>
      <c r="F39" s="21">
        <f>D39+E39</f>
        <v>27748.93</v>
      </c>
      <c r="G39" s="21">
        <f>+'SARDINA COMUN '!I107+'SARDINA COMUN '!J107+'SARDINA COMUN '!K107</f>
        <v>26381.381000000005</v>
      </c>
      <c r="H39" s="21">
        <f t="shared" si="10"/>
        <v>1367.5489999999954</v>
      </c>
      <c r="I39" s="23">
        <f t="shared" si="11"/>
        <v>0.95071705467562184</v>
      </c>
      <c r="J39" s="563">
        <f>+D39-A39</f>
        <v>24.998999999996158</v>
      </c>
    </row>
    <row r="40" spans="1:10" ht="15" customHeight="1">
      <c r="A40" s="569">
        <f>+'SARDINA COMUN '!F119</f>
        <v>13712.999999999998</v>
      </c>
      <c r="B40" s="20" t="s">
        <v>18</v>
      </c>
      <c r="C40" s="37" t="s">
        <v>25</v>
      </c>
      <c r="D40" s="21">
        <v>13713</v>
      </c>
      <c r="E40" s="38">
        <f>'SARDINA COMUN '!G119</f>
        <v>-11702</v>
      </c>
      <c r="F40" s="21">
        <f t="shared" si="9"/>
        <v>2011</v>
      </c>
      <c r="G40" s="21">
        <f>'SARDINA COMUN '!I119</f>
        <v>432.00399999999996</v>
      </c>
      <c r="H40" s="21">
        <f t="shared" si="10"/>
        <v>1578.9960000000001</v>
      </c>
      <c r="I40" s="23">
        <f t="shared" si="11"/>
        <v>0.2148204873197414</v>
      </c>
      <c r="J40" s="563">
        <f>+D40-A40</f>
        <v>0</v>
      </c>
    </row>
    <row r="41" spans="1:10" ht="15" customHeight="1">
      <c r="A41" s="569">
        <f>SUM(A34:A40)</f>
        <v>255840.97700000001</v>
      </c>
      <c r="B41" s="15" t="s">
        <v>26</v>
      </c>
      <c r="C41" s="16" t="s">
        <v>17</v>
      </c>
      <c r="D41" s="17">
        <f>SUM(D34:D40)</f>
        <v>256040</v>
      </c>
      <c r="E41" s="17">
        <f>SUM(E34:E40)</f>
        <v>-8983.3799999999992</v>
      </c>
      <c r="F41" s="17">
        <f>+D41+E41</f>
        <v>247056.62</v>
      </c>
      <c r="G41" s="17">
        <f>SUM(G34:G40)</f>
        <v>185247.35799999995</v>
      </c>
      <c r="H41" s="17">
        <f>+F41-G41</f>
        <v>61809.262000000046</v>
      </c>
      <c r="I41" s="18">
        <f t="shared" si="11"/>
        <v>0.74981742241920069</v>
      </c>
      <c r="J41" s="563">
        <f>+D41-A41</f>
        <v>199.0229999999865</v>
      </c>
    </row>
    <row r="42" spans="1:10" ht="15" customHeight="1">
      <c r="B42" s="1"/>
      <c r="C42" s="1"/>
      <c r="D42" s="1"/>
      <c r="E42" s="1"/>
      <c r="F42" s="1"/>
      <c r="G42" s="1"/>
      <c r="H42" s="1"/>
      <c r="I42" s="1"/>
    </row>
    <row r="43" spans="1:10" ht="15" customHeight="1">
      <c r="B43" s="1"/>
      <c r="C43" s="1"/>
      <c r="D43" s="1"/>
      <c r="E43" s="1"/>
      <c r="F43" s="1"/>
      <c r="G43" s="1"/>
      <c r="H43" s="1"/>
      <c r="I43" s="1"/>
    </row>
    <row r="44" spans="1:10" ht="28.9" customHeight="1">
      <c r="B44" s="639" t="s">
        <v>30</v>
      </c>
      <c r="C44" s="640"/>
      <c r="D44" s="640"/>
      <c r="E44" s="640"/>
      <c r="F44" s="640"/>
      <c r="G44" s="640"/>
      <c r="H44" s="640"/>
      <c r="I44" s="641"/>
    </row>
    <row r="45" spans="1:10" ht="27" customHeight="1">
      <c r="B45" s="42" t="s">
        <v>2</v>
      </c>
      <c r="C45" s="42" t="s">
        <v>3</v>
      </c>
      <c r="D45" s="42" t="s">
        <v>4</v>
      </c>
      <c r="E45" s="42" t="s">
        <v>5</v>
      </c>
      <c r="F45" s="42" t="s">
        <v>6</v>
      </c>
      <c r="G45" s="42" t="s">
        <v>7</v>
      </c>
      <c r="H45" s="42" t="s">
        <v>8</v>
      </c>
      <c r="I45" s="42" t="s">
        <v>9</v>
      </c>
    </row>
    <row r="46" spans="1:10" ht="15" customHeight="1">
      <c r="B46" s="43" t="s">
        <v>18</v>
      </c>
      <c r="C46" s="21" t="s">
        <v>19</v>
      </c>
      <c r="D46" s="8">
        <f>+D15+D34</f>
        <v>9345</v>
      </c>
      <c r="E46" s="8">
        <f t="shared" ref="E46:G46" si="14">+E15+E34</f>
        <v>0</v>
      </c>
      <c r="F46" s="8">
        <f t="shared" si="14"/>
        <v>9345</v>
      </c>
      <c r="G46" s="8">
        <f t="shared" si="14"/>
        <v>3361.6750000000002</v>
      </c>
      <c r="H46" s="44">
        <f t="shared" ref="H46:H52" si="15">F46-G46</f>
        <v>5983.3249999999998</v>
      </c>
      <c r="I46" s="23">
        <f t="shared" ref="I46:I48" si="16">G46/F46</f>
        <v>0.35972980203317284</v>
      </c>
    </row>
    <row r="47" spans="1:10" ht="15" customHeight="1">
      <c r="B47" s="43" t="s">
        <v>18</v>
      </c>
      <c r="C47" s="21" t="s">
        <v>20</v>
      </c>
      <c r="D47" s="8">
        <f t="shared" ref="D47:G49" si="17">+D16+D35</f>
        <v>122</v>
      </c>
      <c r="E47" s="8">
        <f t="shared" si="17"/>
        <v>0</v>
      </c>
      <c r="F47" s="8">
        <f t="shared" si="17"/>
        <v>122</v>
      </c>
      <c r="G47" s="8">
        <f t="shared" si="17"/>
        <v>0</v>
      </c>
      <c r="H47" s="44">
        <f t="shared" si="15"/>
        <v>122</v>
      </c>
      <c r="I47" s="23">
        <f t="shared" si="16"/>
        <v>0</v>
      </c>
    </row>
    <row r="48" spans="1:10" ht="15" customHeight="1">
      <c r="B48" s="43" t="s">
        <v>18</v>
      </c>
      <c r="C48" s="21" t="s">
        <v>21</v>
      </c>
      <c r="D48" s="8">
        <f t="shared" si="17"/>
        <v>1892</v>
      </c>
      <c r="E48" s="45">
        <f t="shared" si="17"/>
        <v>-609</v>
      </c>
      <c r="F48" s="8">
        <f t="shared" si="17"/>
        <v>1283</v>
      </c>
      <c r="G48" s="8">
        <f t="shared" si="17"/>
        <v>952.38900000000001</v>
      </c>
      <c r="H48" s="44">
        <f t="shared" si="15"/>
        <v>330.61099999999999</v>
      </c>
      <c r="I48" s="23">
        <f t="shared" si="16"/>
        <v>0.74231410756040528</v>
      </c>
    </row>
    <row r="49" spans="1:9" ht="13.9" customHeight="1">
      <c r="B49" s="46" t="s">
        <v>18</v>
      </c>
      <c r="C49" s="47" t="s">
        <v>22</v>
      </c>
      <c r="D49" s="48">
        <f t="shared" si="17"/>
        <v>278163</v>
      </c>
      <c r="E49" s="48">
        <f>+E18+E37</f>
        <v>3543.2100000000005</v>
      </c>
      <c r="F49" s="48">
        <f t="shared" si="17"/>
        <v>281705.23499999999</v>
      </c>
      <c r="G49" s="48">
        <f>+G18+G37</f>
        <v>241247.05999999997</v>
      </c>
      <c r="H49" s="49">
        <f t="shared" si="15"/>
        <v>40458.175000000017</v>
      </c>
      <c r="I49" s="50">
        <f>G49/F49</f>
        <v>0.85638117445705253</v>
      </c>
    </row>
    <row r="50" spans="1:9" ht="15">
      <c r="B50" s="43" t="s">
        <v>18</v>
      </c>
      <c r="C50" s="21" t="s">
        <v>23</v>
      </c>
      <c r="D50" s="8">
        <f>+D19+D38</f>
        <v>4174</v>
      </c>
      <c r="E50" s="8">
        <f t="shared" ref="D50:G51" si="18">+E19+E38</f>
        <v>999</v>
      </c>
      <c r="F50" s="8">
        <f t="shared" si="18"/>
        <v>5173</v>
      </c>
      <c r="G50" s="8">
        <f t="shared" si="18"/>
        <v>5158.1960000000008</v>
      </c>
      <c r="H50" s="44">
        <f t="shared" si="15"/>
        <v>14.803999999999178</v>
      </c>
      <c r="I50" s="23">
        <f t="shared" ref="I50:I52" si="19">G50/F50</f>
        <v>0.99713821766866439</v>
      </c>
    </row>
    <row r="51" spans="1:9" ht="15">
      <c r="B51" s="43" t="s">
        <v>18</v>
      </c>
      <c r="C51" s="51" t="s">
        <v>24</v>
      </c>
      <c r="D51" s="8">
        <f t="shared" si="18"/>
        <v>36238</v>
      </c>
      <c r="E51" s="45">
        <f t="shared" si="18"/>
        <v>-2015.3000000000002</v>
      </c>
      <c r="F51" s="8">
        <f t="shared" si="18"/>
        <v>34222.305999999997</v>
      </c>
      <c r="G51" s="8">
        <f t="shared" si="18"/>
        <v>28903.611000000004</v>
      </c>
      <c r="H51" s="44">
        <f t="shared" si="15"/>
        <v>5318.6949999999924</v>
      </c>
      <c r="I51" s="23">
        <f t="shared" si="19"/>
        <v>0.8445839681288575</v>
      </c>
    </row>
    <row r="52" spans="1:9" ht="15">
      <c r="B52" s="43" t="s">
        <v>18</v>
      </c>
      <c r="C52" s="21" t="s">
        <v>25</v>
      </c>
      <c r="D52" s="8">
        <f>+D21+D40</f>
        <v>17949</v>
      </c>
      <c r="E52" s="45">
        <f>+E21+E40</f>
        <v>-13558</v>
      </c>
      <c r="F52" s="8">
        <f>+F21+F40</f>
        <v>4391</v>
      </c>
      <c r="G52" s="8">
        <f>+G21+G40</f>
        <v>1220.76</v>
      </c>
      <c r="H52" s="44">
        <f t="shared" si="15"/>
        <v>3170.24</v>
      </c>
      <c r="I52" s="23">
        <f t="shared" si="19"/>
        <v>0.27801411979048052</v>
      </c>
    </row>
    <row r="53" spans="1:9" ht="15">
      <c r="B53" s="15" t="s">
        <v>26</v>
      </c>
      <c r="C53" s="16" t="s">
        <v>17</v>
      </c>
      <c r="D53" s="17">
        <f>SUM(D46:D52)</f>
        <v>347883</v>
      </c>
      <c r="E53" s="17">
        <f>SUM(E46:E52)</f>
        <v>-11640.09</v>
      </c>
      <c r="F53" s="17">
        <f>+D53+E53</f>
        <v>336242.91</v>
      </c>
      <c r="G53" s="17">
        <f>SUM(G46:G52)</f>
        <v>280843.69099999999</v>
      </c>
      <c r="H53" s="17">
        <f>+F53-G53</f>
        <v>55399.218999999983</v>
      </c>
      <c r="I53" s="18">
        <f>G53/F53</f>
        <v>0.8352404843272383</v>
      </c>
    </row>
    <row r="54" spans="1:9">
      <c r="A54" s="571"/>
      <c r="B54" s="2"/>
      <c r="C54" s="2"/>
      <c r="D54" s="2"/>
      <c r="E54" s="2"/>
      <c r="F54" s="2"/>
      <c r="G54" s="2"/>
      <c r="H54" s="2"/>
      <c r="I54" s="2"/>
    </row>
    <row r="58" spans="1:9">
      <c r="E58" s="549">
        <f>+E12+E31</f>
        <v>-80293.467000000004</v>
      </c>
    </row>
    <row r="59" spans="1:9">
      <c r="E59" s="550">
        <f>+GETPIVOTDATA("Suma de cantidad (Ton)",'Consumo Cesiones_VIII'!$Q$2)</f>
        <v>77301.833000000013</v>
      </c>
    </row>
  </sheetData>
  <mergeCells count="17">
    <mergeCell ref="B28:C28"/>
    <mergeCell ref="B2:I2"/>
    <mergeCell ref="B3:I3"/>
    <mergeCell ref="B6:I6"/>
    <mergeCell ref="B8:C8"/>
    <mergeCell ref="B9:C9"/>
    <mergeCell ref="B10:C10"/>
    <mergeCell ref="B11:C11"/>
    <mergeCell ref="B12:C12"/>
    <mergeCell ref="B13:C13"/>
    <mergeCell ref="B25:I25"/>
    <mergeCell ref="B27:C27"/>
    <mergeCell ref="B29:C29"/>
    <mergeCell ref="B30:C30"/>
    <mergeCell ref="B31:C31"/>
    <mergeCell ref="B32:C32"/>
    <mergeCell ref="B44:I44"/>
  </mergeCells>
  <conditionalFormatting sqref="I34:I41 I15:I22">
    <cfRule type="dataBar" priority="6">
      <dataBar>
        <cfvo type="min" val="0"/>
        <cfvo type="max" val="0"/>
        <color rgb="FFFFB628"/>
      </dataBar>
    </cfRule>
  </conditionalFormatting>
  <conditionalFormatting sqref="I14">
    <cfRule type="dataBar" priority="5">
      <dataBar>
        <cfvo type="min" val="0"/>
        <cfvo type="max" val="0"/>
        <color rgb="FFFFB628"/>
      </dataBar>
    </cfRule>
  </conditionalFormatting>
  <conditionalFormatting sqref="I33">
    <cfRule type="dataBar" priority="4">
      <dataBar>
        <cfvo type="min" val="0"/>
        <cfvo type="max" val="0"/>
        <color rgb="FFFFB628"/>
      </dataBar>
    </cfRule>
  </conditionalFormatting>
  <conditionalFormatting sqref="I41">
    <cfRule type="dataBar" priority="3">
      <dataBar>
        <cfvo type="min" val="0"/>
        <cfvo type="max" val="0"/>
        <color rgb="FFFFB628"/>
      </dataBar>
    </cfRule>
  </conditionalFormatting>
  <conditionalFormatting sqref="I53">
    <cfRule type="dataBar" priority="2">
      <dataBar>
        <cfvo type="min" val="0"/>
        <cfvo type="max" val="0"/>
        <color rgb="FFFFB628"/>
      </dataBar>
    </cfRule>
  </conditionalFormatting>
  <conditionalFormatting sqref="I46:I53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14999847407452621"/>
  </sheetPr>
  <dimension ref="A1:F10"/>
  <sheetViews>
    <sheetView zoomScale="86" zoomScaleNormal="86" workbookViewId="0">
      <selection activeCell="E20" sqref="E20"/>
    </sheetView>
  </sheetViews>
  <sheetFormatPr baseColWidth="10" defaultColWidth="11.42578125" defaultRowHeight="15"/>
  <cols>
    <col min="1" max="1" width="23.5703125" style="384" customWidth="1"/>
    <col min="2" max="2" width="4.85546875" style="384" customWidth="1"/>
    <col min="3" max="3" width="62.5703125" style="384" customWidth="1"/>
    <col min="4" max="4" width="15.28515625" style="384" customWidth="1"/>
    <col min="5" max="5" width="13.42578125" style="384" customWidth="1"/>
    <col min="6" max="6" width="12" style="384" customWidth="1"/>
    <col min="7" max="16384" width="11.42578125" style="384"/>
  </cols>
  <sheetData>
    <row r="1" spans="1:6" ht="15.75" thickBot="1">
      <c r="A1" s="383"/>
      <c r="B1" s="383"/>
      <c r="C1" s="383"/>
      <c r="D1" s="383"/>
      <c r="E1" s="383"/>
      <c r="F1" s="383"/>
    </row>
    <row r="2" spans="1:6" ht="15.75">
      <c r="A2" s="383"/>
      <c r="B2" s="835" t="s">
        <v>253</v>
      </c>
      <c r="C2" s="836"/>
      <c r="D2" s="836"/>
      <c r="E2" s="836"/>
      <c r="F2" s="836"/>
    </row>
    <row r="3" spans="1:6" ht="16.5" thickBot="1">
      <c r="A3" s="383"/>
      <c r="B3" s="837" t="s">
        <v>501</v>
      </c>
      <c r="C3" s="838"/>
      <c r="D3" s="838"/>
      <c r="E3" s="838"/>
      <c r="F3" s="838"/>
    </row>
    <row r="4" spans="1:6">
      <c r="A4" s="383"/>
      <c r="B4" s="383"/>
      <c r="C4" s="383"/>
      <c r="D4" s="383"/>
      <c r="E4" s="383"/>
      <c r="F4" s="383"/>
    </row>
    <row r="5" spans="1:6">
      <c r="A5" s="385"/>
      <c r="B5" s="385"/>
      <c r="C5" s="385"/>
      <c r="D5" s="385"/>
      <c r="E5" s="385"/>
      <c r="F5" s="385"/>
    </row>
    <row r="6" spans="1:6">
      <c r="A6" s="386"/>
      <c r="B6" s="385"/>
      <c r="C6" s="387" t="s">
        <v>502</v>
      </c>
      <c r="D6" s="388" t="s">
        <v>87</v>
      </c>
      <c r="E6" s="388" t="s">
        <v>503</v>
      </c>
      <c r="F6" s="387" t="s">
        <v>305</v>
      </c>
    </row>
    <row r="7" spans="1:6">
      <c r="A7" s="385"/>
      <c r="B7" s="385"/>
      <c r="C7" s="389" t="s">
        <v>504</v>
      </c>
      <c r="D7" s="460">
        <v>9.6000000000000016E-2</v>
      </c>
      <c r="E7" s="460">
        <v>0.28800000000000003</v>
      </c>
      <c r="F7" s="389">
        <v>0.38400000000000006</v>
      </c>
    </row>
    <row r="8" spans="1:6">
      <c r="A8" s="385"/>
      <c r="B8" s="385"/>
      <c r="C8" s="389" t="s">
        <v>505</v>
      </c>
      <c r="D8" s="389">
        <v>7.5000000000000011E-2</v>
      </c>
      <c r="E8" s="389">
        <v>6.4000000000000001E-2</v>
      </c>
      <c r="F8" s="389">
        <v>0.13900000000000001</v>
      </c>
    </row>
    <row r="9" spans="1:6">
      <c r="A9" s="385"/>
      <c r="B9" s="385"/>
      <c r="C9" s="387" t="s">
        <v>305</v>
      </c>
      <c r="D9" s="387">
        <v>0.17100000000000004</v>
      </c>
      <c r="E9" s="387">
        <v>0.35200000000000004</v>
      </c>
      <c r="F9" s="387">
        <v>0.52300000000000013</v>
      </c>
    </row>
    <row r="10" spans="1:6">
      <c r="A10" s="385"/>
      <c r="B10" s="385"/>
      <c r="C10" s="385"/>
      <c r="D10" s="385"/>
      <c r="E10" s="385"/>
      <c r="F10" s="385"/>
    </row>
  </sheetData>
  <mergeCells count="2">
    <mergeCell ref="B2:F2"/>
    <mergeCell ref="B3:F3"/>
  </mergeCells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B2:M191"/>
  <sheetViews>
    <sheetView zoomScale="72" zoomScaleNormal="72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Q22" sqref="Q22"/>
    </sheetView>
  </sheetViews>
  <sheetFormatPr baseColWidth="10" defaultColWidth="11.42578125" defaultRowHeight="15"/>
  <cols>
    <col min="1" max="1" width="5.28515625" style="53" customWidth="1"/>
    <col min="2" max="2" width="11" style="53" customWidth="1"/>
    <col min="3" max="3" width="13" style="54" customWidth="1"/>
    <col min="4" max="4" width="13" style="53" customWidth="1"/>
    <col min="5" max="6" width="13.7109375" style="53" customWidth="1"/>
    <col min="7" max="7" width="12.42578125" style="53" customWidth="1"/>
    <col min="8" max="8" width="12.28515625" style="53" customWidth="1"/>
    <col min="9" max="9" width="16.5703125" style="83" customWidth="1"/>
    <col min="10" max="10" width="29.28515625" style="84" customWidth="1"/>
    <col min="11" max="11" width="11.42578125" style="53" customWidth="1"/>
    <col min="12" max="14" width="11.42578125" style="53"/>
    <col min="15" max="15" width="18.28515625" style="53" customWidth="1"/>
    <col min="16" max="16384" width="11.42578125" style="53"/>
  </cols>
  <sheetData>
    <row r="2" spans="2:13" ht="31.5" customHeight="1">
      <c r="B2" s="660" t="s">
        <v>31</v>
      </c>
      <c r="C2" s="661"/>
      <c r="D2" s="661"/>
      <c r="E2" s="661"/>
      <c r="F2" s="661"/>
      <c r="G2" s="661"/>
      <c r="H2" s="661"/>
      <c r="I2" s="661"/>
      <c r="J2" s="662"/>
    </row>
    <row r="3" spans="2:13" ht="20.25" customHeight="1">
      <c r="B3" s="663">
        <f>+'Resumen Pelagicos'!B3</f>
        <v>43663</v>
      </c>
      <c r="C3" s="664"/>
      <c r="D3" s="664"/>
      <c r="E3" s="664"/>
      <c r="F3" s="664"/>
      <c r="G3" s="664"/>
      <c r="H3" s="664"/>
      <c r="I3" s="664"/>
      <c r="J3" s="665"/>
    </row>
    <row r="5" spans="2:13" hidden="1"/>
    <row r="6" spans="2:13" hidden="1"/>
    <row r="7" spans="2:13">
      <c r="E7" s="666" t="s">
        <v>32</v>
      </c>
      <c r="F7" s="666"/>
      <c r="G7" s="666"/>
      <c r="H7" s="666" t="s">
        <v>33</v>
      </c>
      <c r="I7" s="666"/>
      <c r="J7" s="666"/>
    </row>
    <row r="8" spans="2:13" ht="41.45" customHeight="1">
      <c r="B8" s="55" t="s">
        <v>34</v>
      </c>
      <c r="C8" s="55" t="s">
        <v>35</v>
      </c>
      <c r="D8" s="56" t="s">
        <v>36</v>
      </c>
      <c r="E8" s="57" t="s">
        <v>37</v>
      </c>
      <c r="F8" s="57" t="s">
        <v>38</v>
      </c>
      <c r="G8" s="57" t="s">
        <v>6</v>
      </c>
      <c r="H8" s="58" t="s">
        <v>39</v>
      </c>
      <c r="I8" s="59" t="s">
        <v>40</v>
      </c>
      <c r="J8" s="60" t="s">
        <v>41</v>
      </c>
    </row>
    <row r="9" spans="2:13" ht="22.15" hidden="1" customHeight="1" thickBot="1">
      <c r="B9" s="61"/>
      <c r="C9" s="62"/>
      <c r="D9" s="61"/>
      <c r="E9" s="61"/>
      <c r="F9" s="61"/>
      <c r="G9" s="61"/>
      <c r="H9" s="61"/>
      <c r="I9" s="63"/>
      <c r="J9" s="64"/>
    </row>
    <row r="10" spans="2:13" ht="22.15" hidden="1" customHeight="1" thickBot="1">
      <c r="B10" s="61"/>
      <c r="C10" s="62"/>
      <c r="D10" s="61"/>
      <c r="E10" s="61"/>
      <c r="F10" s="61"/>
      <c r="G10" s="61"/>
      <c r="H10" s="61"/>
      <c r="I10" s="63"/>
      <c r="J10" s="64"/>
    </row>
    <row r="11" spans="2:13" ht="22.15" customHeight="1">
      <c r="B11" s="658" t="s">
        <v>42</v>
      </c>
      <c r="C11" s="65" t="s">
        <v>43</v>
      </c>
      <c r="D11" s="66" t="s">
        <v>44</v>
      </c>
      <c r="E11" s="67">
        <v>5767.3875878999997</v>
      </c>
      <c r="F11" s="68">
        <f>-892.476-900-100-264.446-130-4-1596-960.536-374</f>
        <v>-5221.4579999999996</v>
      </c>
      <c r="G11" s="69">
        <f t="shared" ref="G11:G23" si="0">E11+F11</f>
        <v>545.92958790000012</v>
      </c>
      <c r="H11" s="61"/>
      <c r="I11" s="71">
        <f>G11-H11</f>
        <v>545.92958790000012</v>
      </c>
      <c r="J11" s="64">
        <f>H11/G11</f>
        <v>0</v>
      </c>
    </row>
    <row r="12" spans="2:13" ht="22.15" customHeight="1">
      <c r="B12" s="659"/>
      <c r="C12" s="65" t="s">
        <v>45</v>
      </c>
      <c r="D12" s="66" t="s">
        <v>44</v>
      </c>
      <c r="E12" s="67">
        <v>6100.6690188000002</v>
      </c>
      <c r="F12" s="68">
        <f>-2590-300-40-30</f>
        <v>-2960</v>
      </c>
      <c r="G12" s="69">
        <f t="shared" si="0"/>
        <v>3140.6690188000002</v>
      </c>
      <c r="H12" s="61"/>
      <c r="I12" s="71">
        <f t="shared" ref="I12:I22" si="1">G12-H12</f>
        <v>3140.6690188000002</v>
      </c>
      <c r="J12" s="64">
        <f t="shared" ref="J12:J23" si="2">H12/G12</f>
        <v>0</v>
      </c>
    </row>
    <row r="13" spans="2:13" ht="22.15" customHeight="1">
      <c r="B13" s="659"/>
      <c r="C13" s="65" t="s">
        <v>46</v>
      </c>
      <c r="D13" s="66" t="s">
        <v>44</v>
      </c>
      <c r="E13" s="67">
        <v>4016.8576647</v>
      </c>
      <c r="F13" s="68">
        <f>-120-110-125-200-230-20-190-600</f>
        <v>-1595</v>
      </c>
      <c r="G13" s="69">
        <f t="shared" si="0"/>
        <v>2421.8576647</v>
      </c>
      <c r="H13" s="61">
        <v>57.192</v>
      </c>
      <c r="I13" s="71">
        <f>G13-H13</f>
        <v>2364.6656647</v>
      </c>
      <c r="J13" s="64">
        <f>H13/G13</f>
        <v>2.3614930321301304E-2</v>
      </c>
    </row>
    <row r="14" spans="2:13" ht="22.15" customHeight="1">
      <c r="B14" s="659"/>
      <c r="C14" s="65" t="s">
        <v>47</v>
      </c>
      <c r="D14" s="66" t="s">
        <v>44</v>
      </c>
      <c r="E14" s="67">
        <v>201.34872000000001</v>
      </c>
      <c r="F14" s="68"/>
      <c r="G14" s="69">
        <f t="shared" si="0"/>
        <v>201.34872000000001</v>
      </c>
      <c r="H14" s="61"/>
      <c r="I14" s="71">
        <f t="shared" si="1"/>
        <v>201.34872000000001</v>
      </c>
      <c r="J14" s="64">
        <f t="shared" si="2"/>
        <v>0</v>
      </c>
    </row>
    <row r="15" spans="2:13" s="70" customFormat="1" ht="22.15" customHeight="1">
      <c r="B15" s="659"/>
      <c r="C15" s="65" t="s">
        <v>48</v>
      </c>
      <c r="D15" s="66" t="s">
        <v>44</v>
      </c>
      <c r="E15" s="67">
        <v>380.37783059999998</v>
      </c>
      <c r="F15" s="80">
        <f>-70.71-101.885-11.417-120.135-11.417-21.017-30.617</f>
        <v>-367.19799999999998</v>
      </c>
      <c r="G15" s="69">
        <f t="shared" si="0"/>
        <v>13.179830600000003</v>
      </c>
      <c r="H15" s="61"/>
      <c r="I15" s="71">
        <f t="shared" si="1"/>
        <v>13.179830600000003</v>
      </c>
      <c r="J15" s="64">
        <f t="shared" si="2"/>
        <v>0</v>
      </c>
      <c r="K15" s="53"/>
      <c r="L15" s="53"/>
    </row>
    <row r="16" spans="2:13" s="70" customFormat="1" ht="22.15" customHeight="1">
      <c r="B16" s="659"/>
      <c r="C16" s="65" t="s">
        <v>49</v>
      </c>
      <c r="D16" s="66" t="s">
        <v>44</v>
      </c>
      <c r="E16" s="67">
        <v>679.05374760000007</v>
      </c>
      <c r="F16" s="68">
        <f>-104.336-104.511-81.236-106.787-48.002-184.483-47.224</f>
        <v>-676.57900000000006</v>
      </c>
      <c r="G16" s="69">
        <f t="shared" si="0"/>
        <v>2.4747476000000006</v>
      </c>
      <c r="H16" s="61"/>
      <c r="I16" s="71">
        <f t="shared" si="1"/>
        <v>2.4747476000000006</v>
      </c>
      <c r="J16" s="64">
        <f t="shared" si="2"/>
        <v>0</v>
      </c>
      <c r="K16" s="53"/>
      <c r="L16" s="53"/>
      <c r="M16" s="53"/>
    </row>
    <row r="17" spans="2:13" s="70" customFormat="1" ht="22.15" customHeight="1">
      <c r="B17" s="659"/>
      <c r="C17" s="65" t="s">
        <v>50</v>
      </c>
      <c r="D17" s="66" t="s">
        <v>44</v>
      </c>
      <c r="E17" s="67">
        <v>836.27699940000002</v>
      </c>
      <c r="F17" s="68">
        <f>-432.272-113-16</f>
        <v>-561.27199999999993</v>
      </c>
      <c r="G17" s="69">
        <f>E17+F17</f>
        <v>275.00499940000009</v>
      </c>
      <c r="H17" s="61"/>
      <c r="I17" s="71">
        <f>G17-H17</f>
        <v>275.00499940000009</v>
      </c>
      <c r="J17" s="64">
        <f t="shared" si="2"/>
        <v>0</v>
      </c>
      <c r="K17" s="53"/>
      <c r="L17" s="53"/>
      <c r="M17" s="53"/>
    </row>
    <row r="18" spans="2:13" ht="22.15" customHeight="1">
      <c r="B18" s="659"/>
      <c r="C18" s="65" t="s">
        <v>51</v>
      </c>
      <c r="D18" s="66" t="s">
        <v>44</v>
      </c>
      <c r="E18" s="67">
        <v>0.41515199999999997</v>
      </c>
      <c r="F18" s="68"/>
      <c r="G18" s="69">
        <f t="shared" si="0"/>
        <v>0.41515199999999997</v>
      </c>
      <c r="H18" s="61"/>
      <c r="I18" s="71">
        <f t="shared" si="1"/>
        <v>0.41515199999999997</v>
      </c>
      <c r="J18" s="64">
        <f t="shared" si="2"/>
        <v>0</v>
      </c>
    </row>
    <row r="19" spans="2:13" ht="22.15" customHeight="1">
      <c r="B19" s="659"/>
      <c r="C19" s="65" t="s">
        <v>52</v>
      </c>
      <c r="D19" s="66" t="s">
        <v>44</v>
      </c>
      <c r="E19" s="67">
        <v>1816.8478605</v>
      </c>
      <c r="F19" s="68">
        <v>-1175</v>
      </c>
      <c r="G19" s="69">
        <f t="shared" si="0"/>
        <v>641.84786050000002</v>
      </c>
      <c r="H19" s="61"/>
      <c r="I19" s="71">
        <f t="shared" si="1"/>
        <v>641.84786050000002</v>
      </c>
      <c r="J19" s="64">
        <f t="shared" si="2"/>
        <v>0</v>
      </c>
    </row>
    <row r="20" spans="2:13" ht="22.15" customHeight="1">
      <c r="B20" s="659"/>
      <c r="C20" s="65" t="s">
        <v>53</v>
      </c>
      <c r="D20" s="66" t="s">
        <v>44</v>
      </c>
      <c r="E20" s="67">
        <v>423.1410813</v>
      </c>
      <c r="F20" s="68">
        <f>-266-2-2-40-97</f>
        <v>-407</v>
      </c>
      <c r="G20" s="69">
        <f t="shared" si="0"/>
        <v>16.141081299999996</v>
      </c>
      <c r="H20" s="61"/>
      <c r="I20" s="71">
        <f t="shared" si="1"/>
        <v>16.141081299999996</v>
      </c>
      <c r="J20" s="64">
        <v>0</v>
      </c>
    </row>
    <row r="21" spans="2:13" ht="22.15" customHeight="1">
      <c r="B21" s="659"/>
      <c r="C21" s="65" t="s">
        <v>54</v>
      </c>
      <c r="D21" s="66" t="s">
        <v>44</v>
      </c>
      <c r="E21" s="67">
        <v>5526.8796554999999</v>
      </c>
      <c r="F21" s="68">
        <f>-315-3363-1800</f>
        <v>-5478</v>
      </c>
      <c r="G21" s="69">
        <f t="shared" si="0"/>
        <v>48.879655499999899</v>
      </c>
      <c r="H21" s="61"/>
      <c r="I21" s="71">
        <f t="shared" si="1"/>
        <v>48.879655499999899</v>
      </c>
      <c r="J21" s="64">
        <f t="shared" si="2"/>
        <v>0</v>
      </c>
    </row>
    <row r="22" spans="2:13" ht="22.15" customHeight="1">
      <c r="B22" s="659"/>
      <c r="C22" s="65" t="s">
        <v>55</v>
      </c>
      <c r="D22" s="66" t="s">
        <v>44</v>
      </c>
      <c r="E22" s="67">
        <v>2.3352300000000001</v>
      </c>
      <c r="F22" s="68"/>
      <c r="G22" s="69">
        <f t="shared" si="0"/>
        <v>2.3352300000000001</v>
      </c>
      <c r="H22" s="61"/>
      <c r="I22" s="71">
        <f t="shared" si="1"/>
        <v>2.3352300000000001</v>
      </c>
      <c r="J22" s="64">
        <f t="shared" si="2"/>
        <v>0</v>
      </c>
    </row>
    <row r="23" spans="2:13" ht="22.15" customHeight="1">
      <c r="B23" s="659"/>
      <c r="C23" s="65" t="s">
        <v>56</v>
      </c>
      <c r="D23" s="66" t="s">
        <v>44</v>
      </c>
      <c r="E23" s="67">
        <v>195.406857</v>
      </c>
      <c r="F23" s="68">
        <f>-131.8-63.607</f>
        <v>-195.40700000000001</v>
      </c>
      <c r="G23" s="69">
        <f t="shared" si="0"/>
        <v>-1.4300000000844193E-4</v>
      </c>
      <c r="H23" s="61"/>
      <c r="I23" s="71">
        <f>G23-H23</f>
        <v>-1.4300000000844193E-4</v>
      </c>
      <c r="J23" s="64">
        <f t="shared" si="2"/>
        <v>0</v>
      </c>
    </row>
    <row r="24" spans="2:13" ht="28.9" customHeight="1">
      <c r="B24" s="659"/>
      <c r="C24" s="399" t="s">
        <v>506</v>
      </c>
      <c r="D24" s="72" t="s">
        <v>44</v>
      </c>
      <c r="E24" s="73">
        <f>SUM(E11:E23)</f>
        <v>25946.997405300004</v>
      </c>
      <c r="F24" s="73">
        <f>SUM(F11:F23)</f>
        <v>-18636.913999999997</v>
      </c>
      <c r="G24" s="67">
        <f>+E24+F24</f>
        <v>7310.0834053000071</v>
      </c>
      <c r="H24" s="72">
        <f>SUM(H11:H23)</f>
        <v>57.192</v>
      </c>
      <c r="I24" s="74">
        <f>+G24-H24</f>
        <v>7252.8914053000071</v>
      </c>
      <c r="J24" s="75">
        <f>H24/G24</f>
        <v>7.8237137429286053E-3</v>
      </c>
      <c r="M24" s="77"/>
    </row>
    <row r="25" spans="2:13" ht="22.15" customHeight="1">
      <c r="C25" s="76"/>
      <c r="G25" s="77"/>
      <c r="I25" s="53"/>
      <c r="J25" s="53"/>
    </row>
    <row r="26" spans="2:13" ht="22.15" customHeight="1">
      <c r="B26" s="658" t="s">
        <v>57</v>
      </c>
      <c r="C26" s="65" t="s">
        <v>43</v>
      </c>
      <c r="D26" s="78" t="s">
        <v>44</v>
      </c>
      <c r="E26" s="79">
        <v>6387.7661675999998</v>
      </c>
      <c r="F26" s="68">
        <f>-600-3014.199-200-893.098-110-196-206-727.296-250</f>
        <v>-6196.5930000000008</v>
      </c>
      <c r="G26" s="69">
        <f t="shared" ref="G26:G45" si="3">E26+F26</f>
        <v>191.17316759999903</v>
      </c>
      <c r="H26" s="61"/>
      <c r="I26" s="71">
        <f>G26-H26</f>
        <v>191.17316759999903</v>
      </c>
      <c r="J26" s="64">
        <f>H26/G26</f>
        <v>0</v>
      </c>
    </row>
    <row r="27" spans="2:13" ht="22.15" customHeight="1">
      <c r="B27" s="659"/>
      <c r="C27" s="65" t="s">
        <v>45</v>
      </c>
      <c r="D27" s="78" t="s">
        <v>44</v>
      </c>
      <c r="E27" s="79">
        <v>15389.075292</v>
      </c>
      <c r="F27" s="68">
        <f>-7860-900-260-170</f>
        <v>-9190</v>
      </c>
      <c r="G27" s="69">
        <f t="shared" si="3"/>
        <v>6199.0752919999995</v>
      </c>
      <c r="H27" s="61"/>
      <c r="I27" s="71">
        <f t="shared" ref="I27:I47" si="4">G27-H27</f>
        <v>6199.0752919999995</v>
      </c>
      <c r="J27" s="64">
        <f t="shared" ref="J27:J47" si="5">H27/G27</f>
        <v>0</v>
      </c>
    </row>
    <row r="28" spans="2:13" ht="22.15" customHeight="1">
      <c r="B28" s="659"/>
      <c r="C28" s="65" t="s">
        <v>46</v>
      </c>
      <c r="D28" s="78" t="s">
        <v>44</v>
      </c>
      <c r="E28" s="79">
        <v>13318.0815282</v>
      </c>
      <c r="F28" s="68">
        <f>-1100-1310-915-1000-2750-230-2090-2740</f>
        <v>-12135</v>
      </c>
      <c r="G28" s="69">
        <f t="shared" si="3"/>
        <v>1183.0815282000003</v>
      </c>
      <c r="H28" s="61">
        <v>215.15299999999999</v>
      </c>
      <c r="I28" s="71">
        <f t="shared" si="4"/>
        <v>967.9285282000003</v>
      </c>
      <c r="J28" s="64">
        <f t="shared" si="5"/>
        <v>0.1818581347705974</v>
      </c>
    </row>
    <row r="29" spans="2:13" ht="22.15" customHeight="1">
      <c r="B29" s="659"/>
      <c r="C29" s="65" t="s">
        <v>48</v>
      </c>
      <c r="D29" s="78" t="s">
        <v>44</v>
      </c>
      <c r="E29" s="79">
        <v>4895.1976938000007</v>
      </c>
      <c r="F29" s="68">
        <f>-1929.753-2075.329-164.748-164.748-329.496-22.4-119.226</f>
        <v>-4805.6999999999989</v>
      </c>
      <c r="G29" s="69">
        <f t="shared" si="3"/>
        <v>89.497693800001798</v>
      </c>
      <c r="H29" s="61"/>
      <c r="I29" s="71">
        <f t="shared" si="4"/>
        <v>89.497693800001798</v>
      </c>
      <c r="J29" s="64">
        <f t="shared" si="5"/>
        <v>0</v>
      </c>
    </row>
    <row r="30" spans="2:13" ht="22.15" customHeight="1">
      <c r="B30" s="659"/>
      <c r="C30" s="65" t="s">
        <v>49</v>
      </c>
      <c r="D30" s="78" t="s">
        <v>44</v>
      </c>
      <c r="E30" s="79">
        <v>1160.4201252</v>
      </c>
      <c r="F30" s="68">
        <f>-200.424-200.424-74.664-460.56-52.026-116.335-52.026</f>
        <v>-1156.4590000000001</v>
      </c>
      <c r="G30" s="69">
        <f t="shared" si="3"/>
        <v>3.9611251999999695</v>
      </c>
      <c r="H30" s="61"/>
      <c r="I30" s="71">
        <f t="shared" si="4"/>
        <v>3.9611251999999695</v>
      </c>
      <c r="J30" s="64">
        <f t="shared" si="5"/>
        <v>0</v>
      </c>
    </row>
    <row r="31" spans="2:13" ht="22.15" customHeight="1">
      <c r="B31" s="659"/>
      <c r="C31" s="65" t="s">
        <v>50</v>
      </c>
      <c r="D31" s="78" t="s">
        <v>44</v>
      </c>
      <c r="E31" s="79">
        <v>1469.7060425999998</v>
      </c>
      <c r="F31" s="80">
        <f>-915.076-237-34</f>
        <v>-1186.076</v>
      </c>
      <c r="G31" s="69">
        <f t="shared" si="3"/>
        <v>283.6300425999998</v>
      </c>
      <c r="H31" s="61"/>
      <c r="I31" s="71">
        <f t="shared" si="4"/>
        <v>283.6300425999998</v>
      </c>
      <c r="J31" s="64">
        <f t="shared" si="5"/>
        <v>0</v>
      </c>
    </row>
    <row r="32" spans="2:13" ht="22.15" customHeight="1">
      <c r="B32" s="659"/>
      <c r="C32" s="65" t="s">
        <v>58</v>
      </c>
      <c r="D32" s="78" t="s">
        <v>44</v>
      </c>
      <c r="E32" s="79">
        <v>1.228386</v>
      </c>
      <c r="F32" s="68"/>
      <c r="G32" s="69">
        <f t="shared" si="3"/>
        <v>1.228386</v>
      </c>
      <c r="H32" s="61"/>
      <c r="I32" s="71">
        <f t="shared" si="4"/>
        <v>1.228386</v>
      </c>
      <c r="J32" s="64">
        <f t="shared" si="5"/>
        <v>0</v>
      </c>
    </row>
    <row r="33" spans="2:10" ht="22.15" customHeight="1">
      <c r="B33" s="659"/>
      <c r="C33" s="65" t="s">
        <v>59</v>
      </c>
      <c r="D33" s="78" t="s">
        <v>44</v>
      </c>
      <c r="E33" s="79">
        <v>8109.9633395999999</v>
      </c>
      <c r="F33" s="68">
        <v>-6585</v>
      </c>
      <c r="G33" s="69">
        <f t="shared" si="3"/>
        <v>1524.9633395999999</v>
      </c>
      <c r="H33" s="61">
        <v>685.48</v>
      </c>
      <c r="I33" s="71">
        <f t="shared" si="4"/>
        <v>839.48333959999991</v>
      </c>
      <c r="J33" s="64">
        <f t="shared" si="5"/>
        <v>0.44950588791190377</v>
      </c>
    </row>
    <row r="34" spans="2:10" ht="22.15" customHeight="1">
      <c r="B34" s="659"/>
      <c r="C34" s="65" t="s">
        <v>60</v>
      </c>
      <c r="D34" s="78" t="s">
        <v>44</v>
      </c>
      <c r="E34" s="79">
        <v>2611.8232164000001</v>
      </c>
      <c r="F34" s="68">
        <f>-1726-198-198-160-315</f>
        <v>-2597</v>
      </c>
      <c r="G34" s="69">
        <f t="shared" si="3"/>
        <v>14.823216400000092</v>
      </c>
      <c r="H34" s="61"/>
      <c r="I34" s="71">
        <f t="shared" si="4"/>
        <v>14.823216400000092</v>
      </c>
      <c r="J34" s="64">
        <f t="shared" si="5"/>
        <v>0</v>
      </c>
    </row>
    <row r="35" spans="2:10" ht="22.15" customHeight="1">
      <c r="B35" s="659"/>
      <c r="C35" s="65" t="s">
        <v>61</v>
      </c>
      <c r="D35" s="78" t="s">
        <v>44</v>
      </c>
      <c r="E35" s="79">
        <v>12269.1121422</v>
      </c>
      <c r="F35" s="68">
        <f>-844-9146-2200</f>
        <v>-12190</v>
      </c>
      <c r="G35" s="69">
        <f t="shared" si="3"/>
        <v>79.112142199999653</v>
      </c>
      <c r="H35" s="61"/>
      <c r="I35" s="71">
        <f t="shared" si="4"/>
        <v>79.112142199999653</v>
      </c>
      <c r="J35" s="64">
        <f t="shared" si="5"/>
        <v>0</v>
      </c>
    </row>
    <row r="36" spans="2:10" ht="22.15" customHeight="1">
      <c r="B36" s="659"/>
      <c r="C36" s="65" t="s">
        <v>62</v>
      </c>
      <c r="D36" s="78" t="s">
        <v>44</v>
      </c>
      <c r="E36" s="79">
        <v>975.48299999999983</v>
      </c>
      <c r="F36" s="68">
        <v>-798.14700000000005</v>
      </c>
      <c r="G36" s="69">
        <f t="shared" si="3"/>
        <v>177.33599999999979</v>
      </c>
      <c r="H36" s="61"/>
      <c r="I36" s="71">
        <f t="shared" si="4"/>
        <v>177.33599999999979</v>
      </c>
      <c r="J36" s="64">
        <v>0</v>
      </c>
    </row>
    <row r="37" spans="2:10" ht="22.15" customHeight="1">
      <c r="B37" s="659"/>
      <c r="C37" s="65" t="s">
        <v>63</v>
      </c>
      <c r="D37" s="78" t="s">
        <v>44</v>
      </c>
      <c r="E37" s="79">
        <v>975.48299999999995</v>
      </c>
      <c r="F37" s="68">
        <v>-798.15</v>
      </c>
      <c r="G37" s="69">
        <f t="shared" si="3"/>
        <v>177.33299999999997</v>
      </c>
      <c r="H37" s="61"/>
      <c r="I37" s="71">
        <f t="shared" si="4"/>
        <v>177.33299999999997</v>
      </c>
      <c r="J37" s="64">
        <f t="shared" si="5"/>
        <v>0</v>
      </c>
    </row>
    <row r="38" spans="2:10" ht="22.15" customHeight="1">
      <c r="B38" s="659"/>
      <c r="C38" s="65" t="s">
        <v>64</v>
      </c>
      <c r="D38" s="78" t="s">
        <v>44</v>
      </c>
      <c r="E38" s="79">
        <v>596.12850000000003</v>
      </c>
      <c r="F38" s="71">
        <f>-88.683-266.05-108.372</f>
        <v>-463.10500000000002</v>
      </c>
      <c r="G38" s="69">
        <f t="shared" si="3"/>
        <v>133.02350000000001</v>
      </c>
      <c r="H38" s="61"/>
      <c r="I38" s="71">
        <f t="shared" si="4"/>
        <v>133.02350000000001</v>
      </c>
      <c r="J38" s="64">
        <f t="shared" si="5"/>
        <v>0</v>
      </c>
    </row>
    <row r="39" spans="2:10" ht="22.15" customHeight="1">
      <c r="B39" s="659"/>
      <c r="C39" s="65" t="s">
        <v>65</v>
      </c>
      <c r="D39" s="78" t="s">
        <v>44</v>
      </c>
      <c r="E39" s="79">
        <v>650.322</v>
      </c>
      <c r="F39" s="68">
        <v>-532.1</v>
      </c>
      <c r="G39" s="69">
        <f t="shared" si="3"/>
        <v>118.22199999999998</v>
      </c>
      <c r="H39" s="61"/>
      <c r="I39" s="71">
        <f t="shared" si="4"/>
        <v>118.22199999999998</v>
      </c>
      <c r="J39" s="64">
        <v>0</v>
      </c>
    </row>
    <row r="40" spans="2:10" ht="22.15" customHeight="1">
      <c r="B40" s="659"/>
      <c r="C40" s="65" t="s">
        <v>66</v>
      </c>
      <c r="D40" s="78" t="s">
        <v>44</v>
      </c>
      <c r="E40" s="79">
        <v>162.5805</v>
      </c>
      <c r="F40" s="68">
        <v>-133.02500000000001</v>
      </c>
      <c r="G40" s="69">
        <f t="shared" si="3"/>
        <v>29.555499999999995</v>
      </c>
      <c r="H40" s="61"/>
      <c r="I40" s="71">
        <f t="shared" si="4"/>
        <v>29.555499999999995</v>
      </c>
      <c r="J40" s="64">
        <v>0</v>
      </c>
    </row>
    <row r="41" spans="2:10" ht="22.15" customHeight="1">
      <c r="B41" s="659"/>
      <c r="C41" s="65" t="s">
        <v>67</v>
      </c>
      <c r="D41" s="78" t="s">
        <v>44</v>
      </c>
      <c r="E41" s="79">
        <v>325.161</v>
      </c>
      <c r="F41" s="68">
        <f>-266.05-59.112</f>
        <v>-325.16200000000003</v>
      </c>
      <c r="G41" s="69">
        <f t="shared" si="3"/>
        <v>-1.0000000000331966E-3</v>
      </c>
      <c r="H41" s="61"/>
      <c r="I41" s="71">
        <f>G41-H41</f>
        <v>-1.0000000000331966E-3</v>
      </c>
      <c r="J41" s="64">
        <v>0</v>
      </c>
    </row>
    <row r="42" spans="2:10" ht="22.15" customHeight="1">
      <c r="B42" s="659"/>
      <c r="C42" s="65" t="s">
        <v>68</v>
      </c>
      <c r="D42" s="78" t="s">
        <v>44</v>
      </c>
      <c r="E42" s="79">
        <v>487.74149999999992</v>
      </c>
      <c r="F42" s="68">
        <f>-199.242-199.833-86.709</f>
        <v>-485.78399999999999</v>
      </c>
      <c r="G42" s="69">
        <f t="shared" si="3"/>
        <v>1.957499999999925</v>
      </c>
      <c r="H42" s="61"/>
      <c r="I42" s="71">
        <f>G42-H42</f>
        <v>1.957499999999925</v>
      </c>
      <c r="J42" s="64">
        <v>0</v>
      </c>
    </row>
    <row r="43" spans="2:10" ht="22.15" customHeight="1">
      <c r="B43" s="659"/>
      <c r="C43" s="65" t="s">
        <v>69</v>
      </c>
      <c r="D43" s="78" t="s">
        <v>44</v>
      </c>
      <c r="E43" s="79">
        <v>0.72258000000000011</v>
      </c>
      <c r="F43" s="68"/>
      <c r="G43" s="69">
        <f t="shared" si="3"/>
        <v>0.72258000000000011</v>
      </c>
      <c r="H43" s="61"/>
      <c r="I43" s="71">
        <f>G43-H43</f>
        <v>0.72258000000000011</v>
      </c>
      <c r="J43" s="64">
        <f t="shared" si="5"/>
        <v>0</v>
      </c>
    </row>
    <row r="44" spans="2:10" ht="22.15" customHeight="1">
      <c r="B44" s="659"/>
      <c r="C44" s="65" t="s">
        <v>70</v>
      </c>
      <c r="D44" s="78" t="s">
        <v>44</v>
      </c>
      <c r="E44" s="79">
        <v>1997.9337</v>
      </c>
      <c r="F44" s="68">
        <v>-1634.723</v>
      </c>
      <c r="G44" s="69">
        <f t="shared" si="3"/>
        <v>363.21070000000009</v>
      </c>
      <c r="H44" s="61"/>
      <c r="I44" s="71">
        <f>G44-H44</f>
        <v>363.21070000000009</v>
      </c>
      <c r="J44" s="64">
        <f t="shared" si="5"/>
        <v>0</v>
      </c>
    </row>
    <row r="45" spans="2:10" ht="22.15" customHeight="1">
      <c r="B45" s="659"/>
      <c r="C45" s="65" t="s">
        <v>71</v>
      </c>
      <c r="D45" s="78" t="s">
        <v>44</v>
      </c>
      <c r="E45" s="79">
        <v>162.5805</v>
      </c>
      <c r="F45" s="68">
        <v>-133.02500000000001</v>
      </c>
      <c r="G45" s="69">
        <f t="shared" si="3"/>
        <v>29.555499999999995</v>
      </c>
      <c r="H45" s="61"/>
      <c r="I45" s="71">
        <f>G45-H45</f>
        <v>29.555499999999995</v>
      </c>
      <c r="J45" s="64">
        <v>0</v>
      </c>
    </row>
    <row r="46" spans="2:10" ht="22.15" customHeight="1">
      <c r="B46" s="659"/>
      <c r="C46" s="65" t="s">
        <v>72</v>
      </c>
      <c r="D46" s="78" t="s">
        <v>44</v>
      </c>
      <c r="E46" s="79">
        <v>0</v>
      </c>
      <c r="F46" s="68"/>
      <c r="G46" s="80">
        <f>E46+F46</f>
        <v>0</v>
      </c>
      <c r="H46" s="61"/>
      <c r="I46" s="71">
        <f t="shared" si="4"/>
        <v>0</v>
      </c>
      <c r="J46" s="64">
        <v>0</v>
      </c>
    </row>
    <row r="47" spans="2:10" ht="22.15" customHeight="1">
      <c r="B47" s="659"/>
      <c r="C47" s="65" t="s">
        <v>73</v>
      </c>
      <c r="D47" s="78" t="s">
        <v>44</v>
      </c>
      <c r="E47" s="79">
        <v>311.50423799999999</v>
      </c>
      <c r="F47" s="68">
        <f>-254.8-56.704</f>
        <v>-311.50400000000002</v>
      </c>
      <c r="G47" s="69">
        <f t="shared" ref="G47" si="6">E47+F47</f>
        <v>2.3799999996754195E-4</v>
      </c>
      <c r="H47" s="61"/>
      <c r="I47" s="71">
        <f t="shared" si="4"/>
        <v>2.3799999996754195E-4</v>
      </c>
      <c r="J47" s="64">
        <f t="shared" si="5"/>
        <v>0</v>
      </c>
    </row>
    <row r="48" spans="2:10" ht="28.15" customHeight="1">
      <c r="B48" s="659"/>
      <c r="C48" s="399" t="s">
        <v>506</v>
      </c>
      <c r="D48" s="81" t="s">
        <v>44</v>
      </c>
      <c r="E48" s="73">
        <f>SUM(E26:E47)</f>
        <v>72258.014451599971</v>
      </c>
      <c r="F48" s="73">
        <f>SUM(F26:F47)</f>
        <v>-61656.553</v>
      </c>
      <c r="G48" s="67">
        <f>+E48+F48</f>
        <v>10601.461451599971</v>
      </c>
      <c r="H48" s="72">
        <f>SUM(H26:H47)</f>
        <v>900.63300000000004</v>
      </c>
      <c r="I48" s="82">
        <f>+G48-H48</f>
        <v>9700.8284515999712</v>
      </c>
      <c r="J48" s="75">
        <f>H48/G48</f>
        <v>8.495366455952888E-2</v>
      </c>
    </row>
    <row r="49" spans="2:10" ht="21.6" customHeight="1">
      <c r="G49" s="77"/>
    </row>
    <row r="50" spans="2:10" ht="22.15" hidden="1" customHeight="1">
      <c r="F50" s="470">
        <f>+F48+F24</f>
        <v>-80293.467000000004</v>
      </c>
    </row>
    <row r="51" spans="2:10" ht="22.15" hidden="1" customHeight="1">
      <c r="F51" s="470">
        <f>+F48+F24</f>
        <v>-80293.467000000004</v>
      </c>
      <c r="H51" s="77">
        <f>SUM(H53:H183)</f>
        <v>80293.456000000006</v>
      </c>
    </row>
    <row r="52" spans="2:10" ht="22.15" customHeight="1">
      <c r="B52" s="85" t="s">
        <v>74</v>
      </c>
      <c r="C52" s="85" t="s">
        <v>75</v>
      </c>
      <c r="D52" s="85" t="s">
        <v>76</v>
      </c>
      <c r="E52" s="85" t="s">
        <v>77</v>
      </c>
      <c r="F52" s="85" t="s">
        <v>78</v>
      </c>
      <c r="G52" s="85" t="s">
        <v>79</v>
      </c>
      <c r="H52" s="85" t="s">
        <v>80</v>
      </c>
      <c r="I52" s="667" t="s">
        <v>81</v>
      </c>
      <c r="J52" s="668"/>
    </row>
    <row r="53" spans="2:10" ht="11.45" customHeight="1">
      <c r="B53" s="86" t="s">
        <v>82</v>
      </c>
      <c r="C53" s="86">
        <v>541</v>
      </c>
      <c r="D53" s="87">
        <v>43507</v>
      </c>
      <c r="E53" s="86" t="s">
        <v>83</v>
      </c>
      <c r="F53" s="88" t="s">
        <v>84</v>
      </c>
      <c r="G53" s="86" t="s">
        <v>85</v>
      </c>
      <c r="H53" s="89">
        <v>199.24199999999999</v>
      </c>
      <c r="I53" s="656" t="str">
        <f t="shared" ref="I53:I62" si="7">+"R Ex "&amp;C53&amp;" Cesion de "&amp;H53&amp;" ton de "&amp;E53&amp;"  a "&amp;F53&amp;" region"</f>
        <v>R Ex 541 Cesion de 199,242 ton de Proc Tec Bio Bio  a Grupo Emb_VIII region</v>
      </c>
      <c r="J53" s="657"/>
    </row>
    <row r="54" spans="2:10" ht="11.45" customHeight="1">
      <c r="B54" s="86" t="s">
        <v>82</v>
      </c>
      <c r="C54" s="86">
        <v>543</v>
      </c>
      <c r="D54" s="87">
        <v>43507</v>
      </c>
      <c r="E54" s="86" t="s">
        <v>86</v>
      </c>
      <c r="F54" s="88" t="s">
        <v>84</v>
      </c>
      <c r="G54" s="86" t="s">
        <v>85</v>
      </c>
      <c r="H54" s="89">
        <v>200.42400000000001</v>
      </c>
      <c r="I54" s="656" t="str">
        <f t="shared" si="7"/>
        <v>R Ex 543 Cesion de 200,424 ton de Pesq Litoral  a Grupo Emb_VIII region</v>
      </c>
      <c r="J54" s="657"/>
    </row>
    <row r="55" spans="2:10" ht="11.45" customHeight="1">
      <c r="B55" s="86" t="s">
        <v>82</v>
      </c>
      <c r="C55" s="86">
        <v>543</v>
      </c>
      <c r="D55" s="87">
        <v>43507</v>
      </c>
      <c r="E55" s="86" t="s">
        <v>86</v>
      </c>
      <c r="F55" s="88" t="s">
        <v>84</v>
      </c>
      <c r="G55" s="86" t="s">
        <v>87</v>
      </c>
      <c r="H55" s="89">
        <v>104.336</v>
      </c>
      <c r="I55" s="656" t="str">
        <f t="shared" si="7"/>
        <v>R Ex 543 Cesion de 104,336 ton de Pesq Litoral  a Grupo Emb_VIII region</v>
      </c>
      <c r="J55" s="657"/>
    </row>
    <row r="56" spans="2:10" ht="11.45" customHeight="1">
      <c r="B56" s="86" t="s">
        <v>82</v>
      </c>
      <c r="C56" s="86">
        <v>544</v>
      </c>
      <c r="D56" s="87">
        <v>43507</v>
      </c>
      <c r="E56" s="86" t="s">
        <v>88</v>
      </c>
      <c r="F56" s="88" t="s">
        <v>89</v>
      </c>
      <c r="G56" s="86" t="s">
        <v>85</v>
      </c>
      <c r="H56" s="89">
        <v>1929.7529999999999</v>
      </c>
      <c r="I56" s="656" t="str">
        <f t="shared" si="7"/>
        <v>R Ex 544 Cesion de 1929,753 ton de Novamar  a Emb Niña Ximena_VIII region</v>
      </c>
      <c r="J56" s="657"/>
    </row>
    <row r="57" spans="2:10" ht="11.45" customHeight="1">
      <c r="B57" s="86" t="s">
        <v>82</v>
      </c>
      <c r="C57" s="86">
        <v>544</v>
      </c>
      <c r="D57" s="87">
        <v>43507</v>
      </c>
      <c r="E57" s="86" t="s">
        <v>88</v>
      </c>
      <c r="F57" s="88" t="s">
        <v>89</v>
      </c>
      <c r="G57" s="86" t="s">
        <v>87</v>
      </c>
      <c r="H57" s="89">
        <v>70.709999999999994</v>
      </c>
      <c r="I57" s="656" t="str">
        <f t="shared" si="7"/>
        <v>R Ex 544 Cesion de 70,71 ton de Novamar  a Emb Niña Ximena_VIII region</v>
      </c>
      <c r="J57" s="657"/>
    </row>
    <row r="58" spans="2:10" ht="11.45" customHeight="1">
      <c r="B58" s="86" t="s">
        <v>82</v>
      </c>
      <c r="C58" s="86">
        <v>676</v>
      </c>
      <c r="D58" s="87">
        <v>43516</v>
      </c>
      <c r="E58" s="86" t="s">
        <v>86</v>
      </c>
      <c r="F58" s="88" t="s">
        <v>84</v>
      </c>
      <c r="G58" s="86" t="s">
        <v>85</v>
      </c>
      <c r="H58" s="89">
        <v>200.42400000000001</v>
      </c>
      <c r="I58" s="656" t="str">
        <f t="shared" si="7"/>
        <v>R Ex 676 Cesion de 200,424 ton de Pesq Litoral  a Grupo Emb_VIII region</v>
      </c>
      <c r="J58" s="657"/>
    </row>
    <row r="59" spans="2:10" ht="11.45" customHeight="1">
      <c r="B59" s="86" t="s">
        <v>82</v>
      </c>
      <c r="C59" s="86">
        <v>676</v>
      </c>
      <c r="D59" s="87">
        <v>43516</v>
      </c>
      <c r="E59" s="86" t="s">
        <v>86</v>
      </c>
      <c r="F59" s="88" t="s">
        <v>84</v>
      </c>
      <c r="G59" s="86" t="s">
        <v>87</v>
      </c>
      <c r="H59" s="89">
        <v>104.511</v>
      </c>
      <c r="I59" s="656" t="str">
        <f t="shared" si="7"/>
        <v>R Ex 676 Cesion de 104,511 ton de Pesq Litoral  a Grupo Emb_VIII region</v>
      </c>
      <c r="J59" s="657"/>
    </row>
    <row r="60" spans="2:10" ht="11.45" customHeight="1">
      <c r="B60" s="86" t="s">
        <v>82</v>
      </c>
      <c r="C60" s="86">
        <v>677</v>
      </c>
      <c r="D60" s="87">
        <v>43516</v>
      </c>
      <c r="E60" s="86" t="s">
        <v>83</v>
      </c>
      <c r="F60" s="88" t="s">
        <v>84</v>
      </c>
      <c r="G60" s="86" t="s">
        <v>85</v>
      </c>
      <c r="H60" s="89">
        <v>199.833</v>
      </c>
      <c r="I60" s="656" t="str">
        <f t="shared" si="7"/>
        <v>R Ex 677 Cesion de 199,833 ton de Proc Tec Bio Bio  a Grupo Emb_VIII region</v>
      </c>
      <c r="J60" s="657"/>
    </row>
    <row r="61" spans="2:10" ht="11.45" customHeight="1">
      <c r="B61" s="86" t="s">
        <v>82</v>
      </c>
      <c r="C61" s="86">
        <v>686</v>
      </c>
      <c r="D61" s="87">
        <v>43516</v>
      </c>
      <c r="E61" s="86" t="s">
        <v>88</v>
      </c>
      <c r="F61" s="88" t="s">
        <v>90</v>
      </c>
      <c r="G61" s="86" t="s">
        <v>85</v>
      </c>
      <c r="H61" s="89">
        <v>2075.3290000000002</v>
      </c>
      <c r="I61" s="656" t="str">
        <f t="shared" si="7"/>
        <v>R Ex 686 Cesion de 2075,329 ton de Novamar  a Emb Paulina M_VIII region</v>
      </c>
      <c r="J61" s="657"/>
    </row>
    <row r="62" spans="2:10" ht="11.45" customHeight="1">
      <c r="B62" s="86" t="s">
        <v>82</v>
      </c>
      <c r="C62" s="86">
        <v>686</v>
      </c>
      <c r="D62" s="87">
        <v>43516</v>
      </c>
      <c r="E62" s="86" t="s">
        <v>88</v>
      </c>
      <c r="F62" s="88" t="s">
        <v>90</v>
      </c>
      <c r="G62" s="86" t="s">
        <v>87</v>
      </c>
      <c r="H62" s="89">
        <v>101.88500000000001</v>
      </c>
      <c r="I62" s="656" t="str">
        <f t="shared" si="7"/>
        <v>R Ex 686 Cesion de 101,885 ton de Novamar  a Emb Paulina M_VIII region</v>
      </c>
      <c r="J62" s="657"/>
    </row>
    <row r="63" spans="2:10" ht="11.45" customHeight="1">
      <c r="B63" s="86" t="s">
        <v>82</v>
      </c>
      <c r="C63" s="453">
        <v>794</v>
      </c>
      <c r="D63" s="90">
        <v>43524</v>
      </c>
      <c r="E63" s="86" t="s">
        <v>91</v>
      </c>
      <c r="F63" s="88" t="s">
        <v>84</v>
      </c>
      <c r="G63" s="86" t="s">
        <v>87</v>
      </c>
      <c r="H63" s="454">
        <v>110</v>
      </c>
      <c r="I63" s="656" t="str">
        <f>+"R Ex "&amp;C63&amp;" Cesion de "&amp;H63&amp;" ton de "&amp;E63&amp;"  a "&amp;F63&amp;" region"</f>
        <v>R Ex 794 Cesion de 110 ton de Camanchaca PS  a Grupo Emb_VIII region</v>
      </c>
      <c r="J63" s="657"/>
    </row>
    <row r="64" spans="2:10" ht="11.45" customHeight="1">
      <c r="B64" s="86" t="s">
        <v>82</v>
      </c>
      <c r="C64" s="453">
        <v>794</v>
      </c>
      <c r="D64" s="90">
        <v>43524</v>
      </c>
      <c r="E64" s="86" t="s">
        <v>91</v>
      </c>
      <c r="F64" s="88" t="s">
        <v>84</v>
      </c>
      <c r="G64" s="86" t="s">
        <v>85</v>
      </c>
      <c r="H64" s="454">
        <v>1100</v>
      </c>
      <c r="I64" s="656" t="str">
        <f>+"R Ex "&amp;C64&amp;" Cesion de "&amp;H64&amp;" ton de "&amp;E64&amp;"  a "&amp;F64&amp;" region"</f>
        <v>R Ex 794 Cesion de 1100 ton de Camanchaca PS  a Grupo Emb_VIII region</v>
      </c>
      <c r="J64" s="657"/>
    </row>
    <row r="65" spans="2:10" ht="11.45" customHeight="1">
      <c r="B65" s="86" t="s">
        <v>82</v>
      </c>
      <c r="C65" s="86">
        <v>795</v>
      </c>
      <c r="D65" s="90">
        <v>43524</v>
      </c>
      <c r="E65" s="86" t="s">
        <v>92</v>
      </c>
      <c r="F65" s="88" t="s">
        <v>84</v>
      </c>
      <c r="G65" s="86" t="s">
        <v>87</v>
      </c>
      <c r="H65" s="89">
        <v>315</v>
      </c>
      <c r="I65" s="656" t="str">
        <f t="shared" ref="I65:I129" si="8">+"R Ex "&amp;C65&amp;" Cesion de "&amp;H65&amp;" ton de "&amp;E65&amp;"  a "&amp;F65&amp;" region"</f>
        <v>R Ex 795 Cesion de 315 ton de Orizon  a Grupo Emb_VIII region</v>
      </c>
      <c r="J65" s="657"/>
    </row>
    <row r="66" spans="2:10" ht="11.45" customHeight="1">
      <c r="B66" s="86" t="s">
        <v>82</v>
      </c>
      <c r="C66" s="86">
        <v>795</v>
      </c>
      <c r="D66" s="90">
        <v>43524</v>
      </c>
      <c r="E66" s="86" t="s">
        <v>92</v>
      </c>
      <c r="F66" s="88" t="s">
        <v>84</v>
      </c>
      <c r="G66" s="86" t="s">
        <v>85</v>
      </c>
      <c r="H66" s="89">
        <v>844</v>
      </c>
      <c r="I66" s="656" t="str">
        <f t="shared" si="8"/>
        <v>R Ex 795 Cesion de 844 ton de Orizon  a Grupo Emb_VIII region</v>
      </c>
      <c r="J66" s="657"/>
    </row>
    <row r="67" spans="2:10" ht="11.45" customHeight="1">
      <c r="B67" s="86" t="s">
        <v>82</v>
      </c>
      <c r="C67" s="86">
        <v>822</v>
      </c>
      <c r="D67" s="90">
        <v>43529</v>
      </c>
      <c r="E67" s="86" t="s">
        <v>93</v>
      </c>
      <c r="F67" s="88" t="s">
        <v>84</v>
      </c>
      <c r="G67" s="86" t="s">
        <v>87</v>
      </c>
      <c r="H67" s="89">
        <v>900</v>
      </c>
      <c r="I67" s="656" t="str">
        <f t="shared" si="8"/>
        <v>R Ex 822 Cesion de 900 ton de Alimar  a Grupo Emb_VIII region</v>
      </c>
      <c r="J67" s="657"/>
    </row>
    <row r="68" spans="2:10" ht="11.45" customHeight="1">
      <c r="B68" s="86" t="s">
        <v>82</v>
      </c>
      <c r="C68" s="86">
        <v>822</v>
      </c>
      <c r="D68" s="87">
        <v>43529</v>
      </c>
      <c r="E68" s="86" t="s">
        <v>93</v>
      </c>
      <c r="F68" s="88" t="s">
        <v>84</v>
      </c>
      <c r="G68" s="86" t="s">
        <v>85</v>
      </c>
      <c r="H68" s="89">
        <v>600</v>
      </c>
      <c r="I68" s="656" t="str">
        <f t="shared" si="8"/>
        <v>R Ex 822 Cesion de 600 ton de Alimar  a Grupo Emb_VIII region</v>
      </c>
      <c r="J68" s="657"/>
    </row>
    <row r="69" spans="2:10" ht="11.45" customHeight="1">
      <c r="B69" s="86" t="s">
        <v>82</v>
      </c>
      <c r="C69" s="86">
        <v>823</v>
      </c>
      <c r="D69" s="90">
        <v>43529</v>
      </c>
      <c r="E69" s="86" t="s">
        <v>93</v>
      </c>
      <c r="F69" s="88" t="s">
        <v>84</v>
      </c>
      <c r="G69" s="86" t="s">
        <v>87</v>
      </c>
      <c r="H69" s="89">
        <v>892.476</v>
      </c>
      <c r="I69" s="656" t="str">
        <f t="shared" si="8"/>
        <v>R Ex 823 Cesion de 892,476 ton de Alimar  a Grupo Emb_VIII region</v>
      </c>
      <c r="J69" s="657"/>
    </row>
    <row r="70" spans="2:10" ht="11.45" customHeight="1">
      <c r="B70" s="86" t="s">
        <v>82</v>
      </c>
      <c r="C70" s="86">
        <v>823</v>
      </c>
      <c r="D70" s="87">
        <v>43529</v>
      </c>
      <c r="E70" s="86" t="s">
        <v>93</v>
      </c>
      <c r="F70" s="88" t="s">
        <v>84</v>
      </c>
      <c r="G70" s="86" t="s">
        <v>85</v>
      </c>
      <c r="H70" s="89">
        <v>3014.1990000000001</v>
      </c>
      <c r="I70" s="656" t="str">
        <f t="shared" si="8"/>
        <v>R Ex 823 Cesion de 3014,199 ton de Alimar  a Grupo Emb_VIII region</v>
      </c>
      <c r="J70" s="657"/>
    </row>
    <row r="71" spans="2:10" ht="11.45" customHeight="1">
      <c r="B71" s="86" t="s">
        <v>82</v>
      </c>
      <c r="C71" s="86">
        <v>825</v>
      </c>
      <c r="D71" s="87">
        <v>43529</v>
      </c>
      <c r="E71" s="86" t="s">
        <v>86</v>
      </c>
      <c r="F71" s="88" t="s">
        <v>90</v>
      </c>
      <c r="G71" s="86" t="s">
        <v>87</v>
      </c>
      <c r="H71" s="89">
        <v>81.236000000000004</v>
      </c>
      <c r="I71" s="656" t="str">
        <f t="shared" si="8"/>
        <v>R Ex 825 Cesion de 81,236 ton de Pesq Litoral  a Emb Paulina M_VIII region</v>
      </c>
      <c r="J71" s="657"/>
    </row>
    <row r="72" spans="2:10" ht="11.45" customHeight="1">
      <c r="B72" s="86" t="s">
        <v>82</v>
      </c>
      <c r="C72" s="86">
        <v>825</v>
      </c>
      <c r="D72" s="87">
        <v>43529</v>
      </c>
      <c r="E72" s="86" t="s">
        <v>86</v>
      </c>
      <c r="F72" s="88" t="s">
        <v>90</v>
      </c>
      <c r="G72" s="86" t="s">
        <v>85</v>
      </c>
      <c r="H72" s="89">
        <v>74.664000000000001</v>
      </c>
      <c r="I72" s="656" t="str">
        <f t="shared" si="8"/>
        <v>R Ex 825 Cesion de 74,664 ton de Pesq Litoral  a Emb Paulina M_VIII region</v>
      </c>
      <c r="J72" s="657"/>
    </row>
    <row r="73" spans="2:10" ht="11.45" customHeight="1">
      <c r="B73" s="86" t="s">
        <v>82</v>
      </c>
      <c r="C73" s="86">
        <v>847</v>
      </c>
      <c r="D73" s="90">
        <v>43530</v>
      </c>
      <c r="E73" s="86" t="s">
        <v>91</v>
      </c>
      <c r="F73" s="88" t="s">
        <v>94</v>
      </c>
      <c r="G73" s="86" t="s">
        <v>87</v>
      </c>
      <c r="H73" s="89">
        <v>120</v>
      </c>
      <c r="I73" s="656" t="str">
        <f t="shared" si="8"/>
        <v>R Ex 847 Cesion de 120 ton de Camanchaca PS  a Grupo Emb_VIII y Emb XIV region</v>
      </c>
      <c r="J73" s="657"/>
    </row>
    <row r="74" spans="2:10" ht="11.45" customHeight="1">
      <c r="B74" s="86" t="s">
        <v>82</v>
      </c>
      <c r="C74" s="86">
        <v>847</v>
      </c>
      <c r="D74" s="90">
        <v>43530</v>
      </c>
      <c r="E74" s="86" t="s">
        <v>91</v>
      </c>
      <c r="F74" s="88" t="s">
        <v>94</v>
      </c>
      <c r="G74" s="86" t="s">
        <v>85</v>
      </c>
      <c r="H74" s="89">
        <v>1310</v>
      </c>
      <c r="I74" s="656" t="str">
        <f t="shared" si="8"/>
        <v>R Ex 847 Cesion de 1310 ton de Camanchaca PS  a Grupo Emb_VIII y Emb XIV region</v>
      </c>
      <c r="J74" s="657"/>
    </row>
    <row r="75" spans="2:10" ht="11.45" customHeight="1">
      <c r="B75" s="86" t="s">
        <v>82</v>
      </c>
      <c r="C75" s="86">
        <v>971</v>
      </c>
      <c r="D75" s="87">
        <v>43543</v>
      </c>
      <c r="E75" s="86" t="s">
        <v>86</v>
      </c>
      <c r="F75" s="88" t="s">
        <v>90</v>
      </c>
      <c r="G75" s="86" t="s">
        <v>87</v>
      </c>
      <c r="H75" s="89">
        <v>106.78700000000001</v>
      </c>
      <c r="I75" s="656" t="str">
        <f t="shared" si="8"/>
        <v>R Ex 971 Cesion de 106,787 ton de Pesq Litoral  a Emb Paulina M_VIII region</v>
      </c>
      <c r="J75" s="657"/>
    </row>
    <row r="76" spans="2:10" ht="11.45" customHeight="1">
      <c r="B76" s="86" t="s">
        <v>82</v>
      </c>
      <c r="C76" s="86">
        <v>971</v>
      </c>
      <c r="D76" s="87">
        <v>43543</v>
      </c>
      <c r="E76" s="86" t="s">
        <v>86</v>
      </c>
      <c r="F76" s="88" t="s">
        <v>90</v>
      </c>
      <c r="G76" s="86" t="s">
        <v>85</v>
      </c>
      <c r="H76" s="89">
        <v>460.56</v>
      </c>
      <c r="I76" s="656" t="str">
        <f t="shared" si="8"/>
        <v>R Ex 971 Cesion de 460,56 ton de Pesq Litoral  a Emb Paulina M_VIII region</v>
      </c>
      <c r="J76" s="657"/>
    </row>
    <row r="77" spans="2:10" ht="11.45" customHeight="1">
      <c r="B77" s="86" t="s">
        <v>82</v>
      </c>
      <c r="C77" s="86">
        <v>980</v>
      </c>
      <c r="D77" s="90">
        <v>43544</v>
      </c>
      <c r="E77" s="61" t="s">
        <v>95</v>
      </c>
      <c r="F77" s="88" t="s">
        <v>96</v>
      </c>
      <c r="G77" s="86" t="s">
        <v>85</v>
      </c>
      <c r="H77" s="89">
        <v>532.1</v>
      </c>
      <c r="I77" s="656" t="str">
        <f t="shared" si="8"/>
        <v>R Ex 980 Cesion de 532,1 ton de Gonzalo galdamez  a Emb Margot Maria IV_XIV region</v>
      </c>
      <c r="J77" s="657"/>
    </row>
    <row r="78" spans="2:10" ht="11.45" customHeight="1">
      <c r="B78" s="86" t="s">
        <v>82</v>
      </c>
      <c r="C78" s="86">
        <v>1048</v>
      </c>
      <c r="D78" s="90">
        <v>43546</v>
      </c>
      <c r="E78" s="61" t="s">
        <v>97</v>
      </c>
      <c r="F78" s="88" t="s">
        <v>84</v>
      </c>
      <c r="G78" s="86" t="s">
        <v>87</v>
      </c>
      <c r="H78" s="89">
        <v>432.27199999999999</v>
      </c>
      <c r="I78" s="656" t="str">
        <f t="shared" si="8"/>
        <v>R Ex 1048 Cesion de 432,272 ton de Foodcorp  a Grupo Emb_VIII region</v>
      </c>
      <c r="J78" s="657"/>
    </row>
    <row r="79" spans="2:10" ht="11.45" customHeight="1">
      <c r="B79" s="86" t="s">
        <v>82</v>
      </c>
      <c r="C79" s="86">
        <v>1048</v>
      </c>
      <c r="D79" s="90">
        <v>43546</v>
      </c>
      <c r="E79" s="61" t="s">
        <v>97</v>
      </c>
      <c r="F79" s="88" t="s">
        <v>84</v>
      </c>
      <c r="G79" s="86" t="s">
        <v>85</v>
      </c>
      <c r="H79" s="89">
        <v>915.07600000000002</v>
      </c>
      <c r="I79" s="656" t="str">
        <f t="shared" si="8"/>
        <v>R Ex 1048 Cesion de 915,076 ton de Foodcorp  a Grupo Emb_VIII region</v>
      </c>
      <c r="J79" s="657"/>
    </row>
    <row r="80" spans="2:10" ht="11.45" customHeight="1">
      <c r="B80" s="86" t="s">
        <v>82</v>
      </c>
      <c r="C80" s="86">
        <v>1079</v>
      </c>
      <c r="D80" s="90">
        <v>43551</v>
      </c>
      <c r="E80" s="86" t="s">
        <v>93</v>
      </c>
      <c r="F80" s="88" t="s">
        <v>98</v>
      </c>
      <c r="G80" s="86" t="s">
        <v>87</v>
      </c>
      <c r="H80" s="89">
        <v>100</v>
      </c>
      <c r="I80" s="656" t="str">
        <f t="shared" si="8"/>
        <v>R Ex 1079 Cesion de 100 ton de Alimar  a Emb Mar de Liguria_VIII region</v>
      </c>
      <c r="J80" s="657"/>
    </row>
    <row r="81" spans="2:10" ht="11.45" customHeight="1">
      <c r="B81" s="86" t="s">
        <v>82</v>
      </c>
      <c r="C81" s="86">
        <v>1079</v>
      </c>
      <c r="D81" s="87">
        <v>43551</v>
      </c>
      <c r="E81" s="86" t="s">
        <v>93</v>
      </c>
      <c r="F81" s="88" t="s">
        <v>98</v>
      </c>
      <c r="G81" s="86" t="s">
        <v>85</v>
      </c>
      <c r="H81" s="89">
        <v>200</v>
      </c>
      <c r="I81" s="656" t="str">
        <f t="shared" si="8"/>
        <v>R Ex 1079 Cesion de 200 ton de Alimar  a Emb Mar de Liguria_VIII region</v>
      </c>
      <c r="J81" s="657"/>
    </row>
    <row r="82" spans="2:10" ht="11.45" customHeight="1">
      <c r="B82" s="86" t="s">
        <v>82</v>
      </c>
      <c r="C82" s="86">
        <v>1080</v>
      </c>
      <c r="D82" s="87">
        <v>43551</v>
      </c>
      <c r="E82" s="86" t="s">
        <v>99</v>
      </c>
      <c r="F82" s="88" t="s">
        <v>100</v>
      </c>
      <c r="G82" s="86" t="s">
        <v>87</v>
      </c>
      <c r="H82" s="89">
        <v>2590</v>
      </c>
      <c r="I82" s="656" t="str">
        <f t="shared" si="8"/>
        <v>R Ex 1080 Cesion de 2590 ton de Blumar  a Grupo Emb_XIV region</v>
      </c>
      <c r="J82" s="657"/>
    </row>
    <row r="83" spans="2:10" ht="11.45" customHeight="1">
      <c r="B83" s="86" t="s">
        <v>82</v>
      </c>
      <c r="C83" s="86">
        <v>1080</v>
      </c>
      <c r="D83" s="90">
        <v>43551</v>
      </c>
      <c r="E83" s="86" t="s">
        <v>99</v>
      </c>
      <c r="F83" s="88" t="s">
        <v>100</v>
      </c>
      <c r="G83" s="86" t="s">
        <v>85</v>
      </c>
      <c r="H83" s="89">
        <v>7860</v>
      </c>
      <c r="I83" s="656" t="str">
        <f t="shared" si="8"/>
        <v>R Ex 1080 Cesion de 7860 ton de Blumar  a Grupo Emb_XIV region</v>
      </c>
      <c r="J83" s="657"/>
    </row>
    <row r="84" spans="2:10" ht="11.45" customHeight="1">
      <c r="B84" s="86" t="s">
        <v>82</v>
      </c>
      <c r="C84" s="86">
        <v>1081</v>
      </c>
      <c r="D84" s="87">
        <v>43551</v>
      </c>
      <c r="E84" s="86" t="s">
        <v>99</v>
      </c>
      <c r="F84" s="88" t="s">
        <v>100</v>
      </c>
      <c r="G84" s="86" t="s">
        <v>87</v>
      </c>
      <c r="H84" s="89">
        <v>300</v>
      </c>
      <c r="I84" s="656" t="str">
        <f t="shared" si="8"/>
        <v>R Ex 1081 Cesion de 300 ton de Blumar  a Grupo Emb_XIV region</v>
      </c>
      <c r="J84" s="657"/>
    </row>
    <row r="85" spans="2:10" ht="11.45" customHeight="1">
      <c r="B85" s="86" t="s">
        <v>82</v>
      </c>
      <c r="C85" s="86">
        <v>1081</v>
      </c>
      <c r="D85" s="90">
        <v>43551</v>
      </c>
      <c r="E85" s="86" t="s">
        <v>99</v>
      </c>
      <c r="F85" s="88" t="s">
        <v>100</v>
      </c>
      <c r="G85" s="86" t="s">
        <v>85</v>
      </c>
      <c r="H85" s="89">
        <v>900</v>
      </c>
      <c r="I85" s="656" t="str">
        <f t="shared" si="8"/>
        <v>R Ex 1081 Cesion de 900 ton de Blumar  a Grupo Emb_XIV region</v>
      </c>
      <c r="J85" s="657"/>
    </row>
    <row r="86" spans="2:10" ht="11.45" customHeight="1">
      <c r="B86" s="86" t="s">
        <v>82</v>
      </c>
      <c r="C86" s="86">
        <v>1107</v>
      </c>
      <c r="D86" s="87">
        <v>43553</v>
      </c>
      <c r="E86" s="86" t="s">
        <v>93</v>
      </c>
      <c r="F86" s="88" t="s">
        <v>84</v>
      </c>
      <c r="G86" s="86" t="s">
        <v>87</v>
      </c>
      <c r="H86" s="89">
        <v>264.44600000000003</v>
      </c>
      <c r="I86" s="656" t="str">
        <f t="shared" si="8"/>
        <v>R Ex 1107 Cesion de 264,446 ton de Alimar  a Grupo Emb_VIII region</v>
      </c>
      <c r="J86" s="657"/>
    </row>
    <row r="87" spans="2:10" ht="11.45" customHeight="1">
      <c r="B87" s="86" t="s">
        <v>82</v>
      </c>
      <c r="C87" s="86">
        <v>1108</v>
      </c>
      <c r="D87" s="87">
        <v>43554</v>
      </c>
      <c r="E87" s="86" t="s">
        <v>93</v>
      </c>
      <c r="F87" s="88" t="s">
        <v>84</v>
      </c>
      <c r="G87" s="86" t="s">
        <v>85</v>
      </c>
      <c r="H87" s="89">
        <v>893.09799999999996</v>
      </c>
      <c r="I87" s="656" t="str">
        <f t="shared" si="8"/>
        <v>R Ex 1108 Cesion de 893,098 ton de Alimar  a Grupo Emb_VIII region</v>
      </c>
      <c r="J87" s="657"/>
    </row>
    <row r="88" spans="2:10" ht="11.45" customHeight="1">
      <c r="B88" s="86" t="s">
        <v>82</v>
      </c>
      <c r="C88" s="86">
        <v>1108</v>
      </c>
      <c r="D88" s="90">
        <v>43553</v>
      </c>
      <c r="E88" s="86" t="s">
        <v>93</v>
      </c>
      <c r="F88" s="88" t="s">
        <v>101</v>
      </c>
      <c r="G88" s="86" t="s">
        <v>87</v>
      </c>
      <c r="H88" s="89">
        <v>130</v>
      </c>
      <c r="I88" s="656" t="str">
        <f t="shared" si="8"/>
        <v>R Ex 1108 Cesion de 130 ton de Alimar  a Emb Florencia_VIII region</v>
      </c>
      <c r="J88" s="657"/>
    </row>
    <row r="89" spans="2:10" ht="11.45" customHeight="1">
      <c r="B89" s="86" t="s">
        <v>82</v>
      </c>
      <c r="C89" s="86">
        <v>1108</v>
      </c>
      <c r="D89" s="90">
        <v>43553</v>
      </c>
      <c r="E89" s="86" t="s">
        <v>93</v>
      </c>
      <c r="F89" s="88" t="s">
        <v>101</v>
      </c>
      <c r="G89" s="86" t="s">
        <v>85</v>
      </c>
      <c r="H89" s="89">
        <v>110</v>
      </c>
      <c r="I89" s="656" t="str">
        <f t="shared" si="8"/>
        <v>R Ex 1108 Cesion de 110 ton de Alimar  a Emb Florencia_VIII region</v>
      </c>
      <c r="J89" s="657"/>
    </row>
    <row r="90" spans="2:10" ht="11.45" customHeight="1">
      <c r="B90" s="86" t="s">
        <v>82</v>
      </c>
      <c r="C90" s="86">
        <v>1110</v>
      </c>
      <c r="D90" s="87">
        <v>43553</v>
      </c>
      <c r="E90" s="86" t="s">
        <v>91</v>
      </c>
      <c r="F90" s="88" t="s">
        <v>84</v>
      </c>
      <c r="G90" s="86" t="s">
        <v>87</v>
      </c>
      <c r="H90" s="89">
        <v>125</v>
      </c>
      <c r="I90" s="656" t="str">
        <f t="shared" si="8"/>
        <v>R Ex 1110 Cesion de 125 ton de Camanchaca PS  a Grupo Emb_VIII region</v>
      </c>
      <c r="J90" s="657"/>
    </row>
    <row r="91" spans="2:10" ht="11.45" customHeight="1">
      <c r="B91" s="86" t="s">
        <v>82</v>
      </c>
      <c r="C91" s="86">
        <v>1110</v>
      </c>
      <c r="D91" s="90">
        <v>43553</v>
      </c>
      <c r="E91" s="86" t="s">
        <v>91</v>
      </c>
      <c r="F91" s="88" t="s">
        <v>84</v>
      </c>
      <c r="G91" s="86" t="s">
        <v>85</v>
      </c>
      <c r="H91" s="89">
        <v>915</v>
      </c>
      <c r="I91" s="656" t="str">
        <f t="shared" si="8"/>
        <v>R Ex 1110 Cesion de 915 ton de Camanchaca PS  a Grupo Emb_VIII region</v>
      </c>
      <c r="J91" s="657"/>
    </row>
    <row r="92" spans="2:10" ht="11.45" customHeight="1">
      <c r="B92" s="86" t="s">
        <v>82</v>
      </c>
      <c r="C92" s="86">
        <v>1111</v>
      </c>
      <c r="D92" s="87">
        <v>43553</v>
      </c>
      <c r="E92" s="86" t="s">
        <v>102</v>
      </c>
      <c r="F92" s="88" t="s">
        <v>103</v>
      </c>
      <c r="G92" s="86" t="s">
        <v>85</v>
      </c>
      <c r="H92" s="89">
        <v>88.683000000000007</v>
      </c>
      <c r="I92" s="656" t="str">
        <f t="shared" si="8"/>
        <v>R Ex 1111 Cesion de 88,683 ton de Inv Tridente  a Emb Gianfranco_VIII region</v>
      </c>
      <c r="J92" s="657"/>
    </row>
    <row r="93" spans="2:10" ht="11.45" customHeight="1">
      <c r="B93" s="86" t="s">
        <v>82</v>
      </c>
      <c r="C93" s="86">
        <v>1112</v>
      </c>
      <c r="D93" s="90">
        <v>43553</v>
      </c>
      <c r="E93" s="61" t="s">
        <v>97</v>
      </c>
      <c r="F93" s="88" t="s">
        <v>84</v>
      </c>
      <c r="G93" s="86" t="s">
        <v>87</v>
      </c>
      <c r="H93" s="89">
        <v>113</v>
      </c>
      <c r="I93" s="656" t="str">
        <f t="shared" si="8"/>
        <v>R Ex 1112 Cesion de 113 ton de Foodcorp  a Grupo Emb_VIII region</v>
      </c>
      <c r="J93" s="657"/>
    </row>
    <row r="94" spans="2:10" ht="11.45" customHeight="1">
      <c r="B94" s="86" t="s">
        <v>82</v>
      </c>
      <c r="C94" s="86">
        <v>1112</v>
      </c>
      <c r="D94" s="90">
        <v>43553</v>
      </c>
      <c r="E94" s="61" t="s">
        <v>97</v>
      </c>
      <c r="F94" s="88" t="s">
        <v>84</v>
      </c>
      <c r="G94" s="86" t="s">
        <v>85</v>
      </c>
      <c r="H94" s="89">
        <v>237</v>
      </c>
      <c r="I94" s="656" t="str">
        <f t="shared" si="8"/>
        <v>R Ex 1112 Cesion de 237 ton de Foodcorp  a Grupo Emb_VIII region</v>
      </c>
      <c r="J94" s="657"/>
    </row>
    <row r="95" spans="2:10" ht="11.45" customHeight="1">
      <c r="B95" s="86" t="s">
        <v>82</v>
      </c>
      <c r="C95" s="86">
        <v>1113</v>
      </c>
      <c r="D95" s="90">
        <v>43553</v>
      </c>
      <c r="E95" s="61" t="s">
        <v>97</v>
      </c>
      <c r="F95" s="88" t="s">
        <v>104</v>
      </c>
      <c r="G95" s="86" t="s">
        <v>87</v>
      </c>
      <c r="H95" s="89">
        <v>16</v>
      </c>
      <c r="I95" s="656" t="str">
        <f t="shared" si="8"/>
        <v>R Ex 1113 Cesion de 16 ton de Foodcorp  a Emb Santa Rita III_VIII region</v>
      </c>
      <c r="J95" s="657"/>
    </row>
    <row r="96" spans="2:10" ht="11.45" customHeight="1">
      <c r="B96" s="86" t="s">
        <v>82</v>
      </c>
      <c r="C96" s="86">
        <v>1113</v>
      </c>
      <c r="D96" s="90">
        <v>43553</v>
      </c>
      <c r="E96" s="61" t="s">
        <v>97</v>
      </c>
      <c r="F96" s="88" t="s">
        <v>104</v>
      </c>
      <c r="G96" s="86" t="s">
        <v>85</v>
      </c>
      <c r="H96" s="89">
        <v>34</v>
      </c>
      <c r="I96" s="656" t="str">
        <f t="shared" si="8"/>
        <v>R Ex 1113 Cesion de 34 ton de Foodcorp  a Emb Santa Rita III_VIII region</v>
      </c>
      <c r="J96" s="657"/>
    </row>
    <row r="97" spans="2:10" ht="11.45" customHeight="1">
      <c r="B97" s="86" t="s">
        <v>82</v>
      </c>
      <c r="C97" s="86">
        <v>1114</v>
      </c>
      <c r="D97" s="90">
        <v>43553</v>
      </c>
      <c r="E97" s="61" t="s">
        <v>105</v>
      </c>
      <c r="F97" s="88" t="s">
        <v>106</v>
      </c>
      <c r="G97" s="86" t="s">
        <v>85</v>
      </c>
      <c r="H97" s="89">
        <v>798.14700000000005</v>
      </c>
      <c r="I97" s="656" t="str">
        <f t="shared" si="8"/>
        <v>R Ex 1114 Cesion de 798,147 ton de Soc Mehuin Rey  a Emb Aguila Real_XIV region</v>
      </c>
      <c r="J97" s="657"/>
    </row>
    <row r="98" spans="2:10" ht="11.45" customHeight="1">
      <c r="B98" s="86" t="s">
        <v>82</v>
      </c>
      <c r="C98" s="86">
        <v>1188</v>
      </c>
      <c r="D98" s="87">
        <v>43553</v>
      </c>
      <c r="E98" s="86" t="s">
        <v>107</v>
      </c>
      <c r="F98" s="88" t="s">
        <v>108</v>
      </c>
      <c r="G98" s="86" t="s">
        <v>87</v>
      </c>
      <c r="H98" s="89">
        <v>131.80000000000001</v>
      </c>
      <c r="I98" s="656" t="str">
        <f t="shared" si="8"/>
        <v>R Ex 1188 Cesion de 131,8 ton de Inv Pesq Pedro Irigoyen  a Emb Don Luis Alberto-VIII region</v>
      </c>
      <c r="J98" s="657"/>
    </row>
    <row r="99" spans="2:10" ht="11.45" customHeight="1">
      <c r="B99" s="86" t="s">
        <v>82</v>
      </c>
      <c r="C99" s="86">
        <v>1188</v>
      </c>
      <c r="D99" s="87">
        <v>43553</v>
      </c>
      <c r="E99" s="86" t="s">
        <v>107</v>
      </c>
      <c r="F99" s="88" t="s">
        <v>108</v>
      </c>
      <c r="G99" s="86" t="s">
        <v>85</v>
      </c>
      <c r="H99" s="89">
        <v>254.8</v>
      </c>
      <c r="I99" s="656" t="str">
        <f t="shared" si="8"/>
        <v>R Ex 1188 Cesion de 254,8 ton de Inv Pesq Pedro Irigoyen  a Emb Don Luis Alberto-VIII region</v>
      </c>
      <c r="J99" s="657"/>
    </row>
    <row r="100" spans="2:10" ht="11.45" customHeight="1">
      <c r="B100" s="86" t="s">
        <v>82</v>
      </c>
      <c r="C100" s="86">
        <v>1189</v>
      </c>
      <c r="D100" s="87">
        <v>43553</v>
      </c>
      <c r="E100" s="86" t="s">
        <v>109</v>
      </c>
      <c r="F100" s="88" t="s">
        <v>110</v>
      </c>
      <c r="G100" s="86" t="s">
        <v>85</v>
      </c>
      <c r="H100" s="89">
        <v>1634.723</v>
      </c>
      <c r="I100" s="656" t="str">
        <f t="shared" si="8"/>
        <v>R Ex 1189 Cesion de 1634,723 ton de Pesq Lepe  a Grupo Emb -VIII region</v>
      </c>
      <c r="J100" s="657"/>
    </row>
    <row r="101" spans="2:10" ht="11.45" customHeight="1">
      <c r="B101" s="86" t="s">
        <v>82</v>
      </c>
      <c r="C101" s="86">
        <v>1191</v>
      </c>
      <c r="D101" s="589">
        <v>43553</v>
      </c>
      <c r="E101" s="86" t="s">
        <v>111</v>
      </c>
      <c r="F101" s="91" t="s">
        <v>112</v>
      </c>
      <c r="G101" s="86" t="s">
        <v>85</v>
      </c>
      <c r="H101" s="89">
        <v>266.05</v>
      </c>
      <c r="I101" s="656" t="str">
        <f t="shared" si="8"/>
        <v>R Ex 1191 Cesion de 266,05 ton de Julio Saez  a Emb Ebenezer II-XIV region</v>
      </c>
      <c r="J101" s="657"/>
    </row>
    <row r="102" spans="2:10" ht="11.45" customHeight="1">
      <c r="B102" s="86" t="s">
        <v>82</v>
      </c>
      <c r="C102" s="86">
        <v>1192</v>
      </c>
      <c r="D102" s="87">
        <v>43553</v>
      </c>
      <c r="E102" s="86" t="s">
        <v>113</v>
      </c>
      <c r="F102" s="91" t="s">
        <v>114</v>
      </c>
      <c r="G102" s="86" t="s">
        <v>85</v>
      </c>
      <c r="H102" s="89">
        <v>798.15</v>
      </c>
      <c r="I102" s="656" t="str">
        <f t="shared" si="8"/>
        <v>R Ex 1192 Cesion de 798,15 ton de Cristian Silva  a Emb Claudio I-XIV region</v>
      </c>
      <c r="J102" s="657"/>
    </row>
    <row r="103" spans="2:10" ht="11.45" customHeight="1">
      <c r="B103" s="86" t="s">
        <v>82</v>
      </c>
      <c r="C103" s="86">
        <v>1193</v>
      </c>
      <c r="D103" s="87">
        <v>43553</v>
      </c>
      <c r="E103" s="86" t="s">
        <v>115</v>
      </c>
      <c r="F103" s="91" t="s">
        <v>114</v>
      </c>
      <c r="G103" s="86" t="s">
        <v>85</v>
      </c>
      <c r="H103" s="89">
        <v>133.02500000000001</v>
      </c>
      <c r="I103" s="656" t="str">
        <f t="shared" si="8"/>
        <v>R Ex 1193 Cesion de 133,025 ton de Fabian Monsalve  a Emb Claudio I-XIV region</v>
      </c>
      <c r="J103" s="657"/>
    </row>
    <row r="104" spans="2:10" ht="11.45" customHeight="1">
      <c r="B104" s="86" t="s">
        <v>82</v>
      </c>
      <c r="C104" s="86">
        <v>1194</v>
      </c>
      <c r="D104" s="87">
        <v>43553</v>
      </c>
      <c r="E104" s="86" t="s">
        <v>116</v>
      </c>
      <c r="F104" s="91" t="s">
        <v>117</v>
      </c>
      <c r="G104" s="86" t="s">
        <v>85</v>
      </c>
      <c r="H104" s="89">
        <v>133.02500000000001</v>
      </c>
      <c r="I104" s="656" t="str">
        <f t="shared" si="8"/>
        <v>R Ex 1194 Cesion de 133,025 ton de Susan Monsalve  a Emb Alberto M-XIV region</v>
      </c>
      <c r="J104" s="657"/>
    </row>
    <row r="105" spans="2:10" ht="11.45" customHeight="1">
      <c r="B105" s="86" t="s">
        <v>82</v>
      </c>
      <c r="C105" s="86">
        <v>1196</v>
      </c>
      <c r="D105" s="87">
        <v>43553</v>
      </c>
      <c r="E105" s="86" t="s">
        <v>99</v>
      </c>
      <c r="F105" s="88" t="s">
        <v>118</v>
      </c>
      <c r="G105" s="86" t="s">
        <v>87</v>
      </c>
      <c r="H105" s="89">
        <v>40</v>
      </c>
      <c r="I105" s="656" t="str">
        <f t="shared" si="8"/>
        <v>R Ex 1196 Cesion de 40 ton de Blumar  a Emb Lago Ranco-VIII region</v>
      </c>
      <c r="J105" s="657"/>
    </row>
    <row r="106" spans="2:10" ht="11.45" customHeight="1">
      <c r="B106" s="86" t="s">
        <v>82</v>
      </c>
      <c r="C106" s="86">
        <v>1196</v>
      </c>
      <c r="D106" s="87">
        <v>43553</v>
      </c>
      <c r="E106" s="86" t="s">
        <v>99</v>
      </c>
      <c r="F106" s="88" t="s">
        <v>119</v>
      </c>
      <c r="G106" s="86" t="s">
        <v>85</v>
      </c>
      <c r="H106" s="89">
        <v>260</v>
      </c>
      <c r="I106" s="656" t="str">
        <f t="shared" si="8"/>
        <v>R Ex 1196 Cesion de 260 ton de Blumar  a Emb Lago Ranco_VIII region</v>
      </c>
      <c r="J106" s="657"/>
    </row>
    <row r="107" spans="2:10" ht="11.45" customHeight="1">
      <c r="B107" s="86" t="s">
        <v>82</v>
      </c>
      <c r="C107" s="86">
        <v>1196</v>
      </c>
      <c r="D107" s="87">
        <v>43553</v>
      </c>
      <c r="E107" s="86" t="s">
        <v>99</v>
      </c>
      <c r="F107" s="88" t="s">
        <v>120</v>
      </c>
      <c r="G107" s="86" t="s">
        <v>87</v>
      </c>
      <c r="H107" s="89">
        <v>30</v>
      </c>
      <c r="I107" s="656" t="str">
        <f t="shared" si="8"/>
        <v>R Ex 1196 Cesion de 30 ton de Blumar  a Emb Nahum VIII region</v>
      </c>
      <c r="J107" s="657"/>
    </row>
    <row r="108" spans="2:10" ht="11.45" customHeight="1">
      <c r="B108" s="86" t="s">
        <v>82</v>
      </c>
      <c r="C108" s="86">
        <v>1196</v>
      </c>
      <c r="D108" s="87">
        <v>43553</v>
      </c>
      <c r="E108" s="86" t="s">
        <v>99</v>
      </c>
      <c r="F108" s="88" t="s">
        <v>121</v>
      </c>
      <c r="G108" s="86" t="s">
        <v>85</v>
      </c>
      <c r="H108" s="89">
        <v>170</v>
      </c>
      <c r="I108" s="656" t="str">
        <f t="shared" si="8"/>
        <v>R Ex 1196 Cesion de 170 ton de Blumar  a Emb Nahum-VII region</v>
      </c>
      <c r="J108" s="657"/>
    </row>
    <row r="109" spans="2:10" ht="11.45" customHeight="1">
      <c r="B109" s="86" t="s">
        <v>82</v>
      </c>
      <c r="C109" s="86">
        <v>1197</v>
      </c>
      <c r="D109" s="90">
        <v>43553</v>
      </c>
      <c r="E109" s="86" t="s">
        <v>93</v>
      </c>
      <c r="F109" s="88" t="s">
        <v>122</v>
      </c>
      <c r="G109" s="86" t="s">
        <v>87</v>
      </c>
      <c r="H109" s="89">
        <v>4</v>
      </c>
      <c r="I109" s="656" t="str">
        <f t="shared" si="8"/>
        <v>R Ex 1197 Cesion de 4 ton de Alimar  a Emb Adriana V_VIII region</v>
      </c>
      <c r="J109" s="657"/>
    </row>
    <row r="110" spans="2:10" ht="11.45" customHeight="1">
      <c r="B110" s="86" t="s">
        <v>82</v>
      </c>
      <c r="C110" s="86">
        <v>1197</v>
      </c>
      <c r="D110" s="87">
        <v>43553</v>
      </c>
      <c r="E110" s="86" t="s">
        <v>93</v>
      </c>
      <c r="F110" s="88" t="s">
        <v>122</v>
      </c>
      <c r="G110" s="86" t="s">
        <v>85</v>
      </c>
      <c r="H110" s="89">
        <v>196</v>
      </c>
      <c r="I110" s="656" t="str">
        <f t="shared" si="8"/>
        <v>R Ex 1197 Cesion de 196 ton de Alimar  a Emb Adriana V_VIII region</v>
      </c>
      <c r="J110" s="657"/>
    </row>
    <row r="111" spans="2:10" ht="11.45" customHeight="1">
      <c r="B111" s="86" t="s">
        <v>82</v>
      </c>
      <c r="C111" s="86">
        <v>1198</v>
      </c>
      <c r="D111" s="90">
        <v>43553</v>
      </c>
      <c r="E111" s="86" t="s">
        <v>93</v>
      </c>
      <c r="F111" s="88" t="s">
        <v>84</v>
      </c>
      <c r="G111" s="86" t="s">
        <v>87</v>
      </c>
      <c r="H111" s="89">
        <v>1596</v>
      </c>
      <c r="I111" s="656" t="str">
        <f t="shared" si="8"/>
        <v>R Ex 1198 Cesion de 1596 ton de Alimar  a Grupo Emb_VIII region</v>
      </c>
      <c r="J111" s="657"/>
    </row>
    <row r="112" spans="2:10" ht="11.45" customHeight="1">
      <c r="B112" s="86" t="s">
        <v>82</v>
      </c>
      <c r="C112" s="86">
        <v>1198</v>
      </c>
      <c r="D112" s="87">
        <v>43553</v>
      </c>
      <c r="E112" s="86" t="s">
        <v>93</v>
      </c>
      <c r="F112" s="88" t="s">
        <v>84</v>
      </c>
      <c r="G112" s="86" t="s">
        <v>85</v>
      </c>
      <c r="H112" s="89">
        <v>206</v>
      </c>
      <c r="I112" s="656" t="str">
        <f t="shared" si="8"/>
        <v>R Ex 1198 Cesion de 206 ton de Alimar  a Grupo Emb_VIII region</v>
      </c>
      <c r="J112" s="657"/>
    </row>
    <row r="113" spans="2:10" ht="11.45" customHeight="1">
      <c r="B113" s="86" t="s">
        <v>82</v>
      </c>
      <c r="C113" s="86">
        <v>1352</v>
      </c>
      <c r="D113" s="87">
        <v>43564</v>
      </c>
      <c r="E113" s="86" t="s">
        <v>102</v>
      </c>
      <c r="F113" s="88" t="s">
        <v>123</v>
      </c>
      <c r="G113" s="86" t="s">
        <v>85</v>
      </c>
      <c r="H113" s="89">
        <v>266.05</v>
      </c>
      <c r="I113" s="656" t="str">
        <f t="shared" si="8"/>
        <v>R Ex 1352 Cesion de 266,05 ton de Inv Tridente  a Emb Gianluca_VIII region</v>
      </c>
      <c r="J113" s="657"/>
    </row>
    <row r="114" spans="2:10" ht="11.45" customHeight="1">
      <c r="B114" s="86" t="s">
        <v>82</v>
      </c>
      <c r="C114" s="86" t="s">
        <v>124</v>
      </c>
      <c r="D114" s="90">
        <v>43572</v>
      </c>
      <c r="E114" s="86" t="s">
        <v>102</v>
      </c>
      <c r="F114" s="88" t="s">
        <v>123</v>
      </c>
      <c r="G114" s="86" t="s">
        <v>85</v>
      </c>
      <c r="H114" s="89">
        <v>0</v>
      </c>
      <c r="I114" s="656" t="str">
        <f t="shared" si="8"/>
        <v>R Ex 1459 rectifica 1352 Cesion de 0 ton de Inv Tridente  a Emb Gianluca_VIII region</v>
      </c>
      <c r="J114" s="657"/>
    </row>
    <row r="115" spans="2:10" ht="11.45" customHeight="1">
      <c r="B115" s="86" t="s">
        <v>82</v>
      </c>
      <c r="C115" s="86">
        <v>1460</v>
      </c>
      <c r="D115" s="87">
        <v>43572</v>
      </c>
      <c r="E115" s="86" t="s">
        <v>125</v>
      </c>
      <c r="F115" s="88" t="s">
        <v>126</v>
      </c>
      <c r="G115" s="86" t="s">
        <v>87</v>
      </c>
      <c r="H115" s="89">
        <v>2</v>
      </c>
      <c r="I115" s="656" t="str">
        <f t="shared" si="8"/>
        <v>R Ex 1460 Cesion de 2 ton de Lota protein  a Emb Don Sixto_VIII region</v>
      </c>
      <c r="J115" s="657"/>
    </row>
    <row r="116" spans="2:10" ht="11.45" customHeight="1">
      <c r="B116" s="86" t="s">
        <v>82</v>
      </c>
      <c r="C116" s="86">
        <v>1460</v>
      </c>
      <c r="D116" s="87">
        <v>43572</v>
      </c>
      <c r="E116" s="86" t="s">
        <v>125</v>
      </c>
      <c r="F116" s="88" t="s">
        <v>126</v>
      </c>
      <c r="G116" s="86" t="s">
        <v>85</v>
      </c>
      <c r="H116" s="89">
        <v>198</v>
      </c>
      <c r="I116" s="656" t="str">
        <f t="shared" si="8"/>
        <v>R Ex 1460 Cesion de 198 ton de Lota protein  a Emb Don Sixto_VIII region</v>
      </c>
      <c r="J116" s="657"/>
    </row>
    <row r="117" spans="2:10" ht="11.45" customHeight="1">
      <c r="B117" s="86" t="s">
        <v>82</v>
      </c>
      <c r="C117" s="86">
        <v>1460</v>
      </c>
      <c r="D117" s="87">
        <v>43572</v>
      </c>
      <c r="E117" s="86" t="s">
        <v>125</v>
      </c>
      <c r="F117" s="88" t="s">
        <v>127</v>
      </c>
      <c r="G117" s="86" t="s">
        <v>87</v>
      </c>
      <c r="H117" s="89">
        <v>2</v>
      </c>
      <c r="I117" s="656" t="str">
        <f t="shared" si="8"/>
        <v>R Ex 1460 Cesion de 2 ton de Lota protein  a Emb Don Sixto Abraham I_VIII region</v>
      </c>
      <c r="J117" s="657"/>
    </row>
    <row r="118" spans="2:10" ht="11.45" customHeight="1">
      <c r="B118" s="86" t="s">
        <v>82</v>
      </c>
      <c r="C118" s="86">
        <v>1460</v>
      </c>
      <c r="D118" s="87">
        <v>43572</v>
      </c>
      <c r="E118" s="86" t="s">
        <v>125</v>
      </c>
      <c r="F118" s="88" t="s">
        <v>127</v>
      </c>
      <c r="G118" s="86" t="s">
        <v>85</v>
      </c>
      <c r="H118" s="89">
        <v>198</v>
      </c>
      <c r="I118" s="656" t="str">
        <f t="shared" si="8"/>
        <v>R Ex 1460 Cesion de 198 ton de Lota protein  a Emb Don Sixto Abraham I_VIII region</v>
      </c>
      <c r="J118" s="657"/>
    </row>
    <row r="119" spans="2:10" ht="11.45" customHeight="1">
      <c r="B119" s="86" t="s">
        <v>82</v>
      </c>
      <c r="C119" s="86">
        <v>1462</v>
      </c>
      <c r="D119" s="87">
        <v>43572</v>
      </c>
      <c r="E119" s="86" t="s">
        <v>92</v>
      </c>
      <c r="F119" s="88" t="s">
        <v>84</v>
      </c>
      <c r="G119" s="86" t="s">
        <v>87</v>
      </c>
      <c r="H119" s="89">
        <v>3363</v>
      </c>
      <c r="I119" s="656" t="str">
        <f t="shared" si="8"/>
        <v>R Ex 1462 Cesion de 3363 ton de Orizon  a Grupo Emb_VIII region</v>
      </c>
      <c r="J119" s="657"/>
    </row>
    <row r="120" spans="2:10" ht="11.45" customHeight="1">
      <c r="B120" s="86" t="s">
        <v>82</v>
      </c>
      <c r="C120" s="86">
        <v>1462</v>
      </c>
      <c r="D120" s="87">
        <v>43572</v>
      </c>
      <c r="E120" s="86" t="s">
        <v>92</v>
      </c>
      <c r="F120" s="88" t="s">
        <v>84</v>
      </c>
      <c r="G120" s="86" t="s">
        <v>85</v>
      </c>
      <c r="H120" s="89">
        <v>9146</v>
      </c>
      <c r="I120" s="656" t="str">
        <f t="shared" si="8"/>
        <v>R Ex 1462 Cesion de 9146 ton de Orizon  a Grupo Emb_VIII region</v>
      </c>
      <c r="J120" s="657"/>
    </row>
    <row r="121" spans="2:10" ht="11.45" customHeight="1">
      <c r="B121" s="86" t="s">
        <v>82</v>
      </c>
      <c r="C121" s="86">
        <v>1526</v>
      </c>
      <c r="D121" s="87">
        <v>43578</v>
      </c>
      <c r="E121" s="86" t="s">
        <v>91</v>
      </c>
      <c r="F121" s="88" t="s">
        <v>84</v>
      </c>
      <c r="G121" s="86" t="s">
        <v>87</v>
      </c>
      <c r="H121" s="89">
        <v>200</v>
      </c>
      <c r="I121" s="656" t="str">
        <f t="shared" si="8"/>
        <v>R Ex 1526 Cesion de 200 ton de Camanchaca PS  a Grupo Emb_VIII region</v>
      </c>
      <c r="J121" s="657"/>
    </row>
    <row r="122" spans="2:10" ht="11.45" customHeight="1">
      <c r="B122" s="86" t="s">
        <v>82</v>
      </c>
      <c r="C122" s="86">
        <v>1526</v>
      </c>
      <c r="D122" s="87">
        <v>43578</v>
      </c>
      <c r="E122" s="86" t="s">
        <v>91</v>
      </c>
      <c r="F122" s="88" t="s">
        <v>84</v>
      </c>
      <c r="G122" s="86" t="s">
        <v>85</v>
      </c>
      <c r="H122" s="89">
        <v>1000</v>
      </c>
      <c r="I122" s="656" t="str">
        <f t="shared" si="8"/>
        <v>R Ex 1526 Cesion de 1000 ton de Camanchaca PS  a Grupo Emb_VIII region</v>
      </c>
      <c r="J122" s="657"/>
    </row>
    <row r="123" spans="2:10" ht="11.45" customHeight="1">
      <c r="B123" s="86" t="s">
        <v>82</v>
      </c>
      <c r="C123" s="86" t="s">
        <v>531</v>
      </c>
      <c r="D123" s="451">
        <v>43578</v>
      </c>
      <c r="E123" s="86" t="s">
        <v>91</v>
      </c>
      <c r="F123" s="88" t="s">
        <v>84</v>
      </c>
      <c r="G123" s="86"/>
      <c r="H123" s="89">
        <v>0</v>
      </c>
      <c r="I123" s="450"/>
      <c r="J123" s="452"/>
    </row>
    <row r="124" spans="2:10" ht="11.45" customHeight="1">
      <c r="B124" s="86" t="s">
        <v>82</v>
      </c>
      <c r="C124" s="86">
        <v>1528</v>
      </c>
      <c r="D124" s="87">
        <v>43578</v>
      </c>
      <c r="E124" s="86" t="s">
        <v>91</v>
      </c>
      <c r="F124" s="88" t="s">
        <v>84</v>
      </c>
      <c r="G124" s="86" t="s">
        <v>87</v>
      </c>
      <c r="H124" s="89">
        <v>230</v>
      </c>
      <c r="I124" s="656" t="str">
        <f t="shared" si="8"/>
        <v>R Ex 1528 Cesion de 230 ton de Camanchaca PS  a Grupo Emb_VIII region</v>
      </c>
      <c r="J124" s="657"/>
    </row>
    <row r="125" spans="2:10" ht="11.45" customHeight="1">
      <c r="B125" s="86" t="s">
        <v>82</v>
      </c>
      <c r="C125" s="86">
        <v>1528</v>
      </c>
      <c r="D125" s="87">
        <v>43578</v>
      </c>
      <c r="E125" s="86" t="s">
        <v>91</v>
      </c>
      <c r="F125" s="88" t="s">
        <v>84</v>
      </c>
      <c r="G125" s="86" t="s">
        <v>85</v>
      </c>
      <c r="H125" s="89">
        <v>2750</v>
      </c>
      <c r="I125" s="656" t="str">
        <f t="shared" si="8"/>
        <v>R Ex 1528 Cesion de 2750 ton de Camanchaca PS  a Grupo Emb_VIII region</v>
      </c>
      <c r="J125" s="657"/>
    </row>
    <row r="126" spans="2:10" ht="11.45" customHeight="1">
      <c r="B126" s="86" t="s">
        <v>82</v>
      </c>
      <c r="C126" s="86">
        <v>1574</v>
      </c>
      <c r="D126" s="87">
        <v>43581</v>
      </c>
      <c r="E126" s="86" t="s">
        <v>91</v>
      </c>
      <c r="F126" s="88" t="s">
        <v>128</v>
      </c>
      <c r="G126" s="86" t="s">
        <v>87</v>
      </c>
      <c r="H126" s="89">
        <v>20</v>
      </c>
      <c r="I126" s="656" t="str">
        <f t="shared" si="8"/>
        <v>R Ex 1574 Cesion de 20 ton de Camanchaca PS  a Emb Domenica_VIII region</v>
      </c>
      <c r="J126" s="657"/>
    </row>
    <row r="127" spans="2:10" ht="11.45" customHeight="1">
      <c r="B127" s="86" t="s">
        <v>82</v>
      </c>
      <c r="C127" s="86">
        <v>1574</v>
      </c>
      <c r="D127" s="87">
        <v>43581</v>
      </c>
      <c r="E127" s="86" t="s">
        <v>91</v>
      </c>
      <c r="F127" s="88" t="s">
        <v>128</v>
      </c>
      <c r="G127" s="86" t="s">
        <v>85</v>
      </c>
      <c r="H127" s="89">
        <v>230</v>
      </c>
      <c r="I127" s="656" t="str">
        <f t="shared" si="8"/>
        <v>R Ex 1574 Cesion de 230 ton de Camanchaca PS  a Emb Domenica_VIII region</v>
      </c>
      <c r="J127" s="657"/>
    </row>
    <row r="128" spans="2:10" ht="11.45" customHeight="1">
      <c r="B128" s="86" t="s">
        <v>82</v>
      </c>
      <c r="C128" s="86">
        <v>1594</v>
      </c>
      <c r="D128" s="87">
        <v>43581</v>
      </c>
      <c r="E128" s="86" t="s">
        <v>129</v>
      </c>
      <c r="F128" s="88" t="s">
        <v>84</v>
      </c>
      <c r="G128" s="86" t="s">
        <v>87</v>
      </c>
      <c r="H128" s="89">
        <v>1175</v>
      </c>
      <c r="I128" s="656" t="str">
        <f t="shared" si="8"/>
        <v>R Ex 1594 Cesion de 1175 ton de Soc Landes  a Grupo Emb_VIII region</v>
      </c>
      <c r="J128" s="657"/>
    </row>
    <row r="129" spans="2:10" ht="11.45" customHeight="1">
      <c r="B129" s="86" t="s">
        <v>82</v>
      </c>
      <c r="C129" s="86">
        <v>1594</v>
      </c>
      <c r="D129" s="87">
        <v>43581</v>
      </c>
      <c r="E129" s="86" t="s">
        <v>129</v>
      </c>
      <c r="F129" s="88" t="s">
        <v>84</v>
      </c>
      <c r="G129" s="86" t="s">
        <v>85</v>
      </c>
      <c r="H129" s="89">
        <v>6585</v>
      </c>
      <c r="I129" s="656" t="str">
        <f t="shared" si="8"/>
        <v>R Ex 1594 Cesion de 6585 ton de Soc Landes  a Grupo Emb_VIII region</v>
      </c>
      <c r="J129" s="657"/>
    </row>
    <row r="130" spans="2:10" ht="11.45" customHeight="1">
      <c r="B130" s="86" t="s">
        <v>82</v>
      </c>
      <c r="C130" s="86">
        <v>1638</v>
      </c>
      <c r="D130" s="87">
        <v>43579</v>
      </c>
      <c r="E130" s="86" t="s">
        <v>130</v>
      </c>
      <c r="F130" s="88" t="s">
        <v>131</v>
      </c>
      <c r="G130" s="86" t="s">
        <v>87</v>
      </c>
      <c r="H130" s="89">
        <v>266</v>
      </c>
      <c r="I130" s="656" t="str">
        <f>+"R Ex "&amp;C130&amp;" Cesion de "&amp;H130&amp;" ton de "&amp;E130&amp;"  a "&amp;F130&amp;" region"</f>
        <v>R Ex 1638 Cesion de 266 ton de Lota Protein  a Grupo Emb VIII region</v>
      </c>
      <c r="J130" s="657"/>
    </row>
    <row r="131" spans="2:10" ht="11.45" customHeight="1">
      <c r="B131" s="86" t="s">
        <v>82</v>
      </c>
      <c r="C131" s="86">
        <v>1638</v>
      </c>
      <c r="D131" s="90">
        <v>43579</v>
      </c>
      <c r="E131" s="86" t="s">
        <v>130</v>
      </c>
      <c r="F131" s="88" t="s">
        <v>131</v>
      </c>
      <c r="G131" s="86" t="s">
        <v>85</v>
      </c>
      <c r="H131" s="89">
        <v>1726</v>
      </c>
      <c r="I131" s="656" t="str">
        <f>+"R Ex "&amp;C131&amp;" Cesion de "&amp;H131&amp;" ton de "&amp;E131&amp;"  a "&amp;F131&amp;" region"</f>
        <v>R Ex 1638 Cesion de 1726 ton de Lota Protein  a Grupo Emb VIII region</v>
      </c>
      <c r="J131" s="657"/>
    </row>
    <row r="132" spans="2:10" ht="11.45" customHeight="1">
      <c r="B132" s="86" t="s">
        <v>82</v>
      </c>
      <c r="C132" s="86">
        <v>2053</v>
      </c>
      <c r="D132" s="90">
        <v>43613</v>
      </c>
      <c r="E132" s="86" t="s">
        <v>91</v>
      </c>
      <c r="F132" s="88" t="s">
        <v>84</v>
      </c>
      <c r="G132" s="86" t="s">
        <v>87</v>
      </c>
      <c r="H132" s="89">
        <v>190</v>
      </c>
      <c r="I132" s="656" t="str">
        <f>+"R Ex "&amp;C132&amp;" Cesion de "&amp;H132&amp;" ton de "&amp;E132&amp;"  a "&amp;F132&amp;" region"</f>
        <v>R Ex 2053 Cesion de 190 ton de Camanchaca PS  a Grupo Emb_VIII region</v>
      </c>
      <c r="J132" s="657"/>
    </row>
    <row r="133" spans="2:10" ht="11.45" customHeight="1">
      <c r="B133" s="86" t="s">
        <v>82</v>
      </c>
      <c r="C133" s="86">
        <v>2053</v>
      </c>
      <c r="D133" s="90">
        <v>43613</v>
      </c>
      <c r="E133" s="86" t="s">
        <v>91</v>
      </c>
      <c r="F133" s="88" t="s">
        <v>84</v>
      </c>
      <c r="G133" s="86" t="s">
        <v>85</v>
      </c>
      <c r="H133" s="89">
        <v>2090</v>
      </c>
      <c r="I133" s="656" t="str">
        <f>+"R Ex "&amp;C133&amp;" Cesion de "&amp;H133&amp;" ton de "&amp;E133&amp;"  a "&amp;F133&amp;" region"</f>
        <v>R Ex 2053 Cesion de 2090 ton de Camanchaca PS  a Grupo Emb_VIII region</v>
      </c>
      <c r="J133" s="657"/>
    </row>
    <row r="134" spans="2:10" ht="11.45" customHeight="1">
      <c r="B134" s="465" t="s">
        <v>82</v>
      </c>
      <c r="C134" s="467">
        <v>2099</v>
      </c>
      <c r="D134" s="469">
        <v>43623</v>
      </c>
      <c r="E134" s="86" t="s">
        <v>130</v>
      </c>
      <c r="F134" s="466" t="s">
        <v>303</v>
      </c>
      <c r="G134" s="86" t="s">
        <v>87</v>
      </c>
      <c r="H134" s="471">
        <v>40</v>
      </c>
      <c r="I134" s="656" t="str">
        <f t="shared" ref="I134:I145" si="9">+"R Ex "&amp;C134&amp;" Cesion de "&amp;H134&amp;" ton de "&amp;E134&amp;"  a "&amp;F134&amp;" region"</f>
        <v>R Ex 2099 Cesion de 40 ton de Lota Protein  a Artesanal region</v>
      </c>
      <c r="J134" s="657"/>
    </row>
    <row r="135" spans="2:10" ht="11.45" customHeight="1">
      <c r="B135" s="465" t="s">
        <v>82</v>
      </c>
      <c r="C135" s="467">
        <v>2099</v>
      </c>
      <c r="D135" s="469">
        <v>43623</v>
      </c>
      <c r="E135" s="86" t="s">
        <v>130</v>
      </c>
      <c r="F135" s="466" t="s">
        <v>303</v>
      </c>
      <c r="G135" s="86" t="s">
        <v>85</v>
      </c>
      <c r="H135" s="471">
        <v>160</v>
      </c>
      <c r="I135" s="656" t="str">
        <f t="shared" si="9"/>
        <v>R Ex 2099 Cesion de 160 ton de Lota Protein  a Artesanal region</v>
      </c>
      <c r="J135" s="657"/>
    </row>
    <row r="136" spans="2:10" ht="11.45" customHeight="1">
      <c r="B136" s="465" t="s">
        <v>82</v>
      </c>
      <c r="C136" s="467">
        <v>2105</v>
      </c>
      <c r="D136" s="469">
        <v>43623</v>
      </c>
      <c r="E136" s="86" t="s">
        <v>554</v>
      </c>
      <c r="F136" s="466" t="s">
        <v>303</v>
      </c>
      <c r="G136" s="86" t="s">
        <v>87</v>
      </c>
      <c r="H136" s="471">
        <v>63.6</v>
      </c>
      <c r="I136" s="656" t="str">
        <f t="shared" si="9"/>
        <v>R Ex 2105 Cesion de 63,6 ton de Pedro Irigoyen  a Artesanal region</v>
      </c>
      <c r="J136" s="657"/>
    </row>
    <row r="137" spans="2:10" ht="11.45" customHeight="1">
      <c r="B137" s="465" t="s">
        <v>82</v>
      </c>
      <c r="C137" s="467">
        <v>2105</v>
      </c>
      <c r="D137" s="469">
        <v>43623</v>
      </c>
      <c r="E137" s="86" t="s">
        <v>554</v>
      </c>
      <c r="F137" s="466" t="s">
        <v>303</v>
      </c>
      <c r="G137" s="86" t="s">
        <v>85</v>
      </c>
      <c r="H137" s="471">
        <v>56.7</v>
      </c>
      <c r="I137" s="656" t="str">
        <f t="shared" si="9"/>
        <v>R Ex 2105 Cesion de 56,7 ton de Pedro Irigoyen  a Artesanal region</v>
      </c>
      <c r="J137" s="657"/>
    </row>
    <row r="138" spans="2:10" ht="11.45" customHeight="1">
      <c r="B138" s="465" t="s">
        <v>82</v>
      </c>
      <c r="C138" s="467">
        <v>2106</v>
      </c>
      <c r="D138" s="469">
        <v>43623</v>
      </c>
      <c r="E138" s="468"/>
      <c r="F138" s="466" t="s">
        <v>303</v>
      </c>
      <c r="G138" s="86" t="s">
        <v>87</v>
      </c>
      <c r="H138" s="472">
        <v>0</v>
      </c>
      <c r="I138" s="656" t="str">
        <f t="shared" si="9"/>
        <v>R Ex 2106 Cesion de 0 ton de   a Artesanal region</v>
      </c>
      <c r="J138" s="657"/>
    </row>
    <row r="139" spans="2:10" ht="11.45" customHeight="1">
      <c r="B139" s="465" t="s">
        <v>82</v>
      </c>
      <c r="C139" s="467">
        <v>2106</v>
      </c>
      <c r="D139" s="469">
        <v>43623</v>
      </c>
      <c r="E139" s="468"/>
      <c r="F139" s="466" t="s">
        <v>303</v>
      </c>
      <c r="G139" s="86" t="s">
        <v>85</v>
      </c>
      <c r="H139" s="472">
        <v>0</v>
      </c>
      <c r="I139" s="656" t="str">
        <f t="shared" si="9"/>
        <v>R Ex 2106 Cesion de 0 ton de   a Artesanal region</v>
      </c>
      <c r="J139" s="657"/>
    </row>
    <row r="140" spans="2:10" ht="11.45" customHeight="1">
      <c r="B140" s="465" t="s">
        <v>82</v>
      </c>
      <c r="C140" s="467">
        <v>2122</v>
      </c>
      <c r="D140" s="469">
        <v>43623</v>
      </c>
      <c r="E140" s="86" t="s">
        <v>130</v>
      </c>
      <c r="F140" s="466" t="s">
        <v>303</v>
      </c>
      <c r="G140" s="86" t="s">
        <v>87</v>
      </c>
      <c r="H140" s="471">
        <v>97</v>
      </c>
      <c r="I140" s="656" t="str">
        <f t="shared" si="9"/>
        <v>R Ex 2122 Cesion de 97 ton de Lota Protein  a Artesanal region</v>
      </c>
      <c r="J140" s="657"/>
    </row>
    <row r="141" spans="2:10" ht="11.45" customHeight="1">
      <c r="B141" s="465" t="s">
        <v>82</v>
      </c>
      <c r="C141" s="467">
        <v>2122</v>
      </c>
      <c r="D141" s="469">
        <v>43623</v>
      </c>
      <c r="E141" s="86" t="s">
        <v>130</v>
      </c>
      <c r="F141" s="466" t="s">
        <v>303</v>
      </c>
      <c r="G141" s="86" t="s">
        <v>85</v>
      </c>
      <c r="H141" s="471">
        <v>315</v>
      </c>
      <c r="I141" s="656" t="str">
        <f t="shared" si="9"/>
        <v>R Ex 2122 Cesion de 315 ton de Lota Protein  a Artesanal region</v>
      </c>
      <c r="J141" s="657"/>
    </row>
    <row r="142" spans="2:10" ht="11.45" customHeight="1">
      <c r="B142" s="465" t="s">
        <v>82</v>
      </c>
      <c r="C142" s="467">
        <v>2139</v>
      </c>
      <c r="D142" s="469">
        <v>43627</v>
      </c>
      <c r="E142" s="86" t="s">
        <v>91</v>
      </c>
      <c r="F142" s="466" t="s">
        <v>303</v>
      </c>
      <c r="G142" s="86" t="s">
        <v>87</v>
      </c>
      <c r="H142" s="471">
        <v>600</v>
      </c>
      <c r="I142" s="656" t="str">
        <f t="shared" si="9"/>
        <v>R Ex 2139 Cesion de 600 ton de Camanchaca PS  a Artesanal region</v>
      </c>
      <c r="J142" s="657"/>
    </row>
    <row r="143" spans="2:10" ht="11.45" customHeight="1">
      <c r="B143" s="465" t="s">
        <v>82</v>
      </c>
      <c r="C143" s="467">
        <v>2139</v>
      </c>
      <c r="D143" s="469">
        <v>43627</v>
      </c>
      <c r="E143" s="86" t="s">
        <v>91</v>
      </c>
      <c r="F143" s="466" t="s">
        <v>303</v>
      </c>
      <c r="G143" s="86" t="s">
        <v>85</v>
      </c>
      <c r="H143" s="471">
        <v>2740</v>
      </c>
      <c r="I143" s="656" t="str">
        <f t="shared" si="9"/>
        <v>R Ex 2139 Cesion de 2740 ton de Camanchaca PS  a Artesanal region</v>
      </c>
      <c r="J143" s="657"/>
    </row>
    <row r="144" spans="2:10" ht="11.45" customHeight="1">
      <c r="B144" s="465" t="s">
        <v>82</v>
      </c>
      <c r="C144" s="467">
        <v>2140</v>
      </c>
      <c r="D144" s="469">
        <v>43627</v>
      </c>
      <c r="E144" s="86" t="s">
        <v>92</v>
      </c>
      <c r="F144" s="466" t="s">
        <v>303</v>
      </c>
      <c r="G144" s="86" t="s">
        <v>87</v>
      </c>
      <c r="H144" s="471">
        <v>1800</v>
      </c>
      <c r="I144" s="656" t="str">
        <f t="shared" si="9"/>
        <v>R Ex 2140 Cesion de 1800 ton de Orizon  a Artesanal region</v>
      </c>
      <c r="J144" s="657"/>
    </row>
    <row r="145" spans="2:10" ht="11.45" customHeight="1">
      <c r="B145" s="465" t="s">
        <v>82</v>
      </c>
      <c r="C145" s="467">
        <v>2140</v>
      </c>
      <c r="D145" s="469">
        <v>43627</v>
      </c>
      <c r="E145" s="86" t="s">
        <v>92</v>
      </c>
      <c r="F145" s="466" t="s">
        <v>303</v>
      </c>
      <c r="G145" s="86" t="s">
        <v>85</v>
      </c>
      <c r="H145" s="471">
        <v>2200</v>
      </c>
      <c r="I145" s="656" t="str">
        <f t="shared" si="9"/>
        <v>R Ex 2140 Cesion de 2200 ton de Orizon  a Artesanal region</v>
      </c>
      <c r="J145" s="657"/>
    </row>
    <row r="146" spans="2:10" ht="11.45" customHeight="1">
      <c r="B146" s="547" t="s">
        <v>82</v>
      </c>
      <c r="C146" s="548">
        <v>2197</v>
      </c>
      <c r="D146" s="584">
        <v>43635</v>
      </c>
      <c r="E146" s="86" t="s">
        <v>88</v>
      </c>
      <c r="F146" s="88" t="s">
        <v>84</v>
      </c>
      <c r="G146" s="86" t="s">
        <v>87</v>
      </c>
      <c r="H146" s="471">
        <v>11.417</v>
      </c>
      <c r="I146" s="656" t="str">
        <f t="shared" ref="I146:I168" si="10">+"R Ex "&amp;C146&amp;" Cesion de "&amp;H146&amp;" ton de "&amp;E146&amp;"  a "&amp;F146&amp;" region"</f>
        <v>R Ex 2197 Cesion de 11,417 ton de Novamar  a Grupo Emb_VIII region</v>
      </c>
      <c r="J146" s="657"/>
    </row>
    <row r="147" spans="2:10" ht="11.45" customHeight="1">
      <c r="B147" s="547" t="s">
        <v>82</v>
      </c>
      <c r="C147" s="548">
        <v>2197</v>
      </c>
      <c r="D147" s="584">
        <v>43635</v>
      </c>
      <c r="E147" s="86" t="s">
        <v>88</v>
      </c>
      <c r="F147" s="88" t="s">
        <v>84</v>
      </c>
      <c r="G147" s="86" t="s">
        <v>85</v>
      </c>
      <c r="H147" s="471">
        <v>164.74799999999999</v>
      </c>
      <c r="I147" s="656" t="str">
        <f t="shared" si="10"/>
        <v>R Ex 2197 Cesion de 164,748 ton de Novamar  a Grupo Emb_VIII region</v>
      </c>
      <c r="J147" s="657"/>
    </row>
    <row r="148" spans="2:10" ht="11.45" customHeight="1">
      <c r="B148" s="547" t="s">
        <v>82</v>
      </c>
      <c r="C148" s="548">
        <v>2199</v>
      </c>
      <c r="D148" s="584">
        <v>43635</v>
      </c>
      <c r="E148" s="86" t="s">
        <v>111</v>
      </c>
      <c r="F148" s="88" t="s">
        <v>84</v>
      </c>
      <c r="G148" s="86" t="s">
        <v>85</v>
      </c>
      <c r="H148" s="471">
        <v>59.112000000000002</v>
      </c>
      <c r="I148" s="656" t="str">
        <f t="shared" si="10"/>
        <v>R Ex 2199 Cesion de 59,112 ton de Julio Saez  a Grupo Emb_VIII region</v>
      </c>
      <c r="J148" s="657"/>
    </row>
    <row r="149" spans="2:10" ht="11.45" customHeight="1">
      <c r="B149" s="547" t="s">
        <v>82</v>
      </c>
      <c r="C149" s="548">
        <v>2201</v>
      </c>
      <c r="D149" s="584">
        <v>43635</v>
      </c>
      <c r="E149" s="86" t="s">
        <v>93</v>
      </c>
      <c r="F149" s="88" t="s">
        <v>84</v>
      </c>
      <c r="G149" s="86" t="s">
        <v>87</v>
      </c>
      <c r="H149" s="471">
        <v>960.53599999999994</v>
      </c>
      <c r="I149" s="656" t="str">
        <f t="shared" si="10"/>
        <v>R Ex 2201 Cesion de 960,536 ton de Alimar  a Grupo Emb_VIII region</v>
      </c>
      <c r="J149" s="657"/>
    </row>
    <row r="150" spans="2:10" ht="11.45" customHeight="1">
      <c r="B150" s="547" t="s">
        <v>82</v>
      </c>
      <c r="C150" s="548">
        <v>2201</v>
      </c>
      <c r="D150" s="584">
        <v>43635</v>
      </c>
      <c r="E150" s="86" t="s">
        <v>93</v>
      </c>
      <c r="F150" s="88" t="s">
        <v>84</v>
      </c>
      <c r="G150" s="86" t="s">
        <v>85</v>
      </c>
      <c r="H150" s="471">
        <v>727.29600000000005</v>
      </c>
      <c r="I150" s="656" t="str">
        <f t="shared" si="10"/>
        <v>R Ex 2201 Cesion de 727,296 ton de Alimar  a Grupo Emb_VIII region</v>
      </c>
      <c r="J150" s="657"/>
    </row>
    <row r="151" spans="2:10" ht="11.45" customHeight="1">
      <c r="B151" s="547" t="s">
        <v>82</v>
      </c>
      <c r="C151" s="548">
        <v>2206</v>
      </c>
      <c r="D151" s="584">
        <v>43635</v>
      </c>
      <c r="E151" s="86" t="s">
        <v>88</v>
      </c>
      <c r="F151" s="88" t="s">
        <v>84</v>
      </c>
      <c r="G151" s="86" t="s">
        <v>87</v>
      </c>
      <c r="H151" s="471">
        <v>11.417</v>
      </c>
      <c r="I151" s="656" t="str">
        <f t="shared" si="10"/>
        <v>R Ex 2206 Cesion de 11,417 ton de Novamar  a Grupo Emb_VIII region</v>
      </c>
      <c r="J151" s="657"/>
    </row>
    <row r="152" spans="2:10" ht="11.45" customHeight="1">
      <c r="B152" s="547" t="s">
        <v>82</v>
      </c>
      <c r="C152" s="548">
        <v>2206</v>
      </c>
      <c r="D152" s="584">
        <v>43635</v>
      </c>
      <c r="E152" s="86" t="s">
        <v>88</v>
      </c>
      <c r="F152" s="88" t="s">
        <v>84</v>
      </c>
      <c r="G152" s="86" t="s">
        <v>85</v>
      </c>
      <c r="H152" s="471">
        <v>164.74799999999999</v>
      </c>
      <c r="I152" s="656" t="str">
        <f t="shared" si="10"/>
        <v>R Ex 2206 Cesion de 164,748 ton de Novamar  a Grupo Emb_VIII region</v>
      </c>
      <c r="J152" s="657"/>
    </row>
    <row r="153" spans="2:10" ht="11.45" customHeight="1">
      <c r="B153" s="547" t="s">
        <v>82</v>
      </c>
      <c r="C153" s="547">
        <v>2270</v>
      </c>
      <c r="D153" s="585">
        <v>43637</v>
      </c>
      <c r="E153" s="86" t="s">
        <v>88</v>
      </c>
      <c r="F153" s="88" t="s">
        <v>84</v>
      </c>
      <c r="G153" s="86" t="s">
        <v>87</v>
      </c>
      <c r="H153" s="471">
        <v>120.13500000000001</v>
      </c>
      <c r="I153" s="656" t="str">
        <f t="shared" si="10"/>
        <v>R Ex 2270 Cesion de 120,135 ton de Novamar  a Grupo Emb_VIII region</v>
      </c>
      <c r="J153" s="657"/>
    </row>
    <row r="154" spans="2:10" ht="11.45" customHeight="1">
      <c r="B154" s="547" t="s">
        <v>82</v>
      </c>
      <c r="C154" s="547">
        <v>2270</v>
      </c>
      <c r="D154" s="585">
        <v>43637</v>
      </c>
      <c r="E154" s="86" t="s">
        <v>88</v>
      </c>
      <c r="F154" s="88" t="s">
        <v>84</v>
      </c>
      <c r="G154" s="86" t="s">
        <v>85</v>
      </c>
      <c r="H154" s="471">
        <v>329.49599999999998</v>
      </c>
      <c r="I154" s="656" t="str">
        <f t="shared" si="10"/>
        <v>R Ex 2270 Cesion de 329,496 ton de Novamar  a Grupo Emb_VIII region</v>
      </c>
      <c r="J154" s="657"/>
    </row>
    <row r="155" spans="2:10" ht="11.45" customHeight="1">
      <c r="B155" s="547" t="s">
        <v>82</v>
      </c>
      <c r="C155" s="547">
        <v>2311</v>
      </c>
      <c r="D155" s="585">
        <v>43643</v>
      </c>
      <c r="E155" s="86" t="s">
        <v>88</v>
      </c>
      <c r="F155" s="88" t="s">
        <v>84</v>
      </c>
      <c r="G155" s="86" t="s">
        <v>87</v>
      </c>
      <c r="H155" s="471">
        <v>21.016999999999999</v>
      </c>
      <c r="I155" s="656" t="str">
        <f t="shared" si="10"/>
        <v>R Ex 2311 Cesion de 21,017 ton de Novamar  a Grupo Emb_VIII region</v>
      </c>
      <c r="J155" s="657"/>
    </row>
    <row r="156" spans="2:10" ht="11.45" customHeight="1">
      <c r="B156" s="547" t="s">
        <v>82</v>
      </c>
      <c r="C156" s="547">
        <v>2311</v>
      </c>
      <c r="D156" s="585">
        <v>43643</v>
      </c>
      <c r="E156" s="86" t="s">
        <v>88</v>
      </c>
      <c r="F156" s="88" t="s">
        <v>84</v>
      </c>
      <c r="G156" s="86" t="s">
        <v>85</v>
      </c>
      <c r="H156" s="471">
        <v>22.4</v>
      </c>
      <c r="I156" s="656" t="str">
        <f t="shared" si="10"/>
        <v>R Ex 2311 Cesion de 22,4 ton de Novamar  a Grupo Emb_VIII region</v>
      </c>
      <c r="J156" s="657"/>
    </row>
    <row r="157" spans="2:10" ht="11.45" customHeight="1">
      <c r="B157" s="547" t="s">
        <v>82</v>
      </c>
      <c r="C157" s="547">
        <v>2367</v>
      </c>
      <c r="D157" s="585">
        <v>43647</v>
      </c>
      <c r="E157" s="86" t="s">
        <v>93</v>
      </c>
      <c r="F157" s="88" t="s">
        <v>84</v>
      </c>
      <c r="G157" s="86" t="s">
        <v>87</v>
      </c>
      <c r="H157" s="471">
        <v>374</v>
      </c>
      <c r="I157" s="656" t="str">
        <f t="shared" si="10"/>
        <v>R Ex 2367 Cesion de 374 ton de Alimar  a Grupo Emb_VIII region</v>
      </c>
      <c r="J157" s="657"/>
    </row>
    <row r="158" spans="2:10" ht="11.45" customHeight="1">
      <c r="B158" s="547" t="s">
        <v>82</v>
      </c>
      <c r="C158" s="547">
        <v>2367</v>
      </c>
      <c r="D158" s="585">
        <v>43647</v>
      </c>
      <c r="E158" s="86" t="s">
        <v>93</v>
      </c>
      <c r="F158" s="88" t="s">
        <v>84</v>
      </c>
      <c r="G158" s="86" t="s">
        <v>85</v>
      </c>
      <c r="H158" s="471">
        <v>250</v>
      </c>
      <c r="I158" s="656" t="str">
        <f t="shared" si="10"/>
        <v>R Ex 2367 Cesion de 250 ton de Alimar  a Grupo Emb_VIII region</v>
      </c>
      <c r="J158" s="657"/>
    </row>
    <row r="159" spans="2:10" ht="11.45" customHeight="1">
      <c r="B159" s="547" t="s">
        <v>82</v>
      </c>
      <c r="C159" s="590">
        <v>2397</v>
      </c>
      <c r="D159" s="591">
        <v>43649</v>
      </c>
      <c r="E159" s="86" t="s">
        <v>88</v>
      </c>
      <c r="F159" s="88" t="s">
        <v>90</v>
      </c>
      <c r="G159" s="86" t="s">
        <v>85</v>
      </c>
      <c r="H159" s="471">
        <v>119.226</v>
      </c>
      <c r="I159" s="656" t="str">
        <f t="shared" si="10"/>
        <v>R Ex 2397 Cesion de 119,226 ton de Novamar  a Emb Paulina M_VIII region</v>
      </c>
      <c r="J159" s="657"/>
    </row>
    <row r="160" spans="2:10" ht="11.45" customHeight="1">
      <c r="B160" s="547" t="s">
        <v>82</v>
      </c>
      <c r="C160" s="590">
        <v>2397</v>
      </c>
      <c r="D160" s="591">
        <v>43649</v>
      </c>
      <c r="E160" s="86" t="s">
        <v>88</v>
      </c>
      <c r="F160" s="88" t="s">
        <v>90</v>
      </c>
      <c r="G160" s="86" t="s">
        <v>87</v>
      </c>
      <c r="H160" s="471">
        <v>30.617000000000001</v>
      </c>
      <c r="I160" s="656" t="str">
        <f t="shared" si="10"/>
        <v>R Ex 2397 Cesion de 30,617 ton de Novamar  a Emb Paulina M_VIII region</v>
      </c>
      <c r="J160" s="657"/>
    </row>
    <row r="161" spans="2:10" ht="11.45" customHeight="1">
      <c r="B161" s="547" t="s">
        <v>82</v>
      </c>
      <c r="C161" s="590">
        <v>2398</v>
      </c>
      <c r="D161" s="591">
        <v>43649</v>
      </c>
      <c r="E161" s="86" t="s">
        <v>102</v>
      </c>
      <c r="F161" s="88" t="s">
        <v>103</v>
      </c>
      <c r="G161" s="86" t="s">
        <v>85</v>
      </c>
      <c r="H161" s="471">
        <v>108.372</v>
      </c>
      <c r="I161" s="656" t="str">
        <f t="shared" si="10"/>
        <v>R Ex 2398 Cesion de 108,372 ton de Inv Tridente  a Emb Gianfranco_VIII region</v>
      </c>
      <c r="J161" s="657"/>
    </row>
    <row r="162" spans="2:10" ht="11.45" customHeight="1">
      <c r="B162" s="547" t="s">
        <v>82</v>
      </c>
      <c r="C162" s="592">
        <v>2444</v>
      </c>
      <c r="D162" s="593">
        <v>43651</v>
      </c>
      <c r="E162" s="86" t="s">
        <v>578</v>
      </c>
      <c r="F162" s="88" t="s">
        <v>84</v>
      </c>
      <c r="G162" s="86" t="s">
        <v>87</v>
      </c>
      <c r="H162" s="471">
        <v>48.002000000000002</v>
      </c>
      <c r="I162" s="656" t="str">
        <f t="shared" si="10"/>
        <v>R Ex 2444 Cesion de 48,002 ton de Pesq Litoral   a Grupo Emb_VIII region</v>
      </c>
      <c r="J162" s="657"/>
    </row>
    <row r="163" spans="2:10" ht="11.45" customHeight="1">
      <c r="B163" s="547" t="s">
        <v>82</v>
      </c>
      <c r="C163" s="590">
        <v>2444</v>
      </c>
      <c r="D163" s="591">
        <v>43651</v>
      </c>
      <c r="E163" s="86" t="s">
        <v>578</v>
      </c>
      <c r="F163" s="88" t="s">
        <v>84</v>
      </c>
      <c r="G163" s="86" t="s">
        <v>85</v>
      </c>
      <c r="H163" s="471">
        <v>52.026000000000003</v>
      </c>
      <c r="I163" s="656" t="str">
        <f t="shared" si="10"/>
        <v>R Ex 2444 Cesion de 52,026 ton de Pesq Litoral   a Grupo Emb_VIII region</v>
      </c>
      <c r="J163" s="657"/>
    </row>
    <row r="164" spans="2:10" ht="11.45" customHeight="1">
      <c r="B164" s="547" t="s">
        <v>82</v>
      </c>
      <c r="C164" s="590">
        <v>2445</v>
      </c>
      <c r="D164" s="591">
        <v>43651</v>
      </c>
      <c r="E164" s="86" t="s">
        <v>578</v>
      </c>
      <c r="F164" s="88" t="s">
        <v>84</v>
      </c>
      <c r="G164" s="86" t="s">
        <v>87</v>
      </c>
      <c r="H164" s="471">
        <v>184.483</v>
      </c>
      <c r="I164" s="656" t="str">
        <f t="shared" si="10"/>
        <v>R Ex 2445 Cesion de 184,483 ton de Pesq Litoral   a Grupo Emb_VIII region</v>
      </c>
      <c r="J164" s="657"/>
    </row>
    <row r="165" spans="2:10" ht="11.45" customHeight="1">
      <c r="B165" s="547" t="s">
        <v>82</v>
      </c>
      <c r="C165" s="590">
        <v>2445</v>
      </c>
      <c r="D165" s="591">
        <v>43651</v>
      </c>
      <c r="E165" s="86" t="s">
        <v>578</v>
      </c>
      <c r="F165" s="88" t="s">
        <v>84</v>
      </c>
      <c r="G165" s="86" t="s">
        <v>85</v>
      </c>
      <c r="H165" s="471">
        <v>116.33499999999999</v>
      </c>
      <c r="I165" s="656" t="str">
        <f t="shared" si="10"/>
        <v>R Ex 2445 Cesion de 116,335 ton de Pesq Litoral   a Grupo Emb_VIII region</v>
      </c>
      <c r="J165" s="657"/>
    </row>
    <row r="166" spans="2:10" ht="11.45" customHeight="1">
      <c r="B166" s="547" t="s">
        <v>82</v>
      </c>
      <c r="C166" s="590">
        <v>2446</v>
      </c>
      <c r="D166" s="591">
        <v>43651</v>
      </c>
      <c r="E166" s="86" t="s">
        <v>578</v>
      </c>
      <c r="F166" s="88" t="s">
        <v>84</v>
      </c>
      <c r="G166" s="587">
        <v>205</v>
      </c>
      <c r="H166" s="471">
        <v>47.223999999999997</v>
      </c>
      <c r="I166" s="656" t="str">
        <f t="shared" si="10"/>
        <v>R Ex 2446 Cesion de 47,224 ton de Pesq Litoral   a Grupo Emb_VIII region</v>
      </c>
      <c r="J166" s="657"/>
    </row>
    <row r="167" spans="2:10" ht="11.45" customHeight="1">
      <c r="B167" s="547" t="s">
        <v>82</v>
      </c>
      <c r="C167" s="590">
        <v>2446</v>
      </c>
      <c r="D167" s="591">
        <v>43651</v>
      </c>
      <c r="E167" s="86" t="s">
        <v>578</v>
      </c>
      <c r="F167" s="88" t="s">
        <v>84</v>
      </c>
      <c r="G167" s="86" t="s">
        <v>85</v>
      </c>
      <c r="H167" s="471">
        <v>52.026000000000003</v>
      </c>
      <c r="I167" s="656" t="str">
        <f t="shared" si="10"/>
        <v>R Ex 2446 Cesion de 52,026 ton de Pesq Litoral   a Grupo Emb_VIII region</v>
      </c>
      <c r="J167" s="657"/>
    </row>
    <row r="168" spans="2:10" ht="11.45" customHeight="1">
      <c r="B168" s="547" t="s">
        <v>82</v>
      </c>
      <c r="C168" s="588">
        <v>2485</v>
      </c>
      <c r="D168" s="586">
        <v>43655</v>
      </c>
      <c r="E168" s="86" t="s">
        <v>83</v>
      </c>
      <c r="F168" s="88" t="s">
        <v>84</v>
      </c>
      <c r="G168" s="86" t="s">
        <v>85</v>
      </c>
      <c r="H168" s="471">
        <v>86.709000000000003</v>
      </c>
      <c r="I168" s="656" t="str">
        <f t="shared" si="10"/>
        <v>R Ex 2485 Cesion de 86,709 ton de Proc Tec Bio Bio  a Grupo Emb_VIII region</v>
      </c>
      <c r="J168" s="657"/>
    </row>
    <row r="169" spans="2:10" ht="11.45" customHeight="1"/>
    <row r="170" spans="2:10" ht="11.45" customHeight="1"/>
    <row r="171" spans="2:10" ht="11.45" customHeight="1"/>
    <row r="172" spans="2:10" ht="11.45" customHeight="1"/>
    <row r="173" spans="2:10" ht="11.45" customHeight="1"/>
    <row r="174" spans="2:10" ht="11.45" customHeight="1"/>
    <row r="175" spans="2:10" ht="11.45" customHeight="1"/>
    <row r="176" spans="2:10" ht="22.15" customHeight="1"/>
    <row r="177" ht="22.15" customHeight="1"/>
    <row r="178" ht="22.15" customHeight="1"/>
    <row r="179" ht="22.15" customHeight="1"/>
    <row r="180" ht="22.15" customHeight="1"/>
    <row r="181" ht="22.15" customHeight="1"/>
    <row r="182" ht="22.15" customHeight="1"/>
    <row r="183" ht="22.15" customHeight="1"/>
    <row r="184" ht="22.15" customHeight="1"/>
    <row r="185" ht="22.15" customHeight="1"/>
    <row r="186" ht="22.15" customHeight="1"/>
    <row r="187" ht="22.15" customHeight="1"/>
    <row r="188" ht="22.15" customHeight="1"/>
    <row r="189" ht="22.15" customHeight="1"/>
    <row r="190" ht="22.15" customHeight="1"/>
    <row r="191" ht="22.15" customHeight="1"/>
  </sheetData>
  <mergeCells count="122">
    <mergeCell ref="I167:J167"/>
    <mergeCell ref="I168:J168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55:J155"/>
    <mergeCell ref="I156:J156"/>
    <mergeCell ref="I157:J157"/>
    <mergeCell ref="I144:J144"/>
    <mergeCell ref="I145:J145"/>
    <mergeCell ref="I139:J139"/>
    <mergeCell ref="I140:J140"/>
    <mergeCell ref="I141:J141"/>
    <mergeCell ref="I142:J142"/>
    <mergeCell ref="I143:J143"/>
    <mergeCell ref="I149:J149"/>
    <mergeCell ref="I146:J146"/>
    <mergeCell ref="I147:J147"/>
    <mergeCell ref="I148:J148"/>
    <mergeCell ref="I150:J150"/>
    <mergeCell ref="I151:J151"/>
    <mergeCell ref="I152:J152"/>
    <mergeCell ref="I153:J153"/>
    <mergeCell ref="I154:J154"/>
    <mergeCell ref="I134:J134"/>
    <mergeCell ref="I135:J135"/>
    <mergeCell ref="I136:J136"/>
    <mergeCell ref="I137:J137"/>
    <mergeCell ref="I138:J138"/>
    <mergeCell ref="B26:B48"/>
    <mergeCell ref="B2:J2"/>
    <mergeCell ref="B3:J3"/>
    <mergeCell ref="E7:G7"/>
    <mergeCell ref="H7:J7"/>
    <mergeCell ref="B11:B24"/>
    <mergeCell ref="I63:J63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75:J75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87:J87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99:J99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111:J111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24:J124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32:J132"/>
    <mergeCell ref="I133:J133"/>
    <mergeCell ref="I131:J131"/>
    <mergeCell ref="I125:J125"/>
    <mergeCell ref="I126:J126"/>
    <mergeCell ref="I127:J127"/>
    <mergeCell ref="I128:J128"/>
    <mergeCell ref="I129:J129"/>
    <mergeCell ref="I130:J130"/>
  </mergeCells>
  <conditionalFormatting sqref="J9:J24 J26:J48">
    <cfRule type="cellIs" dxfId="43" priority="66" operator="greaterThan">
      <formula>1</formula>
    </cfRule>
  </conditionalFormatting>
  <conditionalFormatting sqref="H134:H137 I48 I24 I39 H140:H145">
    <cfRule type="cellIs" dxfId="42" priority="65" operator="lessThan">
      <formula>0</formula>
    </cfRule>
  </conditionalFormatting>
  <conditionalFormatting sqref="J48">
    <cfRule type="dataBar" priority="63">
      <dataBar>
        <cfvo type="min" val="0"/>
        <cfvo type="max" val="0"/>
        <color rgb="FF638EC6"/>
      </dataBar>
    </cfRule>
    <cfRule type="cellIs" dxfId="41" priority="64" operator="greaterThan">
      <formula>0.99</formula>
    </cfRule>
  </conditionalFormatting>
  <conditionalFormatting sqref="J48">
    <cfRule type="dataBar" priority="62">
      <dataBar>
        <cfvo type="min" val="0"/>
        <cfvo type="max" val="0"/>
        <color rgb="FF638EC6"/>
      </dataBar>
    </cfRule>
  </conditionalFormatting>
  <conditionalFormatting sqref="J24">
    <cfRule type="dataBar" priority="60">
      <dataBar>
        <cfvo type="min" val="0"/>
        <cfvo type="max" val="0"/>
        <color rgb="FF638EC6"/>
      </dataBar>
    </cfRule>
    <cfRule type="cellIs" dxfId="40" priority="61" operator="greaterThan">
      <formula>0.99</formula>
    </cfRule>
  </conditionalFormatting>
  <conditionalFormatting sqref="J24">
    <cfRule type="dataBar" priority="59">
      <dataBar>
        <cfvo type="min" val="0"/>
        <cfvo type="max" val="0"/>
        <color rgb="FF638EC6"/>
      </dataBar>
    </cfRule>
  </conditionalFormatting>
  <conditionalFormatting sqref="J11:J24">
    <cfRule type="dataBar" priority="58">
      <dataBar>
        <cfvo type="min" val="0"/>
        <cfvo type="max" val="0"/>
        <color rgb="FF638EC6"/>
      </dataBar>
    </cfRule>
  </conditionalFormatting>
  <conditionalFormatting sqref="J19:J24">
    <cfRule type="dataBar" priority="57">
      <dataBar>
        <cfvo type="min" val="0"/>
        <cfvo type="max" val="0"/>
        <color rgb="FF638EC6"/>
      </dataBar>
    </cfRule>
  </conditionalFormatting>
  <conditionalFormatting sqref="J26:J48">
    <cfRule type="dataBar" priority="56">
      <dataBar>
        <cfvo type="min" val="0"/>
        <cfvo type="max" val="0"/>
        <color rgb="FF638EC6"/>
      </dataBar>
    </cfRule>
  </conditionalFormatting>
  <conditionalFormatting sqref="J9:J24 J26:J48">
    <cfRule type="dataBar" priority="55">
      <dataBar>
        <cfvo type="min" val="0"/>
        <cfvo type="max" val="0"/>
        <color rgb="FF638EC6"/>
      </dataBar>
    </cfRule>
  </conditionalFormatting>
  <conditionalFormatting sqref="J41:J45">
    <cfRule type="dataBar" priority="54">
      <dataBar>
        <cfvo type="min" val="0"/>
        <cfvo type="max" val="0"/>
        <color rgb="FF638EC6"/>
      </dataBar>
    </cfRule>
  </conditionalFormatting>
  <conditionalFormatting sqref="F11:F23 I11:I24 I26:I48 F26:F47">
    <cfRule type="cellIs" dxfId="39" priority="53" operator="lessThan">
      <formula>0</formula>
    </cfRule>
  </conditionalFormatting>
  <conditionalFormatting sqref="F53:F133 F146:F168">
    <cfRule type="cellIs" dxfId="38" priority="52" operator="greaterThan">
      <formula>0</formula>
    </cfRule>
  </conditionalFormatting>
  <conditionalFormatting sqref="E53:E137 E140:E168">
    <cfRule type="cellIs" dxfId="37" priority="51" operator="greaterThan">
      <formula>0</formula>
    </cfRule>
  </conditionalFormatting>
  <pageMargins left="0.7" right="0.7" top="0.75" bottom="0.75" header="0.3" footer="0.3"/>
  <pageSetup paperSize="11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P195"/>
  <sheetViews>
    <sheetView showGridLine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9" sqref="Q19"/>
    </sheetView>
  </sheetViews>
  <sheetFormatPr baseColWidth="10" defaultColWidth="11.42578125" defaultRowHeight="13.15" customHeight="1"/>
  <cols>
    <col min="1" max="1" width="1.5703125" style="194" customWidth="1"/>
    <col min="2" max="2" width="3.140625" style="194" customWidth="1"/>
    <col min="3" max="3" width="9.7109375" style="194" customWidth="1"/>
    <col min="4" max="4" width="29.7109375" style="203" customWidth="1"/>
    <col min="5" max="5" width="13.28515625" style="194" customWidth="1"/>
    <col min="6" max="6" width="10.85546875" style="194" customWidth="1"/>
    <col min="7" max="7" width="11.140625" style="194" customWidth="1"/>
    <col min="8" max="8" width="10.85546875" style="204" customWidth="1"/>
    <col min="9" max="9" width="12.42578125" style="204" customWidth="1"/>
    <col min="10" max="10" width="10.7109375" style="204" customWidth="1"/>
    <col min="11" max="11" width="10" style="204" customWidth="1"/>
    <col min="12" max="12" width="10.7109375" style="194" customWidth="1"/>
    <col min="13" max="13" width="10.5703125" style="205" customWidth="1"/>
    <col min="14" max="14" width="9.5703125" style="200" customWidth="1"/>
    <col min="15" max="15" width="9.28515625" style="194" customWidth="1"/>
    <col min="16" max="16384" width="11.42578125" style="194"/>
  </cols>
  <sheetData>
    <row r="1" spans="2:14" s="92" customFormat="1" ht="24.6" customHeight="1">
      <c r="C1" s="675" t="s">
        <v>132</v>
      </c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</row>
    <row r="2" spans="2:14" s="92" customFormat="1" ht="12.6" customHeight="1">
      <c r="C2" s="676">
        <f>+'Resumen Pelagicos'!B3</f>
        <v>43663</v>
      </c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</row>
    <row r="3" spans="2:14" s="92" customFormat="1" ht="10.9" customHeight="1">
      <c r="D3" s="93"/>
      <c r="M3" s="94"/>
      <c r="N3" s="95"/>
    </row>
    <row r="4" spans="2:14" s="92" customFormat="1" ht="0.6" hidden="1" customHeight="1" thickBot="1">
      <c r="C4" s="96"/>
      <c r="D4" s="97"/>
      <c r="E4" s="98"/>
      <c r="F4" s="677" t="s">
        <v>32</v>
      </c>
      <c r="G4" s="678"/>
      <c r="H4" s="679"/>
      <c r="I4" s="680" t="s">
        <v>33</v>
      </c>
      <c r="J4" s="681"/>
      <c r="K4" s="681"/>
      <c r="L4" s="681"/>
      <c r="M4" s="682"/>
      <c r="N4" s="99" t="s">
        <v>133</v>
      </c>
    </row>
    <row r="5" spans="2:14" s="100" customFormat="1" ht="38.450000000000003" customHeight="1">
      <c r="C5" s="101" t="s">
        <v>134</v>
      </c>
      <c r="D5" s="102" t="s">
        <v>135</v>
      </c>
      <c r="E5" s="103" t="s">
        <v>36</v>
      </c>
      <c r="F5" s="101" t="s">
        <v>4</v>
      </c>
      <c r="G5" s="102" t="s">
        <v>5</v>
      </c>
      <c r="H5" s="101" t="s">
        <v>6</v>
      </c>
      <c r="I5" s="104" t="s">
        <v>7</v>
      </c>
      <c r="J5" s="104" t="s">
        <v>136</v>
      </c>
      <c r="K5" s="104" t="s">
        <v>137</v>
      </c>
      <c r="L5" s="102" t="s">
        <v>8</v>
      </c>
      <c r="M5" s="102" t="s">
        <v>138</v>
      </c>
      <c r="N5" s="105" t="s">
        <v>139</v>
      </c>
    </row>
    <row r="6" spans="2:14" s="92" customFormat="1" ht="11.45" customHeight="1">
      <c r="D6" s="93"/>
      <c r="M6" s="106"/>
      <c r="N6" s="95"/>
    </row>
    <row r="7" spans="2:14" s="92" customFormat="1" ht="13.15" customHeight="1">
      <c r="C7" s="672" t="s">
        <v>140</v>
      </c>
      <c r="D7" s="107" t="s">
        <v>141</v>
      </c>
      <c r="E7" s="108" t="s">
        <v>29</v>
      </c>
      <c r="F7" s="109">
        <v>5588.3370000000004</v>
      </c>
      <c r="G7" s="110"/>
      <c r="H7" s="111">
        <f>F7+G7</f>
        <v>5588.3370000000004</v>
      </c>
      <c r="I7" s="112">
        <v>2071.3119999999999</v>
      </c>
      <c r="J7" s="113"/>
      <c r="K7" s="113"/>
      <c r="L7" s="114">
        <f>+H7-I7-J7-K7</f>
        <v>3517.0250000000005</v>
      </c>
      <c r="M7" s="115">
        <f t="shared" ref="M7:M12" si="0">+(I7+J7+K7)/H7</f>
        <v>0.37064908576558636</v>
      </c>
      <c r="N7" s="116" t="str">
        <f>+'IC ANCH-SARC V-VII y IX-X'!O5</f>
        <v>-</v>
      </c>
    </row>
    <row r="8" spans="2:14" s="92" customFormat="1" ht="13.15" customHeight="1">
      <c r="C8" s="673"/>
      <c r="D8" s="107" t="s">
        <v>143</v>
      </c>
      <c r="E8" s="108" t="s">
        <v>29</v>
      </c>
      <c r="F8" s="117">
        <v>66.233000000000004</v>
      </c>
      <c r="G8" s="118"/>
      <c r="H8" s="119">
        <f>F8+G8</f>
        <v>66.233000000000004</v>
      </c>
      <c r="I8" s="120">
        <v>82.32</v>
      </c>
      <c r="J8" s="121"/>
      <c r="K8" s="121"/>
      <c r="L8" s="114">
        <f t="shared" ref="L8:L17" si="1">+H8-I8-J8-K8</f>
        <v>-16.086999999999989</v>
      </c>
      <c r="M8" s="115">
        <f t="shared" si="0"/>
        <v>1.2428849667084383</v>
      </c>
      <c r="N8" s="116" t="str">
        <f>+'IC ANCH-SARC V-VII y IX-X'!O6</f>
        <v>-</v>
      </c>
    </row>
    <row r="9" spans="2:14" s="92" customFormat="1" ht="13.15" customHeight="1">
      <c r="C9" s="673"/>
      <c r="D9" s="107" t="s">
        <v>144</v>
      </c>
      <c r="E9" s="108" t="s">
        <v>29</v>
      </c>
      <c r="F9" s="122">
        <v>8.5999999999999993E-2</v>
      </c>
      <c r="G9" s="123"/>
      <c r="H9" s="124">
        <f>F9+G9</f>
        <v>8.5999999999999993E-2</v>
      </c>
      <c r="I9" s="120">
        <v>0</v>
      </c>
      <c r="J9" s="112"/>
      <c r="K9" s="112"/>
      <c r="L9" s="114">
        <f t="shared" si="1"/>
        <v>8.5999999999999993E-2</v>
      </c>
      <c r="M9" s="115">
        <f t="shared" si="0"/>
        <v>0</v>
      </c>
      <c r="N9" s="116" t="str">
        <f>+'IC ANCH-SARC V-VII y IX-X'!O7</f>
        <v>-</v>
      </c>
    </row>
    <row r="10" spans="2:14" s="92" customFormat="1" ht="13.15" customHeight="1">
      <c r="C10" s="674"/>
      <c r="D10" s="107" t="s">
        <v>145</v>
      </c>
      <c r="E10" s="108" t="s">
        <v>29</v>
      </c>
      <c r="F10" s="125">
        <v>60.344000000000001</v>
      </c>
      <c r="G10" s="110"/>
      <c r="H10" s="111">
        <f>F10+G10</f>
        <v>60.344000000000001</v>
      </c>
      <c r="I10" s="120">
        <v>445.66700000000003</v>
      </c>
      <c r="J10" s="121"/>
      <c r="K10" s="121"/>
      <c r="L10" s="114">
        <f>+H10-I10-J10-K10</f>
        <v>-385.32300000000004</v>
      </c>
      <c r="M10" s="115">
        <f t="shared" si="0"/>
        <v>7.3854401431791068</v>
      </c>
      <c r="N10" s="485">
        <f>+'IC ANCH-SARC V-VII y IX-X'!O8</f>
        <v>43619</v>
      </c>
    </row>
    <row r="11" spans="2:14" s="92" customFormat="1" ht="12.6" customHeight="1">
      <c r="C11" s="126"/>
      <c r="D11" s="93"/>
      <c r="E11" s="127"/>
      <c r="F11" s="128">
        <f>SUM(F7:F10)</f>
        <v>5715.0000000000009</v>
      </c>
      <c r="G11" s="128">
        <f t="shared" ref="G11:K11" si="2">SUM(G7:G10)</f>
        <v>0</v>
      </c>
      <c r="H11" s="128">
        <f t="shared" si="2"/>
        <v>5715.0000000000009</v>
      </c>
      <c r="I11" s="128">
        <f t="shared" si="2"/>
        <v>2599.299</v>
      </c>
      <c r="J11" s="128">
        <f t="shared" si="2"/>
        <v>0</v>
      </c>
      <c r="K11" s="128">
        <f t="shared" si="2"/>
        <v>0</v>
      </c>
      <c r="L11" s="129">
        <f t="shared" si="1"/>
        <v>3115.7010000000009</v>
      </c>
      <c r="M11" s="130">
        <f t="shared" si="0"/>
        <v>0.45482047244094481</v>
      </c>
      <c r="N11" s="131" t="s">
        <v>142</v>
      </c>
    </row>
    <row r="12" spans="2:14" s="92" customFormat="1" ht="13.15" customHeight="1">
      <c r="C12" s="132" t="s">
        <v>146</v>
      </c>
      <c r="D12" s="133" t="s">
        <v>147</v>
      </c>
      <c r="E12" s="134" t="s">
        <v>44</v>
      </c>
      <c r="F12" s="135">
        <v>36</v>
      </c>
      <c r="G12" s="111"/>
      <c r="H12" s="136">
        <f>F12+G12</f>
        <v>36</v>
      </c>
      <c r="I12" s="137"/>
      <c r="J12" s="138"/>
      <c r="K12" s="138"/>
      <c r="L12" s="139">
        <f t="shared" si="1"/>
        <v>36</v>
      </c>
      <c r="M12" s="115">
        <f t="shared" si="0"/>
        <v>0</v>
      </c>
      <c r="N12" s="140" t="s">
        <v>142</v>
      </c>
    </row>
    <row r="13" spans="2:14" s="147" customFormat="1" ht="13.15" customHeight="1">
      <c r="B13" s="92"/>
      <c r="C13" s="141"/>
      <c r="D13" s="142"/>
      <c r="E13" s="141"/>
      <c r="F13" s="143">
        <f>SUM(F12)</f>
        <v>36</v>
      </c>
      <c r="G13" s="143">
        <f t="shared" ref="G13:K13" si="3">SUM(G12)</f>
        <v>0</v>
      </c>
      <c r="H13" s="143">
        <f t="shared" si="3"/>
        <v>36</v>
      </c>
      <c r="I13" s="143">
        <f t="shared" si="3"/>
        <v>0</v>
      </c>
      <c r="J13" s="143">
        <f t="shared" si="3"/>
        <v>0</v>
      </c>
      <c r="K13" s="143">
        <f t="shared" si="3"/>
        <v>0</v>
      </c>
      <c r="L13" s="144">
        <f>+H13-I13-J13-K13</f>
        <v>36</v>
      </c>
      <c r="M13" s="145">
        <v>0</v>
      </c>
      <c r="N13" s="146"/>
    </row>
    <row r="14" spans="2:14" s="92" customFormat="1" ht="13.15" customHeight="1">
      <c r="C14" s="672" t="s">
        <v>148</v>
      </c>
      <c r="D14" s="107" t="s">
        <v>149</v>
      </c>
      <c r="E14" s="576">
        <v>0.58486000000000005</v>
      </c>
      <c r="F14" s="148">
        <f>+E14*'Resumen Pelagicos'!$D$17</f>
        <v>357.34946000000002</v>
      </c>
      <c r="G14" s="110"/>
      <c r="H14" s="110">
        <f>F14+G14</f>
        <v>357.34946000000002</v>
      </c>
      <c r="I14" s="149">
        <v>317.524</v>
      </c>
      <c r="J14" s="112"/>
      <c r="K14" s="112"/>
      <c r="L14" s="114">
        <f t="shared" si="1"/>
        <v>39.825460000000021</v>
      </c>
      <c r="M14" s="115">
        <f>+(I14+J14+K14)/H14</f>
        <v>0.8885531826464772</v>
      </c>
      <c r="N14" s="116" t="s">
        <v>142</v>
      </c>
    </row>
    <row r="15" spans="2:14" s="92" customFormat="1" ht="13.15" customHeight="1">
      <c r="C15" s="673"/>
      <c r="D15" s="107" t="s">
        <v>150</v>
      </c>
      <c r="E15" s="576">
        <v>0.317108</v>
      </c>
      <c r="F15" s="148">
        <f>+E15*'Resumen Pelagicos'!$D$17</f>
        <v>193.75298799999999</v>
      </c>
      <c r="G15" s="150">
        <f>-130-63</f>
        <v>-193</v>
      </c>
      <c r="H15" s="110">
        <f>F15+G15</f>
        <v>0.75298799999998778</v>
      </c>
      <c r="I15" s="149"/>
      <c r="J15" s="112"/>
      <c r="K15" s="112"/>
      <c r="L15" s="114">
        <f t="shared" si="1"/>
        <v>0.75298799999998778</v>
      </c>
      <c r="M15" s="115">
        <f t="shared" ref="M15:M78" si="4">+(I15+J15+K15)/H15</f>
        <v>0</v>
      </c>
      <c r="N15" s="116" t="s">
        <v>142</v>
      </c>
    </row>
    <row r="16" spans="2:14" s="92" customFormat="1" ht="13.15" customHeight="1">
      <c r="C16" s="674"/>
      <c r="D16" s="107" t="s">
        <v>151</v>
      </c>
      <c r="E16" s="576">
        <v>9.8031999999999994E-2</v>
      </c>
      <c r="F16" s="148">
        <f>+E16*'Resumen Pelagicos'!$D$17</f>
        <v>59.897551999999997</v>
      </c>
      <c r="G16" s="110"/>
      <c r="H16" s="110">
        <f>F16+G16</f>
        <v>59.897551999999997</v>
      </c>
      <c r="I16" s="152">
        <v>46.792999999999999</v>
      </c>
      <c r="J16" s="112"/>
      <c r="K16" s="112"/>
      <c r="L16" s="114">
        <f t="shared" si="1"/>
        <v>13.104551999999998</v>
      </c>
      <c r="M16" s="115">
        <f t="shared" si="4"/>
        <v>0.78121723572275548</v>
      </c>
      <c r="N16" s="116" t="s">
        <v>142</v>
      </c>
    </row>
    <row r="17" spans="2:16" s="147" customFormat="1" ht="12" customHeight="1">
      <c r="B17" s="92"/>
      <c r="C17" s="141"/>
      <c r="D17" s="142"/>
      <c r="E17" s="141"/>
      <c r="F17" s="143">
        <f>SUM(F14:F16)</f>
        <v>611</v>
      </c>
      <c r="G17" s="143">
        <f>SUM(G14:G16)</f>
        <v>-193</v>
      </c>
      <c r="H17" s="143">
        <f>SUM(H14:H16)</f>
        <v>418</v>
      </c>
      <c r="I17" s="143">
        <f>SUM(I14:I16)</f>
        <v>364.31700000000001</v>
      </c>
      <c r="J17" s="143">
        <f>SUM(J14:J16)</f>
        <v>0</v>
      </c>
      <c r="K17" s="143">
        <f t="shared" ref="K17" si="5">SUM(K14:K16)</f>
        <v>0</v>
      </c>
      <c r="L17" s="144">
        <f t="shared" si="1"/>
        <v>53.682999999999993</v>
      </c>
      <c r="M17" s="145">
        <f>+(I17+J17+K17)/H17</f>
        <v>0.87157177033492828</v>
      </c>
      <c r="N17" s="146" t="s">
        <v>142</v>
      </c>
      <c r="O17" s="147">
        <v>205</v>
      </c>
    </row>
    <row r="18" spans="2:16" s="92" customFormat="1" ht="13.15" customHeight="1">
      <c r="B18" s="153">
        <v>1</v>
      </c>
      <c r="C18" s="669" t="s">
        <v>152</v>
      </c>
      <c r="D18" s="154" t="s">
        <v>153</v>
      </c>
      <c r="E18" s="134" t="s">
        <v>29</v>
      </c>
      <c r="F18" s="155">
        <v>253.63800000000001</v>
      </c>
      <c r="G18" s="159">
        <f>-32.16-15-25-40-31</f>
        <v>-143.16</v>
      </c>
      <c r="H18" s="110">
        <f>F18+G18</f>
        <v>110.47800000000001</v>
      </c>
      <c r="I18" s="156">
        <v>73.989000000000004</v>
      </c>
      <c r="J18" s="156">
        <v>0</v>
      </c>
      <c r="K18" s="156"/>
      <c r="L18" s="114">
        <f>+H18-I18-J18-K18</f>
        <v>36.489000000000004</v>
      </c>
      <c r="M18" s="115">
        <f>+(I18+J18+K18)/H18</f>
        <v>0.66971704773801122</v>
      </c>
      <c r="N18" s="116" t="str">
        <f>+'IC ANCH-SARC VIII'!O4</f>
        <v>-</v>
      </c>
      <c r="O18" s="92">
        <v>-143.16</v>
      </c>
      <c r="P18" s="580">
        <f>+O18-G18</f>
        <v>0</v>
      </c>
    </row>
    <row r="19" spans="2:16" s="92" customFormat="1" ht="13.15" customHeight="1">
      <c r="B19" s="153">
        <v>2</v>
      </c>
      <c r="C19" s="670"/>
      <c r="D19" s="154" t="s">
        <v>154</v>
      </c>
      <c r="E19" s="134" t="s">
        <v>29</v>
      </c>
      <c r="F19" s="157">
        <v>115.155</v>
      </c>
      <c r="G19" s="158">
        <v>6</v>
      </c>
      <c r="H19" s="110">
        <f>F19+G19</f>
        <v>121.155</v>
      </c>
      <c r="I19" s="156">
        <v>58.613</v>
      </c>
      <c r="J19" s="156">
        <v>24.506</v>
      </c>
      <c r="K19" s="156"/>
      <c r="L19" s="114">
        <f t="shared" ref="L19:L82" si="6">+H19-I19-J19-K19</f>
        <v>38.036000000000001</v>
      </c>
      <c r="M19" s="115">
        <f t="shared" si="4"/>
        <v>0.68605505344393547</v>
      </c>
      <c r="N19" s="116" t="str">
        <f>+'IC ANCH-SARC VIII'!O5</f>
        <v>-</v>
      </c>
      <c r="O19" s="92">
        <v>6</v>
      </c>
      <c r="P19" s="580">
        <f t="shared" ref="P19:P82" si="7">+O19-G19</f>
        <v>0</v>
      </c>
    </row>
    <row r="20" spans="2:16" s="92" customFormat="1" ht="13.15" customHeight="1">
      <c r="B20" s="153">
        <v>3</v>
      </c>
      <c r="C20" s="670"/>
      <c r="D20" s="154" t="s">
        <v>155</v>
      </c>
      <c r="E20" s="134" t="s">
        <v>29</v>
      </c>
      <c r="F20" s="157">
        <v>447.69799999999998</v>
      </c>
      <c r="G20" s="159">
        <f>-28-29</f>
        <v>-57</v>
      </c>
      <c r="H20" s="110">
        <f t="shared" ref="H20:H27" si="8">F20+G20</f>
        <v>390.69799999999998</v>
      </c>
      <c r="I20" s="156">
        <v>209.68600000000001</v>
      </c>
      <c r="J20" s="156">
        <v>0</v>
      </c>
      <c r="K20" s="156"/>
      <c r="L20" s="114">
        <f t="shared" si="6"/>
        <v>181.01199999999997</v>
      </c>
      <c r="M20" s="115">
        <f t="shared" si="4"/>
        <v>0.53669586227725763</v>
      </c>
      <c r="N20" s="116" t="str">
        <f>+'IC ANCH-SARC VIII'!O6</f>
        <v>-</v>
      </c>
      <c r="O20" s="92">
        <v>-57</v>
      </c>
      <c r="P20" s="580">
        <f t="shared" si="7"/>
        <v>0</v>
      </c>
    </row>
    <row r="21" spans="2:16" s="92" customFormat="1" ht="13.15" customHeight="1">
      <c r="B21" s="153">
        <v>4</v>
      </c>
      <c r="C21" s="670"/>
      <c r="D21" s="154" t="s">
        <v>156</v>
      </c>
      <c r="E21" s="134" t="s">
        <v>29</v>
      </c>
      <c r="F21" s="157">
        <v>539.88699999999994</v>
      </c>
      <c r="G21" s="159">
        <v>80</v>
      </c>
      <c r="H21" s="110">
        <f t="shared" si="8"/>
        <v>619.88699999999994</v>
      </c>
      <c r="I21" s="156">
        <v>878.48</v>
      </c>
      <c r="J21" s="156">
        <v>80</v>
      </c>
      <c r="K21" s="156"/>
      <c r="L21" s="114">
        <f t="shared" si="6"/>
        <v>-338.59300000000007</v>
      </c>
      <c r="M21" s="115">
        <f t="shared" si="4"/>
        <v>1.5462172944423744</v>
      </c>
      <c r="N21" s="116" t="str">
        <f>+'IC ANCH-SARC VIII'!O7</f>
        <v>-</v>
      </c>
      <c r="O21" s="92">
        <v>80</v>
      </c>
      <c r="P21" s="580">
        <f t="shared" si="7"/>
        <v>0</v>
      </c>
    </row>
    <row r="22" spans="2:16" s="92" customFormat="1" ht="13.15" customHeight="1">
      <c r="B22" s="153">
        <v>5</v>
      </c>
      <c r="C22" s="670"/>
      <c r="D22" s="154" t="s">
        <v>157</v>
      </c>
      <c r="E22" s="134" t="s">
        <v>29</v>
      </c>
      <c r="F22" s="157">
        <v>1135.444</v>
      </c>
      <c r="G22" s="159">
        <f>-183.5-113.5-113.5-45-45-30-57-30.5-22-30.5</f>
        <v>-670.5</v>
      </c>
      <c r="H22" s="110">
        <f t="shared" si="8"/>
        <v>464.94399999999996</v>
      </c>
      <c r="I22" s="156">
        <v>98.242999999999995</v>
      </c>
      <c r="J22" s="156">
        <v>0</v>
      </c>
      <c r="K22" s="156"/>
      <c r="L22" s="114">
        <f t="shared" si="6"/>
        <v>366.70099999999996</v>
      </c>
      <c r="M22" s="115">
        <f t="shared" si="4"/>
        <v>0.21130071578512682</v>
      </c>
      <c r="N22" s="116" t="str">
        <f>+'IC ANCH-SARC VIII'!O8</f>
        <v>-</v>
      </c>
      <c r="O22" s="92">
        <v>-670.5</v>
      </c>
      <c r="P22" s="580">
        <f t="shared" si="7"/>
        <v>0</v>
      </c>
    </row>
    <row r="23" spans="2:16" s="92" customFormat="1" ht="13.15" customHeight="1">
      <c r="B23" s="153">
        <v>6</v>
      </c>
      <c r="C23" s="670"/>
      <c r="D23" s="154" t="s">
        <v>158</v>
      </c>
      <c r="E23" s="134" t="s">
        <v>29</v>
      </c>
      <c r="F23" s="157">
        <v>1962.6510000000001</v>
      </c>
      <c r="G23" s="159"/>
      <c r="H23" s="110">
        <f t="shared" si="8"/>
        <v>1962.6510000000001</v>
      </c>
      <c r="I23" s="156">
        <v>2156.4679999999998</v>
      </c>
      <c r="J23" s="156">
        <v>0</v>
      </c>
      <c r="K23" s="156"/>
      <c r="L23" s="114">
        <f t="shared" si="6"/>
        <v>-193.81699999999978</v>
      </c>
      <c r="M23" s="115">
        <f t="shared" si="4"/>
        <v>1.0987526564835011</v>
      </c>
      <c r="N23" s="116" t="str">
        <f>+'IC ANCH-SARC VIII'!O9</f>
        <v>-</v>
      </c>
      <c r="P23" s="580">
        <f t="shared" si="7"/>
        <v>0</v>
      </c>
    </row>
    <row r="24" spans="2:16" s="92" customFormat="1" ht="13.15" customHeight="1">
      <c r="B24" s="153">
        <v>7</v>
      </c>
      <c r="C24" s="670"/>
      <c r="D24" s="154" t="s">
        <v>159</v>
      </c>
      <c r="E24" s="134" t="s">
        <v>29</v>
      </c>
      <c r="F24" s="157">
        <v>2279.5619999999999</v>
      </c>
      <c r="G24" s="159"/>
      <c r="H24" s="110">
        <f t="shared" si="8"/>
        <v>2279.5619999999999</v>
      </c>
      <c r="I24" s="156">
        <v>3309.6489999999999</v>
      </c>
      <c r="J24" s="156">
        <v>0</v>
      </c>
      <c r="K24" s="156"/>
      <c r="L24" s="114">
        <f t="shared" si="6"/>
        <v>-1030.087</v>
      </c>
      <c r="M24" s="115">
        <f t="shared" si="4"/>
        <v>1.451879352261531</v>
      </c>
      <c r="N24" s="116" t="str">
        <f>+'IC ANCH-SARC VIII'!O10</f>
        <v>-</v>
      </c>
      <c r="P24" s="580">
        <f t="shared" si="7"/>
        <v>0</v>
      </c>
    </row>
    <row r="25" spans="2:16" s="92" customFormat="1" ht="13.15" customHeight="1">
      <c r="B25" s="153">
        <v>8</v>
      </c>
      <c r="C25" s="670"/>
      <c r="D25" s="154" t="s">
        <v>160</v>
      </c>
      <c r="E25" s="134" t="s">
        <v>29</v>
      </c>
      <c r="F25" s="157">
        <v>825.34</v>
      </c>
      <c r="G25" s="159"/>
      <c r="H25" s="110">
        <f t="shared" si="8"/>
        <v>825.34</v>
      </c>
      <c r="I25" s="156">
        <v>1226.568</v>
      </c>
      <c r="J25" s="156">
        <v>0</v>
      </c>
      <c r="K25" s="156"/>
      <c r="L25" s="114">
        <f t="shared" si="6"/>
        <v>-401.22799999999995</v>
      </c>
      <c r="M25" s="115">
        <f t="shared" si="4"/>
        <v>1.4861366224828554</v>
      </c>
      <c r="N25" s="116" t="str">
        <f>+'IC ANCH-SARC VIII'!O11</f>
        <v>-</v>
      </c>
      <c r="P25" s="580">
        <f t="shared" si="7"/>
        <v>0</v>
      </c>
    </row>
    <row r="26" spans="2:16" s="92" customFormat="1" ht="13.15" customHeight="1">
      <c r="B26" s="153">
        <v>9</v>
      </c>
      <c r="C26" s="670"/>
      <c r="D26" s="154" t="s">
        <v>161</v>
      </c>
      <c r="E26" s="134" t="s">
        <v>29</v>
      </c>
      <c r="F26" s="157">
        <v>1345.557</v>
      </c>
      <c r="G26" s="159"/>
      <c r="H26" s="110">
        <f t="shared" si="8"/>
        <v>1345.557</v>
      </c>
      <c r="I26" s="156">
        <v>1772.086</v>
      </c>
      <c r="J26" s="156">
        <v>0</v>
      </c>
      <c r="K26" s="156"/>
      <c r="L26" s="114">
        <f t="shared" si="6"/>
        <v>-426.529</v>
      </c>
      <c r="M26" s="115">
        <f t="shared" si="4"/>
        <v>1.3169906588869889</v>
      </c>
      <c r="N26" s="116" t="str">
        <f>+'IC ANCH-SARC VIII'!O12</f>
        <v>-</v>
      </c>
      <c r="P26" s="580">
        <f t="shared" si="7"/>
        <v>0</v>
      </c>
    </row>
    <row r="27" spans="2:16" s="92" customFormat="1" ht="13.15" customHeight="1">
      <c r="B27" s="153">
        <v>10</v>
      </c>
      <c r="C27" s="670"/>
      <c r="D27" s="154" t="s">
        <v>162</v>
      </c>
      <c r="E27" s="134" t="s">
        <v>29</v>
      </c>
      <c r="F27" s="157">
        <v>405.399</v>
      </c>
      <c r="G27" s="159"/>
      <c r="H27" s="110">
        <f t="shared" si="8"/>
        <v>405.399</v>
      </c>
      <c r="I27" s="156">
        <v>484.09</v>
      </c>
      <c r="J27" s="156">
        <v>0</v>
      </c>
      <c r="K27" s="156"/>
      <c r="L27" s="114">
        <f t="shared" si="6"/>
        <v>-78.690999999999974</v>
      </c>
      <c r="M27" s="115">
        <f t="shared" si="4"/>
        <v>1.194107533565697</v>
      </c>
      <c r="N27" s="116" t="str">
        <f>+'IC ANCH-SARC VIII'!O13</f>
        <v>-</v>
      </c>
      <c r="P27" s="580">
        <f t="shared" si="7"/>
        <v>0</v>
      </c>
    </row>
    <row r="28" spans="2:16" s="92" customFormat="1" ht="13.15" customHeight="1">
      <c r="B28" s="153">
        <v>11</v>
      </c>
      <c r="C28" s="670"/>
      <c r="D28" s="154" t="s">
        <v>163</v>
      </c>
      <c r="E28" s="134" t="s">
        <v>29</v>
      </c>
      <c r="F28" s="157">
        <v>759.42700000000002</v>
      </c>
      <c r="G28" s="159"/>
      <c r="H28" s="110">
        <f>F28+G28</f>
        <v>759.42700000000002</v>
      </c>
      <c r="I28" s="156">
        <v>1225.732</v>
      </c>
      <c r="J28" s="156">
        <v>0</v>
      </c>
      <c r="K28" s="156"/>
      <c r="L28" s="114">
        <f t="shared" si="6"/>
        <v>-466.30499999999995</v>
      </c>
      <c r="M28" s="115">
        <f t="shared" si="4"/>
        <v>1.6140221509111474</v>
      </c>
      <c r="N28" s="116" t="str">
        <f>+'IC ANCH-SARC VIII'!O14</f>
        <v>-</v>
      </c>
      <c r="P28" s="580">
        <f t="shared" si="7"/>
        <v>0</v>
      </c>
    </row>
    <row r="29" spans="2:16" s="92" customFormat="1" ht="13.15" customHeight="1">
      <c r="B29" s="153">
        <v>12</v>
      </c>
      <c r="C29" s="670"/>
      <c r="D29" s="492" t="s">
        <v>164</v>
      </c>
      <c r="E29" s="134" t="s">
        <v>29</v>
      </c>
      <c r="F29" s="157">
        <v>793.12199999999996</v>
      </c>
      <c r="G29" s="159">
        <f>-10-11-8-12-9</f>
        <v>-50</v>
      </c>
      <c r="H29" s="110">
        <f t="shared" ref="H29:H50" si="9">F29+G29</f>
        <v>743.12199999999996</v>
      </c>
      <c r="I29" s="156">
        <v>781.077</v>
      </c>
      <c r="J29" s="156">
        <v>0</v>
      </c>
      <c r="K29" s="156"/>
      <c r="L29" s="114">
        <f t="shared" si="6"/>
        <v>-37.955000000000041</v>
      </c>
      <c r="M29" s="115">
        <f t="shared" si="4"/>
        <v>1.0510750590078077</v>
      </c>
      <c r="N29" s="160">
        <f>+'IC ANCH-SARC VIII'!O15</f>
        <v>43551</v>
      </c>
      <c r="O29" s="92">
        <v>-50</v>
      </c>
      <c r="P29" s="580">
        <f t="shared" si="7"/>
        <v>0</v>
      </c>
    </row>
    <row r="30" spans="2:16" s="92" customFormat="1" ht="13.15" customHeight="1">
      <c r="B30" s="153">
        <v>13</v>
      </c>
      <c r="C30" s="670"/>
      <c r="D30" s="154" t="s">
        <v>165</v>
      </c>
      <c r="E30" s="134" t="s">
        <v>29</v>
      </c>
      <c r="F30" s="157">
        <v>960.1</v>
      </c>
      <c r="G30" s="114">
        <f>183.5-57+114</f>
        <v>240.5</v>
      </c>
      <c r="H30" s="110">
        <f t="shared" si="9"/>
        <v>1200.5999999999999</v>
      </c>
      <c r="I30" s="156">
        <v>837.31100000000004</v>
      </c>
      <c r="J30" s="156">
        <v>264.06700000000001</v>
      </c>
      <c r="K30" s="156"/>
      <c r="L30" s="114">
        <f t="shared" si="6"/>
        <v>99.221999999999866</v>
      </c>
      <c r="M30" s="115">
        <f t="shared" si="4"/>
        <v>0.91735632183908067</v>
      </c>
      <c r="N30" s="116" t="str">
        <f>+'IC ANCH-SARC VIII'!O16</f>
        <v>-</v>
      </c>
      <c r="O30" s="92">
        <v>240.5</v>
      </c>
      <c r="P30" s="580">
        <f t="shared" si="7"/>
        <v>0</v>
      </c>
    </row>
    <row r="31" spans="2:16" s="92" customFormat="1" ht="13.15" customHeight="1">
      <c r="B31" s="153">
        <v>14</v>
      </c>
      <c r="C31" s="670"/>
      <c r="D31" s="154" t="s">
        <v>166</v>
      </c>
      <c r="E31" s="134" t="s">
        <v>29</v>
      </c>
      <c r="F31" s="157">
        <v>332.65100000000001</v>
      </c>
      <c r="G31" s="161"/>
      <c r="H31" s="110">
        <f t="shared" si="9"/>
        <v>332.65100000000001</v>
      </c>
      <c r="I31" s="156">
        <v>716.55399999999997</v>
      </c>
      <c r="J31" s="156">
        <v>0</v>
      </c>
      <c r="K31" s="156"/>
      <c r="L31" s="114">
        <f>+H31-I31-J31-K31</f>
        <v>-383.90299999999996</v>
      </c>
      <c r="M31" s="115">
        <f t="shared" si="4"/>
        <v>2.1540713841233003</v>
      </c>
      <c r="N31" s="116" t="str">
        <f>+'IC ANCH-SARC VIII'!O17</f>
        <v>-</v>
      </c>
      <c r="P31" s="580">
        <f t="shared" si="7"/>
        <v>0</v>
      </c>
    </row>
    <row r="32" spans="2:16" s="92" customFormat="1" ht="13.15" customHeight="1">
      <c r="B32" s="153">
        <v>15</v>
      </c>
      <c r="C32" s="670"/>
      <c r="D32" s="154" t="s">
        <v>167</v>
      </c>
      <c r="E32" s="134" t="s">
        <v>29</v>
      </c>
      <c r="F32" s="157">
        <v>21.36</v>
      </c>
      <c r="G32" s="159">
        <v>-14.39</v>
      </c>
      <c r="H32" s="110">
        <f t="shared" si="9"/>
        <v>6.9699999999999989</v>
      </c>
      <c r="I32" s="156">
        <v>0</v>
      </c>
      <c r="J32" s="156">
        <v>0</v>
      </c>
      <c r="K32" s="156"/>
      <c r="L32" s="114">
        <f t="shared" si="6"/>
        <v>6.9699999999999989</v>
      </c>
      <c r="M32" s="115">
        <f t="shared" si="4"/>
        <v>0</v>
      </c>
      <c r="N32" s="160">
        <f>+'IC ANCH-SARC VIII'!O18</f>
        <v>43537</v>
      </c>
      <c r="O32" s="92">
        <v>-14.39</v>
      </c>
      <c r="P32" s="580">
        <f t="shared" si="7"/>
        <v>0</v>
      </c>
    </row>
    <row r="33" spans="1:16" s="92" customFormat="1" ht="13.15" customHeight="1">
      <c r="A33" s="162"/>
      <c r="B33" s="153">
        <v>16</v>
      </c>
      <c r="C33" s="670"/>
      <c r="D33" s="154" t="s">
        <v>168</v>
      </c>
      <c r="E33" s="134" t="s">
        <v>29</v>
      </c>
      <c r="F33" s="157">
        <v>7813.4179999999997</v>
      </c>
      <c r="G33" s="159">
        <f>11.94+28.7+120+100+400</f>
        <v>660.64</v>
      </c>
      <c r="H33" s="110">
        <f t="shared" si="9"/>
        <v>8474.0579999999991</v>
      </c>
      <c r="I33" s="156">
        <v>7901.51</v>
      </c>
      <c r="J33" s="156">
        <v>304.48200000000003</v>
      </c>
      <c r="K33" s="156"/>
      <c r="L33" s="114">
        <f t="shared" si="6"/>
        <v>268.06599999999884</v>
      </c>
      <c r="M33" s="115">
        <f t="shared" si="4"/>
        <v>0.96836627740806125</v>
      </c>
      <c r="N33" s="116" t="str">
        <f>+'IC ANCH-SARC VIII'!O19</f>
        <v>-</v>
      </c>
      <c r="O33" s="92">
        <v>660.64</v>
      </c>
      <c r="P33" s="580">
        <f t="shared" si="7"/>
        <v>0</v>
      </c>
    </row>
    <row r="34" spans="1:16" s="92" customFormat="1" ht="13.15" customHeight="1">
      <c r="B34" s="153">
        <v>17</v>
      </c>
      <c r="C34" s="670"/>
      <c r="D34" s="154" t="s">
        <v>169</v>
      </c>
      <c r="E34" s="134" t="s">
        <v>29</v>
      </c>
      <c r="F34" s="157">
        <v>142.869</v>
      </c>
      <c r="G34" s="159">
        <f>-18.55-100</f>
        <v>-118.55</v>
      </c>
      <c r="H34" s="110">
        <f t="shared" si="9"/>
        <v>24.319000000000003</v>
      </c>
      <c r="I34" s="156">
        <v>21.216999999999999</v>
      </c>
      <c r="J34" s="156">
        <v>0</v>
      </c>
      <c r="K34" s="156"/>
      <c r="L34" s="114">
        <f t="shared" si="6"/>
        <v>3.1020000000000039</v>
      </c>
      <c r="M34" s="115">
        <f t="shared" si="4"/>
        <v>0.87244541305152334</v>
      </c>
      <c r="N34" s="116" t="str">
        <f>+'IC ANCH-SARC VIII'!O20</f>
        <v>-</v>
      </c>
      <c r="O34" s="92">
        <v>-118.55</v>
      </c>
      <c r="P34" s="580">
        <f t="shared" si="7"/>
        <v>0</v>
      </c>
    </row>
    <row r="35" spans="1:16" s="92" customFormat="1" ht="13.15" customHeight="1">
      <c r="B35" s="153">
        <v>18</v>
      </c>
      <c r="C35" s="670"/>
      <c r="D35" s="154" t="s">
        <v>170</v>
      </c>
      <c r="E35" s="134" t="s">
        <v>29</v>
      </c>
      <c r="F35" s="157">
        <v>1385.5989999999999</v>
      </c>
      <c r="G35" s="163">
        <v>1</v>
      </c>
      <c r="H35" s="110">
        <f t="shared" si="9"/>
        <v>1386.5989999999999</v>
      </c>
      <c r="I35" s="156">
        <v>2303.047</v>
      </c>
      <c r="J35" s="156">
        <v>84.846999999999994</v>
      </c>
      <c r="K35" s="156"/>
      <c r="L35" s="114">
        <f t="shared" si="6"/>
        <v>-1001.2950000000001</v>
      </c>
      <c r="M35" s="115">
        <f t="shared" si="4"/>
        <v>1.7221229785972731</v>
      </c>
      <c r="N35" s="116" t="str">
        <f>+'IC ANCH-SARC VIII'!O21</f>
        <v>-</v>
      </c>
      <c r="O35" s="92">
        <v>1</v>
      </c>
      <c r="P35" s="580">
        <f t="shared" si="7"/>
        <v>0</v>
      </c>
    </row>
    <row r="36" spans="1:16" s="92" customFormat="1" ht="13.15" customHeight="1">
      <c r="B36" s="153">
        <v>19</v>
      </c>
      <c r="C36" s="670"/>
      <c r="D36" s="154" t="s">
        <v>171</v>
      </c>
      <c r="E36" s="134" t="s">
        <v>29</v>
      </c>
      <c r="F36" s="157">
        <v>851.94399999999996</v>
      </c>
      <c r="G36" s="159"/>
      <c r="H36" s="110">
        <f t="shared" si="9"/>
        <v>851.94399999999996</v>
      </c>
      <c r="I36" s="164">
        <v>802.32500000000005</v>
      </c>
      <c r="J36" s="164">
        <v>0</v>
      </c>
      <c r="K36" s="164"/>
      <c r="L36" s="114">
        <f t="shared" si="6"/>
        <v>49.618999999999915</v>
      </c>
      <c r="M36" s="115">
        <f t="shared" si="4"/>
        <v>0.94175790897054279</v>
      </c>
      <c r="N36" s="116" t="str">
        <f>+'IC ANCH-SARC VIII'!O22</f>
        <v>-</v>
      </c>
      <c r="P36" s="580">
        <f t="shared" si="7"/>
        <v>0</v>
      </c>
    </row>
    <row r="37" spans="1:16" s="92" customFormat="1" ht="13.15" customHeight="1">
      <c r="B37" s="153">
        <v>20</v>
      </c>
      <c r="C37" s="670"/>
      <c r="D37" s="154" t="s">
        <v>172</v>
      </c>
      <c r="E37" s="134" t="s">
        <v>29</v>
      </c>
      <c r="F37" s="157">
        <v>955.44200000000001</v>
      </c>
      <c r="G37" s="159"/>
      <c r="H37" s="110">
        <f t="shared" si="9"/>
        <v>955.44200000000001</v>
      </c>
      <c r="I37" s="156">
        <v>1248.616</v>
      </c>
      <c r="J37" s="156">
        <v>0</v>
      </c>
      <c r="K37" s="156"/>
      <c r="L37" s="114">
        <f t="shared" si="6"/>
        <v>-293.17399999999998</v>
      </c>
      <c r="M37" s="115">
        <f t="shared" si="4"/>
        <v>1.3068464647775584</v>
      </c>
      <c r="N37" s="116" t="str">
        <f>+'IC ANCH-SARC VIII'!O23</f>
        <v>-</v>
      </c>
      <c r="P37" s="580">
        <f t="shared" si="7"/>
        <v>0</v>
      </c>
    </row>
    <row r="38" spans="1:16" s="92" customFormat="1" ht="13.15" customHeight="1">
      <c r="B38" s="153">
        <v>21</v>
      </c>
      <c r="C38" s="670"/>
      <c r="D38" s="154" t="s">
        <v>173</v>
      </c>
      <c r="E38" s="134" t="s">
        <v>29</v>
      </c>
      <c r="F38" s="157">
        <v>1735.771</v>
      </c>
      <c r="G38" s="159"/>
      <c r="H38" s="110">
        <f t="shared" si="9"/>
        <v>1735.771</v>
      </c>
      <c r="I38" s="156">
        <v>2361.27</v>
      </c>
      <c r="J38" s="156">
        <v>0</v>
      </c>
      <c r="K38" s="156"/>
      <c r="L38" s="114">
        <f t="shared" si="6"/>
        <v>-625.49900000000002</v>
      </c>
      <c r="M38" s="115">
        <f t="shared" si="4"/>
        <v>1.3603580195774674</v>
      </c>
      <c r="N38" s="116" t="str">
        <f>+'IC ANCH-SARC VIII'!O24</f>
        <v>-</v>
      </c>
      <c r="P38" s="580">
        <f t="shared" si="7"/>
        <v>0</v>
      </c>
    </row>
    <row r="39" spans="1:16" s="92" customFormat="1" ht="13.15" customHeight="1">
      <c r="B39" s="153">
        <v>22</v>
      </c>
      <c r="C39" s="670"/>
      <c r="D39" s="154" t="s">
        <v>174</v>
      </c>
      <c r="E39" s="134" t="s">
        <v>29</v>
      </c>
      <c r="F39" s="157">
        <v>1584.3</v>
      </c>
      <c r="G39" s="158"/>
      <c r="H39" s="110">
        <f t="shared" si="9"/>
        <v>1584.3</v>
      </c>
      <c r="I39" s="156">
        <v>1219.71</v>
      </c>
      <c r="J39" s="156">
        <v>0</v>
      </c>
      <c r="K39" s="156"/>
      <c r="L39" s="114">
        <f t="shared" si="6"/>
        <v>364.58999999999992</v>
      </c>
      <c r="M39" s="115">
        <f t="shared" si="4"/>
        <v>0.76987313008899838</v>
      </c>
      <c r="N39" s="116" t="str">
        <f>+'IC ANCH-SARC VIII'!O25</f>
        <v>-</v>
      </c>
      <c r="P39" s="580">
        <f t="shared" si="7"/>
        <v>0</v>
      </c>
    </row>
    <row r="40" spans="1:16" s="92" customFormat="1" ht="13.15" customHeight="1">
      <c r="B40" s="153">
        <v>23</v>
      </c>
      <c r="C40" s="670"/>
      <c r="D40" s="154" t="s">
        <v>175</v>
      </c>
      <c r="E40" s="134" t="s">
        <v>29</v>
      </c>
      <c r="F40" s="157">
        <v>1495.4190000000001</v>
      </c>
      <c r="G40" s="159"/>
      <c r="H40" s="110">
        <f t="shared" si="9"/>
        <v>1495.4190000000001</v>
      </c>
      <c r="I40" s="156">
        <v>2014.623</v>
      </c>
      <c r="J40" s="156">
        <v>0</v>
      </c>
      <c r="K40" s="156"/>
      <c r="L40" s="114">
        <f t="shared" si="6"/>
        <v>-519.20399999999995</v>
      </c>
      <c r="M40" s="115">
        <f t="shared" si="4"/>
        <v>1.3471963376150764</v>
      </c>
      <c r="N40" s="116" t="str">
        <f>+'IC ANCH-SARC VIII'!O26</f>
        <v>-</v>
      </c>
      <c r="P40" s="580">
        <f t="shared" si="7"/>
        <v>0</v>
      </c>
    </row>
    <row r="41" spans="1:16" s="92" customFormat="1" ht="13.15" customHeight="1">
      <c r="B41" s="153">
        <v>24</v>
      </c>
      <c r="C41" s="670"/>
      <c r="D41" s="154" t="s">
        <v>176</v>
      </c>
      <c r="E41" s="134" t="s">
        <v>29</v>
      </c>
      <c r="F41" s="157">
        <v>88.085999999999999</v>
      </c>
      <c r="G41" s="159">
        <f>130+63</f>
        <v>193</v>
      </c>
      <c r="H41" s="110">
        <f t="shared" si="9"/>
        <v>281.08600000000001</v>
      </c>
      <c r="I41" s="156">
        <v>24.427</v>
      </c>
      <c r="J41" s="156">
        <v>269.36799999999999</v>
      </c>
      <c r="K41" s="156"/>
      <c r="L41" s="114">
        <f t="shared" si="6"/>
        <v>-12.709000000000003</v>
      </c>
      <c r="M41" s="115">
        <f t="shared" si="4"/>
        <v>1.0452139202948565</v>
      </c>
      <c r="N41" s="160">
        <f>+'IC ANCH-SARC VIII'!O27</f>
        <v>43641</v>
      </c>
      <c r="O41" s="92">
        <v>193</v>
      </c>
      <c r="P41" s="580">
        <f t="shared" si="7"/>
        <v>0</v>
      </c>
    </row>
    <row r="42" spans="1:16" s="92" customFormat="1" ht="13.15" customHeight="1">
      <c r="B42" s="153">
        <v>25</v>
      </c>
      <c r="C42" s="670"/>
      <c r="D42" s="154" t="s">
        <v>177</v>
      </c>
      <c r="E42" s="134" t="s">
        <v>29</v>
      </c>
      <c r="F42" s="157">
        <v>1116.4190000000001</v>
      </c>
      <c r="G42" s="159"/>
      <c r="H42" s="110">
        <f t="shared" si="9"/>
        <v>1116.4190000000001</v>
      </c>
      <c r="I42" s="156">
        <v>1499.499</v>
      </c>
      <c r="J42" s="156">
        <v>0</v>
      </c>
      <c r="K42" s="156"/>
      <c r="L42" s="114">
        <f t="shared" si="6"/>
        <v>-383.07999999999993</v>
      </c>
      <c r="M42" s="115">
        <f t="shared" si="4"/>
        <v>1.3431328202046005</v>
      </c>
      <c r="N42" s="116" t="str">
        <f>+'IC ANCH-SARC VIII'!O28</f>
        <v>-</v>
      </c>
      <c r="P42" s="580">
        <f t="shared" si="7"/>
        <v>0</v>
      </c>
    </row>
    <row r="43" spans="1:16" s="92" customFormat="1" ht="13.15" customHeight="1">
      <c r="B43" s="153">
        <v>26</v>
      </c>
      <c r="C43" s="670"/>
      <c r="D43" s="154" t="s">
        <v>178</v>
      </c>
      <c r="E43" s="134" t="s">
        <v>29</v>
      </c>
      <c r="F43" s="157">
        <v>4.4219999999999997</v>
      </c>
      <c r="G43" s="159">
        <v>-4.4000000000000004</v>
      </c>
      <c r="H43" s="110">
        <f t="shared" si="9"/>
        <v>2.1999999999999353E-2</v>
      </c>
      <c r="I43" s="156">
        <v>0</v>
      </c>
      <c r="J43" s="156">
        <v>0</v>
      </c>
      <c r="K43" s="156"/>
      <c r="L43" s="114">
        <f t="shared" si="6"/>
        <v>2.1999999999999353E-2</v>
      </c>
      <c r="M43" s="115">
        <f t="shared" si="4"/>
        <v>0</v>
      </c>
      <c r="N43" s="116">
        <f>+'IC ANCH-SARC VIII'!O29</f>
        <v>43628</v>
      </c>
      <c r="O43" s="92">
        <v>-4.4000000000000004</v>
      </c>
      <c r="P43" s="580">
        <f t="shared" si="7"/>
        <v>0</v>
      </c>
    </row>
    <row r="44" spans="1:16" s="92" customFormat="1" ht="13.15" customHeight="1">
      <c r="B44" s="153">
        <v>27</v>
      </c>
      <c r="C44" s="670"/>
      <c r="D44" s="154" t="s">
        <v>179</v>
      </c>
      <c r="E44" s="134" t="s">
        <v>29</v>
      </c>
      <c r="F44" s="157">
        <v>852.38900000000001</v>
      </c>
      <c r="G44" s="159"/>
      <c r="H44" s="110">
        <f t="shared" si="9"/>
        <v>852.38900000000001</v>
      </c>
      <c r="I44" s="156">
        <v>1520.1510000000001</v>
      </c>
      <c r="J44" s="156">
        <v>0</v>
      </c>
      <c r="K44" s="156"/>
      <c r="L44" s="114">
        <f t="shared" si="6"/>
        <v>-667.76200000000006</v>
      </c>
      <c r="M44" s="115">
        <f t="shared" si="4"/>
        <v>1.783400536609459</v>
      </c>
      <c r="N44" s="116" t="str">
        <f>+'IC ANCH-SARC VIII'!O30</f>
        <v>-</v>
      </c>
      <c r="P44" s="580">
        <f t="shared" si="7"/>
        <v>0</v>
      </c>
    </row>
    <row r="45" spans="1:16" s="92" customFormat="1" ht="13.15" customHeight="1">
      <c r="B45" s="153">
        <v>28</v>
      </c>
      <c r="C45" s="670"/>
      <c r="D45" s="154" t="s">
        <v>180</v>
      </c>
      <c r="E45" s="134" t="s">
        <v>29</v>
      </c>
      <c r="F45" s="157">
        <v>19.59</v>
      </c>
      <c r="G45" s="159">
        <f>-13.2-6.38</f>
        <v>-19.579999999999998</v>
      </c>
      <c r="H45" s="110">
        <f t="shared" si="9"/>
        <v>1.0000000000001563E-2</v>
      </c>
      <c r="I45" s="156">
        <v>0</v>
      </c>
      <c r="J45" s="156">
        <v>0</v>
      </c>
      <c r="K45" s="156"/>
      <c r="L45" s="114">
        <f t="shared" si="6"/>
        <v>1.0000000000001563E-2</v>
      </c>
      <c r="M45" s="115">
        <f t="shared" si="4"/>
        <v>0</v>
      </c>
      <c r="N45" s="160">
        <f>+'IC ANCH-SARC VIII'!O31</f>
        <v>43537</v>
      </c>
      <c r="O45" s="92">
        <v>-19.579999999999998</v>
      </c>
      <c r="P45" s="580">
        <f t="shared" si="7"/>
        <v>0</v>
      </c>
    </row>
    <row r="46" spans="1:16" s="92" customFormat="1" ht="13.15" customHeight="1">
      <c r="B46" s="153">
        <v>29</v>
      </c>
      <c r="C46" s="670"/>
      <c r="D46" s="165" t="s">
        <v>181</v>
      </c>
      <c r="E46" s="166" t="s">
        <v>29</v>
      </c>
      <c r="F46" s="167">
        <v>1657.308</v>
      </c>
      <c r="G46" s="159"/>
      <c r="H46" s="110">
        <f t="shared" si="9"/>
        <v>1657.308</v>
      </c>
      <c r="I46" s="156">
        <v>2127.5329999999999</v>
      </c>
      <c r="J46" s="156">
        <v>0</v>
      </c>
      <c r="K46" s="168"/>
      <c r="L46" s="114">
        <f t="shared" si="6"/>
        <v>-470.22499999999991</v>
      </c>
      <c r="M46" s="115">
        <f t="shared" si="4"/>
        <v>1.2837281905354949</v>
      </c>
      <c r="N46" s="169" t="str">
        <f>+'IC ANCH-SARC VIII'!O32</f>
        <v>-</v>
      </c>
      <c r="P46" s="580">
        <f t="shared" si="7"/>
        <v>0</v>
      </c>
    </row>
    <row r="47" spans="1:16" s="92" customFormat="1" ht="13.15" customHeight="1">
      <c r="B47" s="153">
        <v>30</v>
      </c>
      <c r="C47" s="670"/>
      <c r="D47" s="154" t="s">
        <v>182</v>
      </c>
      <c r="E47" s="134" t="s">
        <v>29</v>
      </c>
      <c r="F47" s="157">
        <v>2471.9960000000001</v>
      </c>
      <c r="G47" s="159"/>
      <c r="H47" s="110">
        <f t="shared" si="9"/>
        <v>2471.9960000000001</v>
      </c>
      <c r="I47" s="156">
        <v>3705.96</v>
      </c>
      <c r="J47" s="156">
        <v>0</v>
      </c>
      <c r="K47" s="156"/>
      <c r="L47" s="114">
        <f t="shared" si="6"/>
        <v>-1233.9639999999999</v>
      </c>
      <c r="M47" s="115">
        <f t="shared" si="4"/>
        <v>1.4991771831346006</v>
      </c>
      <c r="N47" s="116" t="str">
        <f>+'IC ANCH-SARC VIII'!O33</f>
        <v>-</v>
      </c>
      <c r="P47" s="580">
        <f t="shared" si="7"/>
        <v>0</v>
      </c>
    </row>
    <row r="48" spans="1:16" s="92" customFormat="1" ht="13.15" customHeight="1">
      <c r="B48" s="153">
        <v>31</v>
      </c>
      <c r="C48" s="670"/>
      <c r="D48" s="154" t="s">
        <v>183</v>
      </c>
      <c r="E48" s="134" t="s">
        <v>29</v>
      </c>
      <c r="F48" s="157">
        <v>6.0000000000000001E-3</v>
      </c>
      <c r="G48" s="159"/>
      <c r="H48" s="110">
        <f t="shared" si="9"/>
        <v>6.0000000000000001E-3</v>
      </c>
      <c r="I48" s="156">
        <v>0</v>
      </c>
      <c r="J48" s="156">
        <v>0</v>
      </c>
      <c r="K48" s="156"/>
      <c r="L48" s="114">
        <f t="shared" si="6"/>
        <v>6.0000000000000001E-3</v>
      </c>
      <c r="M48" s="115">
        <f t="shared" si="4"/>
        <v>0</v>
      </c>
      <c r="N48" s="116" t="str">
        <f>+'IC ANCH-SARC VIII'!O34</f>
        <v>-</v>
      </c>
      <c r="P48" s="580">
        <f t="shared" si="7"/>
        <v>0</v>
      </c>
    </row>
    <row r="49" spans="2:16" s="92" customFormat="1" ht="13.15" customHeight="1">
      <c r="B49" s="153">
        <v>32</v>
      </c>
      <c r="C49" s="670"/>
      <c r="D49" s="154" t="s">
        <v>184</v>
      </c>
      <c r="E49" s="134" t="s">
        <v>29</v>
      </c>
      <c r="F49" s="157">
        <v>205.535</v>
      </c>
      <c r="G49" s="159">
        <f>-1-0.5-0.5-0.5-0.5-0.5-0.5</f>
        <v>-4</v>
      </c>
      <c r="H49" s="110">
        <f t="shared" si="9"/>
        <v>201.535</v>
      </c>
      <c r="I49" s="156">
        <v>166.167</v>
      </c>
      <c r="J49" s="156">
        <v>0</v>
      </c>
      <c r="K49" s="156"/>
      <c r="L49" s="114">
        <f t="shared" si="6"/>
        <v>35.367999999999995</v>
      </c>
      <c r="M49" s="115">
        <f t="shared" si="4"/>
        <v>0.82450690946981919</v>
      </c>
      <c r="N49" s="116" t="str">
        <f>+'IC ANCH-SARC VIII'!O35</f>
        <v>-</v>
      </c>
      <c r="O49" s="92">
        <v>-4</v>
      </c>
      <c r="P49" s="580">
        <f t="shared" si="7"/>
        <v>0</v>
      </c>
    </row>
    <row r="50" spans="2:16" s="92" customFormat="1" ht="13.15" customHeight="1">
      <c r="B50" s="153">
        <v>33</v>
      </c>
      <c r="C50" s="670"/>
      <c r="D50" s="154" t="s">
        <v>185</v>
      </c>
      <c r="E50" s="134" t="s">
        <v>29</v>
      </c>
      <c r="F50" s="157">
        <v>653.73599999999999</v>
      </c>
      <c r="G50" s="114"/>
      <c r="H50" s="110">
        <f t="shared" si="9"/>
        <v>653.73599999999999</v>
      </c>
      <c r="I50" s="156">
        <v>237.17400000000001</v>
      </c>
      <c r="J50" s="156">
        <v>0</v>
      </c>
      <c r="K50" s="156"/>
      <c r="L50" s="114">
        <f t="shared" si="6"/>
        <v>416.56200000000001</v>
      </c>
      <c r="M50" s="115">
        <f t="shared" si="4"/>
        <v>0.36279782664561844</v>
      </c>
      <c r="N50" s="116" t="str">
        <f>+'IC ANCH-SARC VIII'!O36</f>
        <v>-</v>
      </c>
      <c r="P50" s="580">
        <f t="shared" si="7"/>
        <v>0</v>
      </c>
    </row>
    <row r="51" spans="2:16" s="92" customFormat="1" ht="13.15" customHeight="1">
      <c r="B51" s="153">
        <v>34</v>
      </c>
      <c r="C51" s="670"/>
      <c r="D51" s="154" t="s">
        <v>186</v>
      </c>
      <c r="E51" s="134" t="s">
        <v>29</v>
      </c>
      <c r="F51" s="157">
        <v>218.53100000000001</v>
      </c>
      <c r="G51" s="161">
        <f>-1-1-1</f>
        <v>-3</v>
      </c>
      <c r="H51" s="110">
        <f>F51+G51</f>
        <v>215.53100000000001</v>
      </c>
      <c r="I51" s="156">
        <v>190.09200000000001</v>
      </c>
      <c r="J51" s="156">
        <v>0</v>
      </c>
      <c r="K51" s="156"/>
      <c r="L51" s="114">
        <f>+H51-I51-J51-K51</f>
        <v>25.438999999999993</v>
      </c>
      <c r="M51" s="115">
        <f>+(I51+J51+K51)/H51</f>
        <v>0.88197057499849218</v>
      </c>
      <c r="N51" s="116" t="str">
        <f>+'IC ANCH-SARC VIII'!O37</f>
        <v>-</v>
      </c>
      <c r="O51" s="92">
        <v>-3</v>
      </c>
      <c r="P51" s="580">
        <f t="shared" si="7"/>
        <v>0</v>
      </c>
    </row>
    <row r="52" spans="2:16" s="92" customFormat="1" ht="13.15" customHeight="1">
      <c r="B52" s="153">
        <v>35</v>
      </c>
      <c r="C52" s="670"/>
      <c r="D52" s="154" t="s">
        <v>187</v>
      </c>
      <c r="E52" s="134" t="s">
        <v>29</v>
      </c>
      <c r="F52" s="157">
        <v>1120.952</v>
      </c>
      <c r="G52" s="159">
        <f>113.5+30.5</f>
        <v>144</v>
      </c>
      <c r="H52" s="110">
        <f t="shared" ref="H52:H93" si="10">F52+G52</f>
        <v>1264.952</v>
      </c>
      <c r="I52" s="156">
        <v>1652.499</v>
      </c>
      <c r="J52" s="156">
        <v>113.5</v>
      </c>
      <c r="K52" s="156"/>
      <c r="L52" s="114">
        <f t="shared" si="6"/>
        <v>-501.04700000000003</v>
      </c>
      <c r="M52" s="115">
        <f t="shared" si="4"/>
        <v>1.3960996148470457</v>
      </c>
      <c r="N52" s="116" t="str">
        <f>+'IC ANCH-SARC VIII'!O38</f>
        <v>-</v>
      </c>
      <c r="O52" s="92">
        <v>144</v>
      </c>
      <c r="P52" s="580">
        <f t="shared" si="7"/>
        <v>0</v>
      </c>
    </row>
    <row r="53" spans="2:16" s="92" customFormat="1" ht="13.15" customHeight="1">
      <c r="B53" s="153">
        <v>36</v>
      </c>
      <c r="C53" s="670"/>
      <c r="D53" s="154" t="s">
        <v>188</v>
      </c>
      <c r="E53" s="134" t="s">
        <v>29</v>
      </c>
      <c r="F53" s="157">
        <v>592.57100000000003</v>
      </c>
      <c r="G53" s="159"/>
      <c r="H53" s="110">
        <f t="shared" si="10"/>
        <v>592.57100000000003</v>
      </c>
      <c r="I53" s="156">
        <v>395.48200000000003</v>
      </c>
      <c r="J53" s="156">
        <v>0</v>
      </c>
      <c r="K53" s="156"/>
      <c r="L53" s="114">
        <f t="shared" si="6"/>
        <v>197.089</v>
      </c>
      <c r="M53" s="115">
        <f t="shared" si="4"/>
        <v>0.66740019339454681</v>
      </c>
      <c r="N53" s="116" t="str">
        <f>+'IC ANCH-SARC VIII'!O39</f>
        <v>-</v>
      </c>
      <c r="P53" s="580">
        <f t="shared" si="7"/>
        <v>0</v>
      </c>
    </row>
    <row r="54" spans="2:16" s="92" customFormat="1" ht="13.15" customHeight="1">
      <c r="B54" s="153">
        <v>37</v>
      </c>
      <c r="C54" s="670"/>
      <c r="D54" s="154" t="s">
        <v>189</v>
      </c>
      <c r="E54" s="134" t="s">
        <v>29</v>
      </c>
      <c r="F54" s="157">
        <v>352.09300000000002</v>
      </c>
      <c r="G54" s="159"/>
      <c r="H54" s="110">
        <f t="shared" si="10"/>
        <v>352.09300000000002</v>
      </c>
      <c r="I54" s="156">
        <v>196.80199999999999</v>
      </c>
      <c r="J54" s="156">
        <v>0</v>
      </c>
      <c r="K54" s="156"/>
      <c r="L54" s="114">
        <f t="shared" si="6"/>
        <v>155.29100000000003</v>
      </c>
      <c r="M54" s="115">
        <f t="shared" si="4"/>
        <v>0.55894891406531788</v>
      </c>
      <c r="N54" s="116" t="str">
        <f>+'IC ANCH-SARC VIII'!O40</f>
        <v>-</v>
      </c>
      <c r="P54" s="580">
        <f t="shared" si="7"/>
        <v>0</v>
      </c>
    </row>
    <row r="55" spans="2:16" s="92" customFormat="1" ht="13.15" customHeight="1">
      <c r="B55" s="153">
        <v>38</v>
      </c>
      <c r="C55" s="670"/>
      <c r="D55" s="154" t="s">
        <v>190</v>
      </c>
      <c r="E55" s="134" t="s">
        <v>29</v>
      </c>
      <c r="F55" s="157">
        <v>1101.684</v>
      </c>
      <c r="G55" s="163"/>
      <c r="H55" s="110">
        <f t="shared" si="10"/>
        <v>1101.684</v>
      </c>
      <c r="I55" s="156">
        <v>1299.259</v>
      </c>
      <c r="J55" s="156">
        <v>0</v>
      </c>
      <c r="K55" s="156"/>
      <c r="L55" s="114">
        <f t="shared" si="6"/>
        <v>-197.57500000000005</v>
      </c>
      <c r="M55" s="115">
        <f t="shared" si="4"/>
        <v>1.1793390845287759</v>
      </c>
      <c r="N55" s="116" t="str">
        <f>+'IC ANCH-SARC VIII'!O41</f>
        <v>-</v>
      </c>
      <c r="P55" s="580">
        <f t="shared" si="7"/>
        <v>0</v>
      </c>
    </row>
    <row r="56" spans="2:16" s="92" customFormat="1" ht="13.15" customHeight="1">
      <c r="B56" s="153">
        <v>39</v>
      </c>
      <c r="C56" s="670"/>
      <c r="D56" s="154" t="s">
        <v>191</v>
      </c>
      <c r="E56" s="134" t="s">
        <v>29</v>
      </c>
      <c r="F56" s="157">
        <v>141.77199999999999</v>
      </c>
      <c r="G56" s="159">
        <v>-55</v>
      </c>
      <c r="H56" s="110">
        <f t="shared" si="10"/>
        <v>86.771999999999991</v>
      </c>
      <c r="I56" s="156">
        <v>72.566999999999993</v>
      </c>
      <c r="J56" s="156">
        <v>0</v>
      </c>
      <c r="K56" s="156"/>
      <c r="L56" s="114">
        <f t="shared" si="6"/>
        <v>14.204999999999998</v>
      </c>
      <c r="M56" s="115">
        <f t="shared" si="4"/>
        <v>0.83629511824090719</v>
      </c>
      <c r="N56" s="116" t="str">
        <f>+'IC ANCH-SARC VIII'!O42</f>
        <v>-</v>
      </c>
      <c r="O56" s="92">
        <v>-55</v>
      </c>
      <c r="P56" s="580">
        <f t="shared" si="7"/>
        <v>0</v>
      </c>
    </row>
    <row r="57" spans="2:16" s="92" customFormat="1" ht="13.15" customHeight="1">
      <c r="B57" s="153">
        <v>40</v>
      </c>
      <c r="C57" s="670"/>
      <c r="D57" s="154" t="s">
        <v>192</v>
      </c>
      <c r="E57" s="134" t="s">
        <v>29</v>
      </c>
      <c r="F57" s="157">
        <v>507.80599999999998</v>
      </c>
      <c r="G57" s="159"/>
      <c r="H57" s="110">
        <f t="shared" si="10"/>
        <v>507.80599999999998</v>
      </c>
      <c r="I57" s="156">
        <v>912.08500000000004</v>
      </c>
      <c r="J57" s="156">
        <v>0</v>
      </c>
      <c r="K57" s="156"/>
      <c r="L57" s="114">
        <f t="shared" si="6"/>
        <v>-404.27900000000005</v>
      </c>
      <c r="M57" s="115">
        <f t="shared" si="4"/>
        <v>1.7961288366029549</v>
      </c>
      <c r="N57" s="116" t="str">
        <f>+'IC ANCH-SARC VIII'!O43</f>
        <v>-</v>
      </c>
      <c r="P57" s="580">
        <f t="shared" si="7"/>
        <v>0</v>
      </c>
    </row>
    <row r="58" spans="2:16" s="92" customFormat="1" ht="13.15" customHeight="1">
      <c r="B58" s="153">
        <v>41</v>
      </c>
      <c r="C58" s="670"/>
      <c r="D58" s="154" t="s">
        <v>193</v>
      </c>
      <c r="E58" s="134" t="s">
        <v>29</v>
      </c>
      <c r="F58" s="157">
        <v>1067.942</v>
      </c>
      <c r="G58" s="159"/>
      <c r="H58" s="110">
        <f t="shared" si="10"/>
        <v>1067.942</v>
      </c>
      <c r="I58" s="156">
        <v>1351.7809999999999</v>
      </c>
      <c r="J58" s="156">
        <v>0</v>
      </c>
      <c r="K58" s="156"/>
      <c r="L58" s="114">
        <f t="shared" si="6"/>
        <v>-283.83899999999994</v>
      </c>
      <c r="M58" s="115">
        <f t="shared" si="4"/>
        <v>1.2657812877478365</v>
      </c>
      <c r="N58" s="116" t="str">
        <f>+'IC ANCH-SARC VIII'!O44</f>
        <v>-</v>
      </c>
      <c r="P58" s="580">
        <f t="shared" si="7"/>
        <v>0</v>
      </c>
    </row>
    <row r="59" spans="2:16" s="92" customFormat="1" ht="13.15" customHeight="1">
      <c r="B59" s="153">
        <v>42</v>
      </c>
      <c r="C59" s="670"/>
      <c r="D59" s="170" t="s">
        <v>194</v>
      </c>
      <c r="E59" s="134" t="s">
        <v>29</v>
      </c>
      <c r="F59" s="157">
        <v>394.31700000000001</v>
      </c>
      <c r="G59" s="158">
        <f>-16.08+20</f>
        <v>3.9200000000000017</v>
      </c>
      <c r="H59" s="110">
        <f t="shared" si="10"/>
        <v>398.23700000000002</v>
      </c>
      <c r="I59" s="156">
        <v>288</v>
      </c>
      <c r="J59" s="156">
        <v>5.5620000000000003</v>
      </c>
      <c r="K59" s="156"/>
      <c r="L59" s="114">
        <f t="shared" si="6"/>
        <v>104.67500000000003</v>
      </c>
      <c r="M59" s="115">
        <f t="shared" si="4"/>
        <v>0.7371540062826909</v>
      </c>
      <c r="N59" s="116" t="str">
        <f>+'IC ANCH-SARC VIII'!O45</f>
        <v>-</v>
      </c>
      <c r="O59" s="92">
        <v>3.9200000000000017</v>
      </c>
      <c r="P59" s="580">
        <f t="shared" si="7"/>
        <v>0</v>
      </c>
    </row>
    <row r="60" spans="2:16" s="92" customFormat="1" ht="13.15" customHeight="1">
      <c r="B60" s="153">
        <v>43</v>
      </c>
      <c r="C60" s="670"/>
      <c r="D60" s="154" t="s">
        <v>195</v>
      </c>
      <c r="E60" s="134" t="s">
        <v>29</v>
      </c>
      <c r="F60" s="157">
        <v>1324.77</v>
      </c>
      <c r="G60" s="159"/>
      <c r="H60" s="110">
        <f t="shared" si="10"/>
        <v>1324.77</v>
      </c>
      <c r="I60" s="156">
        <v>1495.4</v>
      </c>
      <c r="J60" s="156">
        <v>0</v>
      </c>
      <c r="K60" s="156"/>
      <c r="L60" s="114">
        <f t="shared" si="6"/>
        <v>-170.63000000000011</v>
      </c>
      <c r="M60" s="115">
        <f t="shared" si="4"/>
        <v>1.1287997161771479</v>
      </c>
      <c r="N60" s="116" t="str">
        <f>+'IC ANCH-SARC VIII'!O46</f>
        <v>-</v>
      </c>
      <c r="P60" s="580">
        <f t="shared" si="7"/>
        <v>0</v>
      </c>
    </row>
    <row r="61" spans="2:16" s="92" customFormat="1" ht="13.15" customHeight="1">
      <c r="B61" s="153">
        <v>44</v>
      </c>
      <c r="C61" s="670"/>
      <c r="D61" s="154" t="s">
        <v>196</v>
      </c>
      <c r="E61" s="134" t="s">
        <v>29</v>
      </c>
      <c r="F61" s="164">
        <v>8.2200000000000006</v>
      </c>
      <c r="G61" s="159">
        <v>-5.54</v>
      </c>
      <c r="H61" s="110">
        <f t="shared" si="10"/>
        <v>2.6800000000000006</v>
      </c>
      <c r="I61" s="156">
        <v>0</v>
      </c>
      <c r="J61" s="156">
        <v>0</v>
      </c>
      <c r="K61" s="156"/>
      <c r="L61" s="114">
        <f t="shared" si="6"/>
        <v>2.6800000000000006</v>
      </c>
      <c r="M61" s="115">
        <f t="shared" si="4"/>
        <v>0</v>
      </c>
      <c r="N61" s="160">
        <f>+'IC ANCH-SARC VIII'!O47</f>
        <v>43532</v>
      </c>
      <c r="O61" s="92">
        <v>-5.54</v>
      </c>
      <c r="P61" s="580">
        <f t="shared" si="7"/>
        <v>0</v>
      </c>
    </row>
    <row r="62" spans="2:16" s="92" customFormat="1" ht="13.15" customHeight="1">
      <c r="B62" s="153">
        <v>45</v>
      </c>
      <c r="C62" s="670"/>
      <c r="D62" s="154" t="s">
        <v>197</v>
      </c>
      <c r="E62" s="134" t="s">
        <v>29</v>
      </c>
      <c r="F62" s="157">
        <v>1976.4359999999999</v>
      </c>
      <c r="G62" s="159"/>
      <c r="H62" s="110">
        <f t="shared" si="10"/>
        <v>1976.4359999999999</v>
      </c>
      <c r="I62" s="156">
        <v>3136.616</v>
      </c>
      <c r="J62" s="156">
        <v>0</v>
      </c>
      <c r="K62" s="156"/>
      <c r="L62" s="114">
        <f t="shared" si="6"/>
        <v>-1160.18</v>
      </c>
      <c r="M62" s="115">
        <f t="shared" si="4"/>
        <v>1.5870061059401874</v>
      </c>
      <c r="N62" s="116" t="str">
        <f>+'IC ANCH-SARC VIII'!O48</f>
        <v>-</v>
      </c>
      <c r="P62" s="580">
        <f t="shared" si="7"/>
        <v>0</v>
      </c>
    </row>
    <row r="63" spans="2:16" s="92" customFormat="1" ht="13.15" customHeight="1">
      <c r="B63" s="153">
        <v>46</v>
      </c>
      <c r="C63" s="670"/>
      <c r="D63" s="154" t="s">
        <v>198</v>
      </c>
      <c r="E63" s="134" t="s">
        <v>29</v>
      </c>
      <c r="F63" s="157">
        <v>478.88499999999999</v>
      </c>
      <c r="G63" s="159"/>
      <c r="H63" s="110">
        <f t="shared" si="10"/>
        <v>478.88499999999999</v>
      </c>
      <c r="I63" s="156">
        <v>316.58699999999999</v>
      </c>
      <c r="J63" s="156">
        <v>0</v>
      </c>
      <c r="K63" s="156"/>
      <c r="L63" s="114">
        <f t="shared" si="6"/>
        <v>162.298</v>
      </c>
      <c r="M63" s="115">
        <f t="shared" si="4"/>
        <v>0.66109191141923429</v>
      </c>
      <c r="N63" s="116" t="str">
        <f>+'IC ANCH-SARC VIII'!O49</f>
        <v>-</v>
      </c>
      <c r="P63" s="580">
        <f t="shared" si="7"/>
        <v>0</v>
      </c>
    </row>
    <row r="64" spans="2:16" s="92" customFormat="1" ht="13.15" customHeight="1">
      <c r="B64" s="153">
        <v>47</v>
      </c>
      <c r="C64" s="670"/>
      <c r="D64" s="154" t="s">
        <v>199</v>
      </c>
      <c r="E64" s="134" t="s">
        <v>29</v>
      </c>
      <c r="F64" s="157">
        <v>2272.761</v>
      </c>
      <c r="G64" s="159">
        <v>-2</v>
      </c>
      <c r="H64" s="110">
        <f t="shared" si="10"/>
        <v>2270.761</v>
      </c>
      <c r="I64" s="156">
        <v>2592.4180000000001</v>
      </c>
      <c r="J64" s="156">
        <v>0</v>
      </c>
      <c r="K64" s="156"/>
      <c r="L64" s="114">
        <f t="shared" si="6"/>
        <v>-321.65700000000015</v>
      </c>
      <c r="M64" s="115">
        <f t="shared" si="4"/>
        <v>1.1416516313253575</v>
      </c>
      <c r="N64" s="116" t="str">
        <f>+'IC ANCH-SARC VIII'!O50</f>
        <v>-</v>
      </c>
      <c r="O64" s="92">
        <v>-2</v>
      </c>
      <c r="P64" s="580">
        <f t="shared" si="7"/>
        <v>0</v>
      </c>
    </row>
    <row r="65" spans="1:16" s="92" customFormat="1" ht="13.15" customHeight="1">
      <c r="B65" s="153">
        <v>48</v>
      </c>
      <c r="C65" s="670"/>
      <c r="D65" s="154" t="s">
        <v>200</v>
      </c>
      <c r="E65" s="134" t="s">
        <v>29</v>
      </c>
      <c r="F65" s="157">
        <v>661.48099999999999</v>
      </c>
      <c r="G65" s="159">
        <v>-5</v>
      </c>
      <c r="H65" s="110">
        <f t="shared" si="10"/>
        <v>656.48099999999999</v>
      </c>
      <c r="I65" s="156">
        <v>528.43100000000004</v>
      </c>
      <c r="J65" s="156">
        <v>0</v>
      </c>
      <c r="K65" s="156"/>
      <c r="L65" s="114">
        <f t="shared" si="6"/>
        <v>128.04999999999995</v>
      </c>
      <c r="M65" s="115">
        <f t="shared" si="4"/>
        <v>0.80494484988902959</v>
      </c>
      <c r="N65" s="116" t="str">
        <f>+'IC ANCH-SARC VIII'!O51</f>
        <v>-</v>
      </c>
      <c r="O65" s="92">
        <v>-5</v>
      </c>
      <c r="P65" s="580">
        <f t="shared" si="7"/>
        <v>0</v>
      </c>
    </row>
    <row r="66" spans="1:16" s="92" customFormat="1" ht="13.15" customHeight="1">
      <c r="B66" s="153">
        <v>49</v>
      </c>
      <c r="C66" s="670"/>
      <c r="D66" s="154" t="s">
        <v>201</v>
      </c>
      <c r="E66" s="134" t="s">
        <v>29</v>
      </c>
      <c r="F66" s="157">
        <v>1091.8589999999999</v>
      </c>
      <c r="G66" s="159"/>
      <c r="H66" s="110">
        <f t="shared" si="10"/>
        <v>1091.8589999999999</v>
      </c>
      <c r="I66" s="156">
        <v>1742.58</v>
      </c>
      <c r="J66" s="156">
        <v>0</v>
      </c>
      <c r="K66" s="156"/>
      <c r="L66" s="114">
        <f t="shared" si="6"/>
        <v>-650.721</v>
      </c>
      <c r="M66" s="115">
        <f t="shared" si="4"/>
        <v>1.5959753045036036</v>
      </c>
      <c r="N66" s="116" t="str">
        <f>+'IC ANCH-SARC VIII'!O52</f>
        <v>-</v>
      </c>
      <c r="P66" s="580">
        <f t="shared" si="7"/>
        <v>0</v>
      </c>
    </row>
    <row r="67" spans="1:16" s="92" customFormat="1" ht="13.15" customHeight="1">
      <c r="B67" s="153">
        <v>50</v>
      </c>
      <c r="C67" s="670"/>
      <c r="D67" s="154" t="s">
        <v>202</v>
      </c>
      <c r="E67" s="134" t="s">
        <v>29</v>
      </c>
      <c r="F67" s="157">
        <v>1789.807</v>
      </c>
      <c r="G67" s="159">
        <v>-10</v>
      </c>
      <c r="H67" s="110">
        <f t="shared" si="10"/>
        <v>1779.807</v>
      </c>
      <c r="I67" s="156">
        <v>2084.3110000000001</v>
      </c>
      <c r="J67" s="156">
        <v>0</v>
      </c>
      <c r="K67" s="156"/>
      <c r="L67" s="114">
        <f t="shared" si="6"/>
        <v>-304.50400000000013</v>
      </c>
      <c r="M67" s="115">
        <f t="shared" si="4"/>
        <v>1.1710882134973062</v>
      </c>
      <c r="N67" s="116" t="str">
        <f>+'IC ANCH-SARC VIII'!O53</f>
        <v>-</v>
      </c>
      <c r="O67" s="92">
        <v>-10</v>
      </c>
      <c r="P67" s="580">
        <f t="shared" si="7"/>
        <v>0</v>
      </c>
    </row>
    <row r="68" spans="1:16" s="92" customFormat="1" ht="13.15" customHeight="1">
      <c r="B68" s="153">
        <v>51</v>
      </c>
      <c r="C68" s="670"/>
      <c r="D68" s="154" t="s">
        <v>203</v>
      </c>
      <c r="E68" s="134" t="s">
        <v>29</v>
      </c>
      <c r="F68" s="157">
        <v>287.48599999999999</v>
      </c>
      <c r="G68" s="159">
        <f>-11.94-110.85-22.9-28.7-53.7</f>
        <v>-228.08999999999997</v>
      </c>
      <c r="H68" s="110">
        <f t="shared" si="10"/>
        <v>59.396000000000015</v>
      </c>
      <c r="I68" s="156">
        <v>59.408999999999999</v>
      </c>
      <c r="J68" s="156">
        <v>0</v>
      </c>
      <c r="K68" s="156"/>
      <c r="L68" s="114">
        <f t="shared" si="6"/>
        <v>-1.2999999999983913E-2</v>
      </c>
      <c r="M68" s="115">
        <f t="shared" si="4"/>
        <v>1.0002188699575727</v>
      </c>
      <c r="N68" s="160">
        <f>+'IC ANCH-SARC VIII'!O54</f>
        <v>43628</v>
      </c>
      <c r="O68" s="92">
        <v>-228.09</v>
      </c>
      <c r="P68" s="580">
        <f t="shared" si="7"/>
        <v>0</v>
      </c>
    </row>
    <row r="69" spans="1:16" s="92" customFormat="1" ht="13.15" customHeight="1">
      <c r="A69" s="171"/>
      <c r="B69" s="153">
        <v>52</v>
      </c>
      <c r="C69" s="670"/>
      <c r="D69" s="154" t="s">
        <v>204</v>
      </c>
      <c r="E69" s="134" t="s">
        <v>29</v>
      </c>
      <c r="F69" s="157">
        <v>2935.2779999999998</v>
      </c>
      <c r="G69" s="159">
        <f>-6+61-27.65+22.9-1+50</f>
        <v>99.25</v>
      </c>
      <c r="H69" s="110">
        <f t="shared" si="10"/>
        <v>3034.5279999999998</v>
      </c>
      <c r="I69" s="156">
        <v>2316.15</v>
      </c>
      <c r="J69" s="156">
        <v>475.714</v>
      </c>
      <c r="K69" s="156"/>
      <c r="L69" s="114">
        <f t="shared" si="6"/>
        <v>242.6639999999997</v>
      </c>
      <c r="M69" s="115">
        <f t="shared" si="4"/>
        <v>0.92003237406278682</v>
      </c>
      <c r="N69" s="116" t="str">
        <f>+'IC ANCH-SARC VIII'!O55</f>
        <v>-</v>
      </c>
      <c r="O69" s="92">
        <v>99.25</v>
      </c>
      <c r="P69" s="580">
        <f t="shared" si="7"/>
        <v>0</v>
      </c>
    </row>
    <row r="70" spans="1:16" s="92" customFormat="1" ht="13.15" customHeight="1">
      <c r="B70" s="153">
        <v>53</v>
      </c>
      <c r="C70" s="670"/>
      <c r="D70" s="165" t="s">
        <v>205</v>
      </c>
      <c r="E70" s="134" t="s">
        <v>29</v>
      </c>
      <c r="F70" s="157">
        <v>31.702000000000002</v>
      </c>
      <c r="G70" s="114">
        <f>-15-9-5</f>
        <v>-29</v>
      </c>
      <c r="H70" s="110">
        <f t="shared" si="10"/>
        <v>2.7020000000000017</v>
      </c>
      <c r="I70" s="156">
        <v>2.379</v>
      </c>
      <c r="J70" s="156">
        <v>0</v>
      </c>
      <c r="K70" s="156"/>
      <c r="L70" s="114">
        <f t="shared" si="6"/>
        <v>0.32300000000000173</v>
      </c>
      <c r="M70" s="115">
        <f t="shared" si="4"/>
        <v>0.88045891931902243</v>
      </c>
      <c r="N70" s="116">
        <f>+'IC ANCH-SARC VIII'!O56</f>
        <v>43641</v>
      </c>
      <c r="O70" s="92">
        <v>-29</v>
      </c>
      <c r="P70" s="580">
        <f t="shared" si="7"/>
        <v>0</v>
      </c>
    </row>
    <row r="71" spans="1:16" s="92" customFormat="1" ht="13.15" customHeight="1">
      <c r="B71" s="153">
        <v>54</v>
      </c>
      <c r="C71" s="670"/>
      <c r="D71" s="154" t="s">
        <v>206</v>
      </c>
      <c r="E71" s="134" t="s">
        <v>29</v>
      </c>
      <c r="F71" s="157">
        <v>0.99199999999999999</v>
      </c>
      <c r="G71" s="161">
        <v>-1</v>
      </c>
      <c r="H71" s="110">
        <f t="shared" si="10"/>
        <v>-8.0000000000000071E-3</v>
      </c>
      <c r="I71" s="156">
        <v>0</v>
      </c>
      <c r="J71" s="156">
        <v>0</v>
      </c>
      <c r="K71" s="156"/>
      <c r="L71" s="114">
        <f t="shared" si="6"/>
        <v>-8.0000000000000071E-3</v>
      </c>
      <c r="M71" s="115">
        <f t="shared" si="4"/>
        <v>0</v>
      </c>
      <c r="N71" s="116">
        <f>+'IC ANCH-SARC VIII'!O57</f>
        <v>43641</v>
      </c>
      <c r="O71" s="92">
        <v>-1</v>
      </c>
      <c r="P71" s="580">
        <f t="shared" si="7"/>
        <v>0</v>
      </c>
    </row>
    <row r="72" spans="1:16" s="92" customFormat="1" ht="13.15" customHeight="1">
      <c r="B72" s="153">
        <v>55</v>
      </c>
      <c r="C72" s="670"/>
      <c r="D72" s="154" t="s">
        <v>207</v>
      </c>
      <c r="E72" s="134" t="s">
        <v>29</v>
      </c>
      <c r="F72" s="157">
        <v>3204.087</v>
      </c>
      <c r="G72" s="159"/>
      <c r="H72" s="110">
        <f t="shared" si="10"/>
        <v>3204.087</v>
      </c>
      <c r="I72" s="156">
        <v>5475.0339999999997</v>
      </c>
      <c r="J72" s="156">
        <v>0</v>
      </c>
      <c r="K72" s="156"/>
      <c r="L72" s="114">
        <f t="shared" si="6"/>
        <v>-2270.9469999999997</v>
      </c>
      <c r="M72" s="115">
        <f t="shared" si="4"/>
        <v>1.7087657107937455</v>
      </c>
      <c r="N72" s="116" t="str">
        <f>+'IC ANCH-SARC VIII'!O58</f>
        <v>-</v>
      </c>
      <c r="P72" s="580">
        <f t="shared" si="7"/>
        <v>0</v>
      </c>
    </row>
    <row r="73" spans="1:16" s="92" customFormat="1" ht="13.15" customHeight="1">
      <c r="B73" s="153">
        <v>56</v>
      </c>
      <c r="C73" s="670"/>
      <c r="D73" s="154" t="s">
        <v>208</v>
      </c>
      <c r="E73" s="134" t="s">
        <v>29</v>
      </c>
      <c r="F73" s="157">
        <v>891.84199999999998</v>
      </c>
      <c r="G73" s="159">
        <v>70</v>
      </c>
      <c r="H73" s="110">
        <f t="shared" si="10"/>
        <v>961.84199999999998</v>
      </c>
      <c r="I73" s="156">
        <v>966.13300000000004</v>
      </c>
      <c r="J73" s="156">
        <v>46.902000000000001</v>
      </c>
      <c r="K73" s="156"/>
      <c r="L73" s="114">
        <f t="shared" si="6"/>
        <v>-51.193000000000055</v>
      </c>
      <c r="M73" s="115">
        <f t="shared" si="4"/>
        <v>1.0532239182734795</v>
      </c>
      <c r="N73" s="160" t="str">
        <f>+'IC ANCH-SARC VIII'!O59</f>
        <v>-</v>
      </c>
      <c r="O73" s="92">
        <v>70</v>
      </c>
      <c r="P73" s="580">
        <f t="shared" si="7"/>
        <v>0</v>
      </c>
    </row>
    <row r="74" spans="1:16" s="92" customFormat="1" ht="13.15" customHeight="1">
      <c r="B74" s="153">
        <v>57</v>
      </c>
      <c r="C74" s="670"/>
      <c r="D74" s="154" t="s">
        <v>209</v>
      </c>
      <c r="E74" s="134" t="s">
        <v>29</v>
      </c>
      <c r="F74" s="157">
        <v>876.46500000000003</v>
      </c>
      <c r="G74" s="261"/>
      <c r="H74" s="110">
        <f t="shared" si="10"/>
        <v>876.46500000000003</v>
      </c>
      <c r="I74" s="156">
        <v>954.74</v>
      </c>
      <c r="J74" s="156">
        <v>0</v>
      </c>
      <c r="K74" s="156"/>
      <c r="L74" s="114">
        <f t="shared" si="6"/>
        <v>-78.274999999999977</v>
      </c>
      <c r="M74" s="115">
        <f t="shared" si="4"/>
        <v>1.0893076163908428</v>
      </c>
      <c r="N74" s="116" t="str">
        <f>+'IC ANCH-SARC VIII'!O60</f>
        <v>-</v>
      </c>
      <c r="P74" s="580">
        <f t="shared" si="7"/>
        <v>0</v>
      </c>
    </row>
    <row r="75" spans="1:16" s="92" customFormat="1" ht="13.15" customHeight="1">
      <c r="B75" s="153">
        <v>58</v>
      </c>
      <c r="C75" s="670"/>
      <c r="D75" s="154" t="s">
        <v>210</v>
      </c>
      <c r="E75" s="134" t="s">
        <v>29</v>
      </c>
      <c r="F75" s="157">
        <v>484.58300000000003</v>
      </c>
      <c r="G75" s="163">
        <v>-80</v>
      </c>
      <c r="H75" s="110">
        <f t="shared" si="10"/>
        <v>404.58300000000003</v>
      </c>
      <c r="I75" s="156">
        <v>294.38900000000001</v>
      </c>
      <c r="J75" s="156">
        <v>0</v>
      </c>
      <c r="K75" s="156"/>
      <c r="L75" s="114">
        <f t="shared" si="6"/>
        <v>110.19400000000002</v>
      </c>
      <c r="M75" s="115">
        <f t="shared" si="4"/>
        <v>0.72763561494180429</v>
      </c>
      <c r="N75" s="116" t="str">
        <f>+'IC ANCH-SARC VIII'!O61</f>
        <v>-</v>
      </c>
      <c r="O75" s="92">
        <v>-80</v>
      </c>
      <c r="P75" s="580">
        <f t="shared" si="7"/>
        <v>0</v>
      </c>
    </row>
    <row r="76" spans="1:16" s="92" customFormat="1" ht="13.15" customHeight="1">
      <c r="B76" s="153">
        <v>59</v>
      </c>
      <c r="C76" s="670"/>
      <c r="D76" s="154" t="s">
        <v>211</v>
      </c>
      <c r="E76" s="134" t="s">
        <v>29</v>
      </c>
      <c r="F76" s="157">
        <v>252.87700000000001</v>
      </c>
      <c r="G76" s="159"/>
      <c r="H76" s="110">
        <f t="shared" si="10"/>
        <v>252.87700000000001</v>
      </c>
      <c r="I76" s="156">
        <v>197.44499999999999</v>
      </c>
      <c r="J76" s="156">
        <v>0</v>
      </c>
      <c r="K76" s="156"/>
      <c r="L76" s="114">
        <f t="shared" si="6"/>
        <v>55.432000000000016</v>
      </c>
      <c r="M76" s="115">
        <f t="shared" si="4"/>
        <v>0.78079461556408847</v>
      </c>
      <c r="N76" s="116" t="str">
        <f>+'IC ANCH-SARC VIII'!O62</f>
        <v>-</v>
      </c>
      <c r="P76" s="580">
        <f t="shared" si="7"/>
        <v>0</v>
      </c>
    </row>
    <row r="77" spans="1:16" s="92" customFormat="1" ht="13.15" customHeight="1">
      <c r="B77" s="153">
        <v>60</v>
      </c>
      <c r="C77" s="670"/>
      <c r="D77" s="154" t="s">
        <v>212</v>
      </c>
      <c r="E77" s="134" t="s">
        <v>29</v>
      </c>
      <c r="F77" s="157">
        <v>1256.4549999999999</v>
      </c>
      <c r="G77" s="159"/>
      <c r="H77" s="110">
        <f t="shared" si="10"/>
        <v>1256.4549999999999</v>
      </c>
      <c r="I77" s="156">
        <v>1352.048</v>
      </c>
      <c r="J77" s="156">
        <v>0</v>
      </c>
      <c r="K77" s="156"/>
      <c r="L77" s="114">
        <f t="shared" si="6"/>
        <v>-95.593000000000075</v>
      </c>
      <c r="M77" s="115">
        <f t="shared" si="4"/>
        <v>1.0760815150562495</v>
      </c>
      <c r="N77" s="116" t="str">
        <f>+'IC ANCH-SARC VIII'!O63</f>
        <v>-</v>
      </c>
      <c r="P77" s="580">
        <f t="shared" si="7"/>
        <v>0</v>
      </c>
    </row>
    <row r="78" spans="1:16" s="92" customFormat="1" ht="13.15" customHeight="1">
      <c r="B78" s="153">
        <v>61</v>
      </c>
      <c r="C78" s="670"/>
      <c r="D78" s="154" t="s">
        <v>213</v>
      </c>
      <c r="E78" s="134" t="s">
        <v>29</v>
      </c>
      <c r="F78" s="157">
        <v>1494.5719999999999</v>
      </c>
      <c r="G78" s="159">
        <f>-2+131</f>
        <v>129</v>
      </c>
      <c r="H78" s="110">
        <f t="shared" si="10"/>
        <v>1623.5719999999999</v>
      </c>
      <c r="I78" s="156">
        <v>2050.7159999999999</v>
      </c>
      <c r="J78" s="156">
        <v>0</v>
      </c>
      <c r="K78" s="156"/>
      <c r="L78" s="114">
        <f t="shared" si="6"/>
        <v>-427.14400000000001</v>
      </c>
      <c r="M78" s="115">
        <f t="shared" si="4"/>
        <v>1.2630890407077728</v>
      </c>
      <c r="N78" s="160" t="str">
        <f>+'IC ANCH-SARC VIII'!O64</f>
        <v>-</v>
      </c>
      <c r="O78" s="92">
        <v>129</v>
      </c>
      <c r="P78" s="580">
        <f t="shared" si="7"/>
        <v>0</v>
      </c>
    </row>
    <row r="79" spans="1:16" s="92" customFormat="1" ht="13.15" customHeight="1">
      <c r="B79" s="153">
        <v>62</v>
      </c>
      <c r="C79" s="670"/>
      <c r="D79" s="154" t="s">
        <v>214</v>
      </c>
      <c r="E79" s="134" t="s">
        <v>29</v>
      </c>
      <c r="F79" s="157">
        <v>377.97500000000002</v>
      </c>
      <c r="G79" s="158"/>
      <c r="H79" s="110">
        <f t="shared" si="10"/>
        <v>377.97500000000002</v>
      </c>
      <c r="I79" s="156">
        <v>313.52600000000001</v>
      </c>
      <c r="J79" s="156">
        <v>0</v>
      </c>
      <c r="K79" s="156"/>
      <c r="L79" s="114">
        <f t="shared" si="6"/>
        <v>64.449000000000012</v>
      </c>
      <c r="M79" s="115">
        <f t="shared" ref="M79:M94" si="11">+(I79+J79+K79)/H79</f>
        <v>0.82948872279912689</v>
      </c>
      <c r="N79" s="116" t="str">
        <f>+'IC ANCH-SARC VIII'!O65</f>
        <v>-</v>
      </c>
      <c r="P79" s="580">
        <f t="shared" si="7"/>
        <v>0</v>
      </c>
    </row>
    <row r="80" spans="1:16" s="92" customFormat="1" ht="13.15" customHeight="1">
      <c r="B80" s="153">
        <v>63</v>
      </c>
      <c r="C80" s="670"/>
      <c r="D80" s="154" t="s">
        <v>215</v>
      </c>
      <c r="E80" s="134" t="s">
        <v>29</v>
      </c>
      <c r="F80" s="157">
        <v>1139.4780000000001</v>
      </c>
      <c r="G80" s="159">
        <f>-22-59-59-233-24-80-30-30-40-131</f>
        <v>-708</v>
      </c>
      <c r="H80" s="110">
        <f t="shared" si="10"/>
        <v>431.47800000000007</v>
      </c>
      <c r="I80" s="156">
        <v>456.59699999999998</v>
      </c>
      <c r="J80" s="156">
        <v>0</v>
      </c>
      <c r="K80" s="156"/>
      <c r="L80" s="114">
        <f t="shared" si="6"/>
        <v>-25.118999999999915</v>
      </c>
      <c r="M80" s="115">
        <f t="shared" si="11"/>
        <v>1.0582161778816068</v>
      </c>
      <c r="N80" s="116" t="str">
        <f>+'IC ANCH-SARC VIII'!O66</f>
        <v>-</v>
      </c>
      <c r="O80" s="92">
        <v>-708</v>
      </c>
      <c r="P80" s="580">
        <f t="shared" si="7"/>
        <v>0</v>
      </c>
    </row>
    <row r="81" spans="1:16" s="92" customFormat="1" ht="13.15" customHeight="1">
      <c r="B81" s="153">
        <v>64</v>
      </c>
      <c r="C81" s="670"/>
      <c r="D81" s="154" t="s">
        <v>216</v>
      </c>
      <c r="E81" s="134" t="s">
        <v>29</v>
      </c>
      <c r="F81" s="157">
        <v>206.73599999999999</v>
      </c>
      <c r="G81" s="159"/>
      <c r="H81" s="110">
        <f t="shared" si="10"/>
        <v>206.73599999999999</v>
      </c>
      <c r="I81" s="156">
        <v>23.762</v>
      </c>
      <c r="J81" s="156">
        <v>0</v>
      </c>
      <c r="K81" s="156"/>
      <c r="L81" s="114">
        <f t="shared" si="6"/>
        <v>182.97399999999999</v>
      </c>
      <c r="M81" s="115">
        <f t="shared" si="11"/>
        <v>0.1149388592214225</v>
      </c>
      <c r="N81" s="116" t="str">
        <f>+'IC ANCH-SARC VIII'!O67</f>
        <v>-</v>
      </c>
      <c r="P81" s="580">
        <f t="shared" si="7"/>
        <v>0</v>
      </c>
    </row>
    <row r="82" spans="1:16" s="92" customFormat="1" ht="13.15" customHeight="1">
      <c r="A82" s="171"/>
      <c r="B82" s="153">
        <v>65</v>
      </c>
      <c r="C82" s="670"/>
      <c r="D82" s="154" t="s">
        <v>217</v>
      </c>
      <c r="E82" s="134" t="s">
        <v>29</v>
      </c>
      <c r="F82" s="157">
        <v>705.596</v>
      </c>
      <c r="G82" s="159"/>
      <c r="H82" s="110">
        <f t="shared" si="10"/>
        <v>705.596</v>
      </c>
      <c r="I82" s="156">
        <v>850.43499999999995</v>
      </c>
      <c r="J82" s="156">
        <v>0</v>
      </c>
      <c r="K82" s="156"/>
      <c r="L82" s="114">
        <f t="shared" si="6"/>
        <v>-144.83899999999994</v>
      </c>
      <c r="M82" s="115">
        <f t="shared" si="11"/>
        <v>1.2052718552826263</v>
      </c>
      <c r="N82" s="116" t="str">
        <f>+'IC ANCH-SARC VIII'!O68</f>
        <v>-</v>
      </c>
      <c r="P82" s="580">
        <f t="shared" si="7"/>
        <v>0</v>
      </c>
    </row>
    <row r="83" spans="1:16" s="92" customFormat="1" ht="13.15" customHeight="1">
      <c r="B83" s="153">
        <v>66</v>
      </c>
      <c r="C83" s="670"/>
      <c r="D83" s="154" t="s">
        <v>218</v>
      </c>
      <c r="E83" s="134" t="s">
        <v>29</v>
      </c>
      <c r="F83" s="157">
        <v>1129.7190000000001</v>
      </c>
      <c r="G83" s="159">
        <f>55+5+75</f>
        <v>135</v>
      </c>
      <c r="H83" s="172">
        <f t="shared" si="10"/>
        <v>1264.7190000000001</v>
      </c>
      <c r="I83" s="156">
        <v>1744.96</v>
      </c>
      <c r="J83" s="156">
        <v>14.842000000000001</v>
      </c>
      <c r="K83" s="156"/>
      <c r="L83" s="114">
        <f t="shared" ref="L83:L93" si="12">+H83-I83-J83-K83</f>
        <v>-495.08299999999997</v>
      </c>
      <c r="M83" s="115">
        <f t="shared" si="11"/>
        <v>1.3914569165166333</v>
      </c>
      <c r="N83" s="116" t="str">
        <f>+'IC ANCH-SARC VIII'!O69</f>
        <v>-</v>
      </c>
      <c r="O83" s="92">
        <v>135</v>
      </c>
      <c r="P83" s="580">
        <f t="shared" ref="P83:P92" si="13">+O83-G83</f>
        <v>0</v>
      </c>
    </row>
    <row r="84" spans="1:16" s="92" customFormat="1" ht="13.15" customHeight="1">
      <c r="B84" s="153">
        <v>67</v>
      </c>
      <c r="C84" s="670"/>
      <c r="D84" s="154" t="s">
        <v>219</v>
      </c>
      <c r="E84" s="134" t="s">
        <v>29</v>
      </c>
      <c r="F84" s="157">
        <v>1260.203</v>
      </c>
      <c r="G84" s="159"/>
      <c r="H84" s="110">
        <f t="shared" si="10"/>
        <v>1260.203</v>
      </c>
      <c r="I84" s="156">
        <v>1531.614</v>
      </c>
      <c r="J84" s="156">
        <v>0</v>
      </c>
      <c r="K84" s="156"/>
      <c r="L84" s="114">
        <f t="shared" si="12"/>
        <v>-271.41100000000006</v>
      </c>
      <c r="M84" s="115">
        <f t="shared" si="11"/>
        <v>1.2153708569174966</v>
      </c>
      <c r="N84" s="116" t="str">
        <f>+'IC ANCH-SARC VIII'!O70</f>
        <v>-</v>
      </c>
      <c r="P84" s="580">
        <f t="shared" si="13"/>
        <v>0</v>
      </c>
    </row>
    <row r="85" spans="1:16" s="92" customFormat="1" ht="13.15" customHeight="1">
      <c r="B85" s="153">
        <v>68</v>
      </c>
      <c r="C85" s="670"/>
      <c r="D85" s="154" t="s">
        <v>220</v>
      </c>
      <c r="E85" s="134" t="s">
        <v>29</v>
      </c>
      <c r="F85" s="157">
        <v>1874.2180000000001</v>
      </c>
      <c r="G85" s="159">
        <f>233+45+131</f>
        <v>409</v>
      </c>
      <c r="H85" s="110">
        <f t="shared" si="10"/>
        <v>2283.2179999999998</v>
      </c>
      <c r="I85" s="156">
        <v>2196.4090000000001</v>
      </c>
      <c r="J85" s="156">
        <v>542.88800000000003</v>
      </c>
      <c r="K85" s="156"/>
      <c r="L85" s="114">
        <f t="shared" si="12"/>
        <v>-456.07900000000029</v>
      </c>
      <c r="M85" s="115">
        <f t="shared" si="11"/>
        <v>1.1997527174365306</v>
      </c>
      <c r="N85" s="116" t="str">
        <f>+'IC ANCH-SARC VIII'!O71</f>
        <v>-</v>
      </c>
      <c r="O85" s="92">
        <v>278</v>
      </c>
      <c r="P85" s="580">
        <f t="shared" si="13"/>
        <v>-131</v>
      </c>
    </row>
    <row r="86" spans="1:16" s="92" customFormat="1" ht="13.15" customHeight="1">
      <c r="B86" s="153">
        <v>69</v>
      </c>
      <c r="C86" s="670"/>
      <c r="D86" s="154" t="s">
        <v>221</v>
      </c>
      <c r="E86" s="134" t="s">
        <v>29</v>
      </c>
      <c r="F86" s="157">
        <v>411.34300000000002</v>
      </c>
      <c r="G86" s="159"/>
      <c r="H86" s="110">
        <f t="shared" si="10"/>
        <v>411.34300000000002</v>
      </c>
      <c r="I86" s="156">
        <v>527.28700000000003</v>
      </c>
      <c r="J86" s="156">
        <v>0</v>
      </c>
      <c r="K86" s="156"/>
      <c r="L86" s="114">
        <f t="shared" si="12"/>
        <v>-115.94400000000002</v>
      </c>
      <c r="M86" s="115">
        <f t="shared" si="11"/>
        <v>1.2818669577457256</v>
      </c>
      <c r="N86" s="116" t="str">
        <f>+'IC ANCH-SARC VIII'!O72</f>
        <v>-</v>
      </c>
      <c r="P86" s="580">
        <f t="shared" si="13"/>
        <v>0</v>
      </c>
    </row>
    <row r="87" spans="1:16" s="92" customFormat="1" ht="13.15" customHeight="1">
      <c r="B87" s="153">
        <v>70</v>
      </c>
      <c r="C87" s="670"/>
      <c r="D87" s="154" t="s">
        <v>222</v>
      </c>
      <c r="E87" s="134" t="s">
        <v>29</v>
      </c>
      <c r="F87" s="157">
        <v>11.679</v>
      </c>
      <c r="G87" s="159">
        <f>-2-0.98-1.1-1.9</f>
        <v>-5.98</v>
      </c>
      <c r="H87" s="110">
        <f t="shared" si="10"/>
        <v>5.6989999999999998</v>
      </c>
      <c r="I87" s="156">
        <v>0</v>
      </c>
      <c r="J87" s="156">
        <v>0</v>
      </c>
      <c r="K87" s="156"/>
      <c r="L87" s="114">
        <f t="shared" si="12"/>
        <v>5.6989999999999998</v>
      </c>
      <c r="M87" s="115">
        <f>+(I87+J87+K87)/H87</f>
        <v>0</v>
      </c>
      <c r="N87" s="116" t="str">
        <f>+'IC ANCH-SARC VIII'!O73</f>
        <v>-</v>
      </c>
      <c r="O87" s="92">
        <v>-5.98</v>
      </c>
      <c r="P87" s="580">
        <f t="shared" si="13"/>
        <v>0</v>
      </c>
    </row>
    <row r="88" spans="1:16" s="92" customFormat="1" ht="13.15" customHeight="1">
      <c r="B88" s="153">
        <v>71</v>
      </c>
      <c r="C88" s="670"/>
      <c r="D88" s="154" t="s">
        <v>223</v>
      </c>
      <c r="E88" s="134" t="s">
        <v>29</v>
      </c>
      <c r="F88" s="157">
        <v>182.16900000000001</v>
      </c>
      <c r="G88" s="159">
        <f>-43-40-10.7</f>
        <v>-93.7</v>
      </c>
      <c r="H88" s="110">
        <f t="shared" si="10"/>
        <v>88.469000000000008</v>
      </c>
      <c r="I88" s="156">
        <v>33.908999999999999</v>
      </c>
      <c r="J88" s="156">
        <v>0</v>
      </c>
      <c r="K88" s="156"/>
      <c r="L88" s="114">
        <f t="shared" si="12"/>
        <v>54.560000000000009</v>
      </c>
      <c r="M88" s="115">
        <f t="shared" si="11"/>
        <v>0.38328680102634816</v>
      </c>
      <c r="N88" s="116" t="str">
        <f>+'IC ANCH-SARC VIII'!O74</f>
        <v>-</v>
      </c>
      <c r="O88" s="92">
        <v>-93.7</v>
      </c>
      <c r="P88" s="580">
        <f t="shared" si="13"/>
        <v>0</v>
      </c>
    </row>
    <row r="89" spans="1:16" s="92" customFormat="1" ht="13.15" customHeight="1">
      <c r="B89" s="153">
        <v>72</v>
      </c>
      <c r="C89" s="670"/>
      <c r="D89" s="154" t="s">
        <v>224</v>
      </c>
      <c r="E89" s="134" t="s">
        <v>29</v>
      </c>
      <c r="F89" s="157">
        <v>447.54300000000001</v>
      </c>
      <c r="G89" s="159">
        <f>113.5+22</f>
        <v>135.5</v>
      </c>
      <c r="H89" s="110">
        <f t="shared" si="10"/>
        <v>583.04300000000001</v>
      </c>
      <c r="I89" s="156">
        <v>681.125</v>
      </c>
      <c r="J89" s="156">
        <v>0</v>
      </c>
      <c r="K89" s="156"/>
      <c r="L89" s="114">
        <f t="shared" si="12"/>
        <v>-98.081999999999994</v>
      </c>
      <c r="M89" s="115">
        <f t="shared" si="11"/>
        <v>1.1682242990654206</v>
      </c>
      <c r="N89" s="160" t="str">
        <f>+'IC ANCH-SARC VIII'!O75</f>
        <v>-</v>
      </c>
      <c r="O89" s="92">
        <v>135.5</v>
      </c>
      <c r="P89" s="580">
        <f t="shared" si="13"/>
        <v>0</v>
      </c>
    </row>
    <row r="90" spans="1:16" s="92" customFormat="1" ht="13.15" customHeight="1">
      <c r="B90" s="153">
        <v>73</v>
      </c>
      <c r="C90" s="670"/>
      <c r="D90" s="154" t="s">
        <v>225</v>
      </c>
      <c r="E90" s="134" t="s">
        <v>29</v>
      </c>
      <c r="F90" s="157">
        <v>2278.83</v>
      </c>
      <c r="G90" s="114">
        <f>30+50</f>
        <v>80</v>
      </c>
      <c r="H90" s="110">
        <f t="shared" si="10"/>
        <v>2358.83</v>
      </c>
      <c r="I90" s="156">
        <v>3398.1620000000003</v>
      </c>
      <c r="J90" s="156">
        <v>168.37700000000001</v>
      </c>
      <c r="K90" s="156"/>
      <c r="L90" s="114">
        <f t="shared" si="12"/>
        <v>-1207.7090000000003</v>
      </c>
      <c r="M90" s="115">
        <f t="shared" si="11"/>
        <v>1.5119949296897193</v>
      </c>
      <c r="N90" s="116" t="str">
        <f>+'IC ANCH-SARC VIII'!O76</f>
        <v>-</v>
      </c>
      <c r="O90" s="92">
        <v>80</v>
      </c>
      <c r="P90" s="580">
        <f t="shared" si="13"/>
        <v>0</v>
      </c>
    </row>
    <row r="91" spans="1:16" s="92" customFormat="1" ht="13.15" customHeight="1">
      <c r="B91" s="153">
        <v>74</v>
      </c>
      <c r="C91" s="670"/>
      <c r="D91" s="154" t="s">
        <v>226</v>
      </c>
      <c r="E91" s="134" t="s">
        <v>29</v>
      </c>
      <c r="F91" s="157">
        <v>185.86199999999999</v>
      </c>
      <c r="G91" s="161">
        <f>-10-13-10-6-10-5</f>
        <v>-54</v>
      </c>
      <c r="H91" s="110">
        <f t="shared" si="10"/>
        <v>131.86199999999999</v>
      </c>
      <c r="I91" s="156">
        <v>1494.818</v>
      </c>
      <c r="J91" s="156">
        <v>0</v>
      </c>
      <c r="K91" s="156"/>
      <c r="L91" s="114">
        <f t="shared" si="12"/>
        <v>-1362.9559999999999</v>
      </c>
      <c r="M91" s="115">
        <f t="shared" si="11"/>
        <v>11.33623030137568</v>
      </c>
      <c r="N91" s="116">
        <f>+'IC ANCH-SARC VIII'!O77</f>
        <v>43564</v>
      </c>
      <c r="O91" s="92">
        <v>-54</v>
      </c>
      <c r="P91" s="580">
        <f t="shared" si="13"/>
        <v>0</v>
      </c>
    </row>
    <row r="92" spans="1:16" s="92" customFormat="1" ht="13.15" customHeight="1">
      <c r="B92" s="153">
        <v>75</v>
      </c>
      <c r="C92" s="670"/>
      <c r="D92" s="154" t="s">
        <v>227</v>
      </c>
      <c r="E92" s="134" t="s">
        <v>29</v>
      </c>
      <c r="F92" s="157">
        <v>897.07100000000003</v>
      </c>
      <c r="G92" s="159">
        <f>16.08+1-113.85-22.83-110.8</f>
        <v>-230.39999999999998</v>
      </c>
      <c r="H92" s="110">
        <f t="shared" si="10"/>
        <v>666.67100000000005</v>
      </c>
      <c r="I92" s="156">
        <v>418.41699999999997</v>
      </c>
      <c r="J92" s="156">
        <v>0</v>
      </c>
      <c r="K92" s="156"/>
      <c r="L92" s="114">
        <f t="shared" si="12"/>
        <v>248.25400000000008</v>
      </c>
      <c r="M92" s="115">
        <f t="shared" si="11"/>
        <v>0.62762142046076697</v>
      </c>
      <c r="N92" s="116" t="str">
        <f>+'IC ANCH-SARC VIII'!O78</f>
        <v>-</v>
      </c>
      <c r="O92" s="92">
        <v>-230.39999999999998</v>
      </c>
      <c r="P92" s="580">
        <f t="shared" si="13"/>
        <v>0</v>
      </c>
    </row>
    <row r="93" spans="1:16" s="92" customFormat="1" ht="13.15" customHeight="1">
      <c r="B93" s="153">
        <v>76</v>
      </c>
      <c r="C93" s="671"/>
      <c r="D93" s="133" t="s">
        <v>151</v>
      </c>
      <c r="E93" s="134" t="s">
        <v>29</v>
      </c>
      <c r="F93" s="157">
        <v>90.137</v>
      </c>
      <c r="G93" s="114"/>
      <c r="H93" s="110">
        <f t="shared" si="10"/>
        <v>90.137</v>
      </c>
      <c r="I93" s="164">
        <v>47.334000000000003</v>
      </c>
      <c r="J93" s="164">
        <v>0</v>
      </c>
      <c r="K93" s="164"/>
      <c r="L93" s="114">
        <f t="shared" si="12"/>
        <v>42.802999999999997</v>
      </c>
      <c r="M93" s="115">
        <f t="shared" si="11"/>
        <v>0.52513396274559843</v>
      </c>
      <c r="N93" s="160">
        <f>+'IC ANCH-SARC VIII'!O79</f>
        <v>43533</v>
      </c>
    </row>
    <row r="94" spans="1:16" s="147" customFormat="1" ht="13.15" customHeight="1">
      <c r="B94" s="92"/>
      <c r="C94" s="141"/>
      <c r="D94" s="173"/>
      <c r="E94" s="143"/>
      <c r="F94" s="141">
        <f>SUM(F18:F93)</f>
        <v>73228.024999999965</v>
      </c>
      <c r="G94" s="174">
        <f t="shared" ref="G94:L94" si="14">SUM(G18:G93)</f>
        <v>-205.47999999999996</v>
      </c>
      <c r="H94" s="174">
        <f t="shared" si="14"/>
        <v>73022.544999999955</v>
      </c>
      <c r="I94" s="456">
        <f>SUM(I18:I93)</f>
        <v>86623.483000000007</v>
      </c>
      <c r="J94" s="174">
        <f>SUM(J18:J93)</f>
        <v>2395.0549999999998</v>
      </c>
      <c r="K94" s="174">
        <f t="shared" si="14"/>
        <v>0</v>
      </c>
      <c r="L94" s="174">
        <f t="shared" si="14"/>
        <v>-15995.993</v>
      </c>
      <c r="M94" s="144">
        <f t="shared" si="11"/>
        <v>1.2190555396282075</v>
      </c>
      <c r="N94" s="175"/>
    </row>
    <row r="95" spans="1:16" s="92" customFormat="1" ht="13.15" customHeight="1">
      <c r="C95" s="176" t="s">
        <v>228</v>
      </c>
      <c r="D95" s="108" t="s">
        <v>147</v>
      </c>
      <c r="E95" s="177" t="s">
        <v>29</v>
      </c>
      <c r="F95" s="125">
        <v>1141</v>
      </c>
      <c r="G95" s="110"/>
      <c r="H95" s="110">
        <f>F95+G95</f>
        <v>1141</v>
      </c>
      <c r="I95" s="178">
        <v>303.19300000000004</v>
      </c>
      <c r="J95" s="152"/>
      <c r="K95" s="178"/>
      <c r="L95" s="114">
        <f>+H95-I95-J95-K95</f>
        <v>837.80700000000002</v>
      </c>
      <c r="M95" s="115">
        <f>I95/H95</f>
        <v>0.26572567922874674</v>
      </c>
      <c r="N95" s="179">
        <f>+'IC ANCH-SARC V-VII y IX-X'!O17</f>
        <v>43608</v>
      </c>
    </row>
    <row r="96" spans="1:16" s="147" customFormat="1" ht="13.15" customHeight="1">
      <c r="B96" s="92"/>
      <c r="C96" s="141"/>
      <c r="D96" s="141"/>
      <c r="E96" s="141"/>
      <c r="F96" s="143">
        <f>SUM(F95)</f>
        <v>1141</v>
      </c>
      <c r="G96" s="143">
        <f t="shared" ref="G96:M96" si="15">SUM(G95)</f>
        <v>0</v>
      </c>
      <c r="H96" s="143">
        <f t="shared" si="15"/>
        <v>1141</v>
      </c>
      <c r="I96" s="143">
        <f t="shared" si="15"/>
        <v>303.19300000000004</v>
      </c>
      <c r="J96" s="143">
        <f t="shared" si="15"/>
        <v>0</v>
      </c>
      <c r="K96" s="143">
        <f t="shared" si="15"/>
        <v>0</v>
      </c>
      <c r="L96" s="143">
        <f t="shared" si="15"/>
        <v>837.80700000000002</v>
      </c>
      <c r="M96" s="143">
        <f t="shared" si="15"/>
        <v>0.26572567922874674</v>
      </c>
      <c r="N96" s="146"/>
    </row>
    <row r="97" spans="2:14" s="92" customFormat="1" ht="13.15" customHeight="1">
      <c r="B97" s="92">
        <v>1</v>
      </c>
      <c r="C97" s="672" t="s">
        <v>229</v>
      </c>
      <c r="D97" s="180" t="s">
        <v>230</v>
      </c>
      <c r="E97" s="108" t="s">
        <v>29</v>
      </c>
      <c r="F97" s="148">
        <v>527.88800000000003</v>
      </c>
      <c r="G97" s="110"/>
      <c r="H97" s="110">
        <f t="shared" ref="H97:H107" si="16">F97+G97</f>
        <v>527.88800000000003</v>
      </c>
      <c r="I97" s="181">
        <v>492.91000000000008</v>
      </c>
      <c r="J97" s="181"/>
      <c r="K97" s="181"/>
      <c r="L97" s="114">
        <f t="shared" ref="L97:L107" si="17">+H97-I97-J97-K97</f>
        <v>34.977999999999952</v>
      </c>
      <c r="M97" s="115">
        <f t="shared" ref="M97:M116" si="18">+(I97+J97+K97)/H97</f>
        <v>0.93373973267056654</v>
      </c>
      <c r="N97" s="116" t="str">
        <f>+'IC ANCH-SARC V-VII y IX-X'!O19</f>
        <v>-</v>
      </c>
    </row>
    <row r="98" spans="2:14" s="92" customFormat="1" ht="13.15" customHeight="1">
      <c r="B98" s="92">
        <v>2</v>
      </c>
      <c r="C98" s="673"/>
      <c r="D98" s="180" t="s">
        <v>231</v>
      </c>
      <c r="E98" s="108" t="s">
        <v>29</v>
      </c>
      <c r="F98" s="148">
        <v>941.18200000000002</v>
      </c>
      <c r="G98" s="110"/>
      <c r="H98" s="110">
        <f t="shared" si="16"/>
        <v>941.18200000000002</v>
      </c>
      <c r="I98" s="181">
        <v>385.99499999999995</v>
      </c>
      <c r="J98" s="181"/>
      <c r="K98" s="181"/>
      <c r="L98" s="114">
        <f t="shared" si="17"/>
        <v>555.18700000000013</v>
      </c>
      <c r="M98" s="115">
        <f t="shared" si="18"/>
        <v>0.41011727806099135</v>
      </c>
      <c r="N98" s="116" t="str">
        <f>+'IC ANCH-SARC V-VII y IX-X'!O20</f>
        <v>-</v>
      </c>
    </row>
    <row r="99" spans="2:14" s="92" customFormat="1" ht="13.15" customHeight="1">
      <c r="B99" s="92">
        <v>3</v>
      </c>
      <c r="C99" s="673"/>
      <c r="D99" s="180" t="s">
        <v>232</v>
      </c>
      <c r="E99" s="108" t="s">
        <v>29</v>
      </c>
      <c r="F99" s="148">
        <v>745.24699999999996</v>
      </c>
      <c r="G99" s="110"/>
      <c r="H99" s="110">
        <f t="shared" si="16"/>
        <v>745.24699999999996</v>
      </c>
      <c r="I99" s="181">
        <v>309.59100000000001</v>
      </c>
      <c r="J99" s="181"/>
      <c r="K99" s="181"/>
      <c r="L99" s="114">
        <f t="shared" si="17"/>
        <v>435.65599999999995</v>
      </c>
      <c r="M99" s="115">
        <f t="shared" si="18"/>
        <v>0.41542065919084548</v>
      </c>
      <c r="N99" s="116" t="str">
        <f>+'IC ANCH-SARC V-VII y IX-X'!O21</f>
        <v>-</v>
      </c>
    </row>
    <row r="100" spans="2:14" s="92" customFormat="1" ht="13.15" customHeight="1">
      <c r="B100" s="92">
        <v>4</v>
      </c>
      <c r="C100" s="673"/>
      <c r="D100" s="180" t="s">
        <v>233</v>
      </c>
      <c r="E100" s="108" t="s">
        <v>29</v>
      </c>
      <c r="F100" s="148">
        <v>472.24700000000001</v>
      </c>
      <c r="G100" s="150">
        <f>-50-50-50-25</f>
        <v>-175</v>
      </c>
      <c r="H100" s="110">
        <f t="shared" si="16"/>
        <v>297.24700000000001</v>
      </c>
      <c r="I100" s="181">
        <v>136.58000000000001</v>
      </c>
      <c r="J100" s="181"/>
      <c r="K100" s="181"/>
      <c r="L100" s="114">
        <f t="shared" si="17"/>
        <v>160.667</v>
      </c>
      <c r="M100" s="115">
        <f t="shared" si="18"/>
        <v>0.45948319074708915</v>
      </c>
      <c r="N100" s="116" t="str">
        <f>+'IC ANCH-SARC V-VII y IX-X'!O22</f>
        <v>-</v>
      </c>
    </row>
    <row r="101" spans="2:14" s="92" customFormat="1" ht="13.15" customHeight="1">
      <c r="B101" s="92">
        <v>5</v>
      </c>
      <c r="C101" s="673"/>
      <c r="D101" s="180" t="s">
        <v>234</v>
      </c>
      <c r="E101" s="108" t="s">
        <v>29</v>
      </c>
      <c r="F101" s="148">
        <v>2336.9659999999999</v>
      </c>
      <c r="G101" s="110"/>
      <c r="H101" s="110">
        <f t="shared" si="16"/>
        <v>2336.9659999999999</v>
      </c>
      <c r="I101" s="181">
        <v>681.62599999999998</v>
      </c>
      <c r="J101" s="181"/>
      <c r="K101" s="181"/>
      <c r="L101" s="114">
        <f t="shared" si="17"/>
        <v>1655.34</v>
      </c>
      <c r="M101" s="115">
        <f t="shared" si="18"/>
        <v>0.29167133796555023</v>
      </c>
      <c r="N101" s="116" t="str">
        <f>+'IC ANCH-SARC V-VII y IX-X'!O23</f>
        <v>-</v>
      </c>
    </row>
    <row r="102" spans="2:14" s="92" customFormat="1" ht="13.15" customHeight="1">
      <c r="B102" s="92">
        <v>6</v>
      </c>
      <c r="C102" s="673"/>
      <c r="D102" s="180" t="s">
        <v>235</v>
      </c>
      <c r="E102" s="108" t="s">
        <v>29</v>
      </c>
      <c r="F102" s="148">
        <v>414.99200000000002</v>
      </c>
      <c r="G102" s="110"/>
      <c r="H102" s="110">
        <f t="shared" si="16"/>
        <v>414.99200000000002</v>
      </c>
      <c r="I102" s="181">
        <v>244.97599999999997</v>
      </c>
      <c r="J102" s="181"/>
      <c r="K102" s="181"/>
      <c r="L102" s="114">
        <f t="shared" si="17"/>
        <v>170.01600000000005</v>
      </c>
      <c r="M102" s="115">
        <f t="shared" si="18"/>
        <v>0.59031499402398113</v>
      </c>
      <c r="N102" s="116">
        <f>+'IC ANCH-SARC V-VII y IX-X'!O24</f>
        <v>43630</v>
      </c>
    </row>
    <row r="103" spans="2:14" s="92" customFormat="1" ht="13.15" customHeight="1">
      <c r="B103" s="92">
        <v>7</v>
      </c>
      <c r="C103" s="673"/>
      <c r="D103" s="180" t="s">
        <v>236</v>
      </c>
      <c r="E103" s="108" t="s">
        <v>29</v>
      </c>
      <c r="F103" s="148">
        <v>436.50700000000001</v>
      </c>
      <c r="G103" s="110"/>
      <c r="H103" s="110">
        <f t="shared" si="16"/>
        <v>436.50700000000001</v>
      </c>
      <c r="I103" s="181">
        <v>120.75200000000001</v>
      </c>
      <c r="J103" s="181"/>
      <c r="K103" s="181"/>
      <c r="L103" s="114">
        <f t="shared" si="17"/>
        <v>315.755</v>
      </c>
      <c r="M103" s="115">
        <f t="shared" si="18"/>
        <v>0.27663244804779763</v>
      </c>
      <c r="N103" s="116" t="str">
        <f>+'IC ANCH-SARC V-VII y IX-X'!O25</f>
        <v>-</v>
      </c>
    </row>
    <row r="104" spans="2:14" s="92" customFormat="1" ht="13.15" customHeight="1">
      <c r="B104" s="92">
        <v>8</v>
      </c>
      <c r="C104" s="673"/>
      <c r="D104" s="180" t="s">
        <v>237</v>
      </c>
      <c r="E104" s="108" t="s">
        <v>29</v>
      </c>
      <c r="F104" s="148">
        <v>497.83100000000002</v>
      </c>
      <c r="G104" s="110"/>
      <c r="H104" s="110">
        <f t="shared" si="16"/>
        <v>497.83100000000002</v>
      </c>
      <c r="I104" s="181">
        <v>102.309</v>
      </c>
      <c r="J104" s="181"/>
      <c r="K104" s="181"/>
      <c r="L104" s="114">
        <f t="shared" si="17"/>
        <v>395.52200000000005</v>
      </c>
      <c r="M104" s="115">
        <f t="shared" si="18"/>
        <v>0.2055095002119193</v>
      </c>
      <c r="N104" s="116" t="str">
        <f>+'IC ANCH-SARC V-VII y IX-X'!O26</f>
        <v>-</v>
      </c>
    </row>
    <row r="105" spans="2:14" s="92" customFormat="1" ht="13.15" customHeight="1">
      <c r="B105" s="92">
        <v>9</v>
      </c>
      <c r="C105" s="673"/>
      <c r="D105" s="180" t="s">
        <v>238</v>
      </c>
      <c r="E105" s="108" t="s">
        <v>29</v>
      </c>
      <c r="F105" s="148">
        <v>182.13</v>
      </c>
      <c r="G105" s="110"/>
      <c r="H105" s="110">
        <f t="shared" si="16"/>
        <v>182.13</v>
      </c>
      <c r="I105" s="181">
        <v>0</v>
      </c>
      <c r="J105" s="181"/>
      <c r="K105" s="181"/>
      <c r="L105" s="114">
        <f t="shared" si="17"/>
        <v>182.13</v>
      </c>
      <c r="M105" s="115">
        <f t="shared" si="18"/>
        <v>0</v>
      </c>
      <c r="N105" s="116" t="str">
        <f>+'IC ANCH-SARC V-VII y IX-X'!O27</f>
        <v>-</v>
      </c>
    </row>
    <row r="106" spans="2:14" s="92" customFormat="1" ht="13.15" customHeight="1">
      <c r="B106" s="92">
        <v>10</v>
      </c>
      <c r="C106" s="673"/>
      <c r="D106" s="180" t="s">
        <v>239</v>
      </c>
      <c r="E106" s="108" t="s">
        <v>29</v>
      </c>
      <c r="F106" s="148">
        <v>232.50399999999999</v>
      </c>
      <c r="G106" s="159">
        <f>-22-134.23-71</f>
        <v>-227.23</v>
      </c>
      <c r="H106" s="110">
        <f t="shared" si="16"/>
        <v>5.2740000000000009</v>
      </c>
      <c r="I106" s="181">
        <v>0</v>
      </c>
      <c r="J106" s="181"/>
      <c r="K106" s="181"/>
      <c r="L106" s="114">
        <f t="shared" si="17"/>
        <v>5.2740000000000009</v>
      </c>
      <c r="M106" s="115">
        <f t="shared" si="18"/>
        <v>0</v>
      </c>
      <c r="N106" s="116" t="str">
        <f>+'IC ANCH-SARC V-VII y IX-X'!O28</f>
        <v>-</v>
      </c>
    </row>
    <row r="107" spans="2:14" s="92" customFormat="1" ht="13.15" customHeight="1">
      <c r="B107" s="92">
        <v>11</v>
      </c>
      <c r="C107" s="674"/>
      <c r="D107" s="180" t="s">
        <v>240</v>
      </c>
      <c r="E107" s="108" t="s">
        <v>29</v>
      </c>
      <c r="F107" s="148">
        <v>88.111999999999995</v>
      </c>
      <c r="G107" s="110"/>
      <c r="H107" s="110">
        <f t="shared" si="16"/>
        <v>88.111999999999995</v>
      </c>
      <c r="I107" s="181">
        <v>47.491</v>
      </c>
      <c r="J107" s="181"/>
      <c r="K107" s="181"/>
      <c r="L107" s="114">
        <f t="shared" si="17"/>
        <v>40.620999999999995</v>
      </c>
      <c r="M107" s="115">
        <f t="shared" si="18"/>
        <v>0.53898447430542951</v>
      </c>
      <c r="N107" s="116" t="str">
        <f>+'IC ANCH-SARC V-VII y IX-X'!O29</f>
        <v>-</v>
      </c>
    </row>
    <row r="108" spans="2:14" s="147" customFormat="1" ht="13.15" customHeight="1">
      <c r="B108" s="92"/>
      <c r="C108" s="182"/>
      <c r="D108" s="182"/>
      <c r="E108" s="182"/>
      <c r="F108" s="143">
        <f>SUM(F97:F107)</f>
        <v>6875.6059999999998</v>
      </c>
      <c r="G108" s="459">
        <f t="shared" ref="G108:L108" si="19">SUM(G97:G107)</f>
        <v>-402.23</v>
      </c>
      <c r="H108" s="143">
        <f t="shared" si="19"/>
        <v>6473.3760000000002</v>
      </c>
      <c r="I108" s="143">
        <f t="shared" si="19"/>
        <v>2522.23</v>
      </c>
      <c r="J108" s="143">
        <f t="shared" si="19"/>
        <v>0</v>
      </c>
      <c r="K108" s="143">
        <f t="shared" si="19"/>
        <v>0</v>
      </c>
      <c r="L108" s="143">
        <f t="shared" si="19"/>
        <v>3951.1459999999997</v>
      </c>
      <c r="M108" s="145">
        <f>+(I108+J108+K108)/H108</f>
        <v>0.38963131447949262</v>
      </c>
      <c r="N108" s="183" t="s">
        <v>142</v>
      </c>
    </row>
    <row r="109" spans="2:14" s="92" customFormat="1" ht="13.15" customHeight="1">
      <c r="B109" s="92">
        <v>1</v>
      </c>
      <c r="C109" s="672" t="s">
        <v>241</v>
      </c>
      <c r="D109" s="107" t="s">
        <v>242</v>
      </c>
      <c r="E109" s="573">
        <v>5.7142999999999999E-2</v>
      </c>
      <c r="F109" s="151">
        <f>+E109*'Resumen Pelagicos'!$D$21</f>
        <v>242.057748</v>
      </c>
      <c r="G109" s="159">
        <f>-70-100</f>
        <v>-170</v>
      </c>
      <c r="H109" s="110">
        <f t="shared" ref="H109:H114" si="20">F109+G109</f>
        <v>72.057748000000004</v>
      </c>
      <c r="I109" s="152">
        <v>9.2999999999999999E-2</v>
      </c>
      <c r="J109" s="112"/>
      <c r="K109" s="112"/>
      <c r="L109" s="114">
        <f>H109-I109</f>
        <v>71.964748</v>
      </c>
      <c r="M109" s="115">
        <f t="shared" si="18"/>
        <v>1.290631508495103E-3</v>
      </c>
      <c r="N109" s="169" t="s">
        <v>142</v>
      </c>
    </row>
    <row r="110" spans="2:14" s="92" customFormat="1" ht="13.15" customHeight="1">
      <c r="B110" s="92">
        <v>2</v>
      </c>
      <c r="C110" s="673"/>
      <c r="D110" s="107" t="s">
        <v>243</v>
      </c>
      <c r="E110" s="575">
        <v>0.20391300000000001</v>
      </c>
      <c r="F110" s="151">
        <v>863.77499999999998</v>
      </c>
      <c r="G110" s="159">
        <f>-100-400</f>
        <v>-500</v>
      </c>
      <c r="H110" s="110">
        <f t="shared" si="20"/>
        <v>363.77499999999998</v>
      </c>
      <c r="I110" s="152">
        <v>227.31799999999998</v>
      </c>
      <c r="J110" s="112"/>
      <c r="K110" s="112"/>
      <c r="L110" s="114">
        <f>H110-I110</f>
        <v>136.45699999999999</v>
      </c>
      <c r="M110" s="115">
        <f t="shared" si="18"/>
        <v>0.62488626211256959</v>
      </c>
      <c r="N110" s="184" t="s">
        <v>142</v>
      </c>
    </row>
    <row r="111" spans="2:14" s="92" customFormat="1" ht="13.15" customHeight="1">
      <c r="B111" s="92">
        <v>3</v>
      </c>
      <c r="C111" s="673"/>
      <c r="D111" s="107" t="s">
        <v>244</v>
      </c>
      <c r="E111" s="575">
        <v>0.25734499999999999</v>
      </c>
      <c r="F111" s="151">
        <v>1090.1120000000001</v>
      </c>
      <c r="G111" s="159">
        <v>-660</v>
      </c>
      <c r="H111" s="110">
        <f t="shared" si="20"/>
        <v>430.11200000000008</v>
      </c>
      <c r="I111" s="152">
        <v>197.07100000000003</v>
      </c>
      <c r="J111" s="112"/>
      <c r="K111" s="112"/>
      <c r="L111" s="114">
        <f t="shared" ref="L111:L114" si="21">H111-I111</f>
        <v>233.04100000000005</v>
      </c>
      <c r="M111" s="115">
        <f t="shared" si="18"/>
        <v>0.45818530987277728</v>
      </c>
      <c r="N111" s="169" t="s">
        <v>142</v>
      </c>
    </row>
    <row r="112" spans="2:14" s="92" customFormat="1" ht="13.15" customHeight="1">
      <c r="B112" s="92">
        <v>4</v>
      </c>
      <c r="C112" s="673"/>
      <c r="D112" s="107" t="s">
        <v>245</v>
      </c>
      <c r="E112" s="575">
        <v>7.4871999999999994E-2</v>
      </c>
      <c r="F112" s="151">
        <v>317.15699999999998</v>
      </c>
      <c r="G112" s="159">
        <v>-120</v>
      </c>
      <c r="H112" s="110">
        <f t="shared" si="20"/>
        <v>197.15699999999998</v>
      </c>
      <c r="I112" s="152">
        <v>41.468999999999994</v>
      </c>
      <c r="J112" s="112"/>
      <c r="K112" s="112"/>
      <c r="L112" s="114">
        <f t="shared" si="21"/>
        <v>155.68799999999999</v>
      </c>
      <c r="M112" s="115">
        <f t="shared" si="18"/>
        <v>0.21033491075640226</v>
      </c>
      <c r="N112" s="169" t="s">
        <v>142</v>
      </c>
    </row>
    <row r="113" spans="2:14" s="92" customFormat="1" ht="13.15" customHeight="1">
      <c r="B113" s="92">
        <v>5</v>
      </c>
      <c r="C113" s="673"/>
      <c r="D113" s="107" t="s">
        <v>246</v>
      </c>
      <c r="E113" s="575">
        <v>7.8673000000000007E-2</v>
      </c>
      <c r="F113" s="151">
        <v>333.26100000000002</v>
      </c>
      <c r="G113" s="159">
        <f>-50-100</f>
        <v>-150</v>
      </c>
      <c r="H113" s="110">
        <f t="shared" si="20"/>
        <v>183.26100000000002</v>
      </c>
      <c r="I113" s="152">
        <v>10.605</v>
      </c>
      <c r="J113" s="112"/>
      <c r="K113" s="112"/>
      <c r="L113" s="114">
        <f t="shared" si="21"/>
        <v>172.65600000000003</v>
      </c>
      <c r="M113" s="115">
        <f t="shared" si="18"/>
        <v>5.7868286214742902E-2</v>
      </c>
      <c r="N113" s="169" t="s">
        <v>142</v>
      </c>
    </row>
    <row r="114" spans="2:14" s="92" customFormat="1" ht="13.15" customHeight="1">
      <c r="B114" s="92">
        <v>6</v>
      </c>
      <c r="C114" s="673"/>
      <c r="D114" s="107" t="s">
        <v>247</v>
      </c>
      <c r="E114" s="575">
        <v>4.7795999999999998E-2</v>
      </c>
      <c r="F114" s="151">
        <v>202.46299999999999</v>
      </c>
      <c r="G114" s="159">
        <f>-1-1-1-10</f>
        <v>-13</v>
      </c>
      <c r="H114" s="110">
        <f t="shared" si="20"/>
        <v>189.46299999999999</v>
      </c>
      <c r="I114" s="152">
        <v>1.4709999999999999</v>
      </c>
      <c r="J114" s="185"/>
      <c r="K114" s="185"/>
      <c r="L114" s="114">
        <f t="shared" si="21"/>
        <v>187.99199999999999</v>
      </c>
      <c r="M114" s="115">
        <f t="shared" si="18"/>
        <v>7.764048917202831E-3</v>
      </c>
      <c r="N114" s="169" t="s">
        <v>142</v>
      </c>
    </row>
    <row r="115" spans="2:14" s="187" customFormat="1" ht="13.15" customHeight="1">
      <c r="B115" s="92">
        <v>7</v>
      </c>
      <c r="C115" s="673"/>
      <c r="D115" s="107" t="s">
        <v>248</v>
      </c>
      <c r="E115" s="575">
        <v>3.9432000000000002E-2</v>
      </c>
      <c r="F115" s="151">
        <v>167.036</v>
      </c>
      <c r="G115" s="159">
        <f>-50-20-87</f>
        <v>-157</v>
      </c>
      <c r="H115" s="110">
        <f>F115+G115</f>
        <v>10.036000000000001</v>
      </c>
      <c r="I115" s="152">
        <v>0.14699999999999999</v>
      </c>
      <c r="J115" s="112"/>
      <c r="K115" s="186"/>
      <c r="L115" s="114">
        <f>H115-I115</f>
        <v>9.8890000000000011</v>
      </c>
      <c r="M115" s="115">
        <f>+(I115+J115+K115)/H115</f>
        <v>1.4647269828616976E-2</v>
      </c>
      <c r="N115" s="169" t="s">
        <v>142</v>
      </c>
    </row>
    <row r="116" spans="2:14" s="92" customFormat="1" ht="13.15" customHeight="1">
      <c r="B116" s="92">
        <v>8</v>
      </c>
      <c r="C116" s="673"/>
      <c r="D116" s="107" t="s">
        <v>249</v>
      </c>
      <c r="E116" s="575">
        <v>0.18052599999999999</v>
      </c>
      <c r="F116" s="151">
        <v>764.70899999999995</v>
      </c>
      <c r="G116" s="159">
        <f>-61-25</f>
        <v>-86</v>
      </c>
      <c r="H116" s="110">
        <f t="shared" ref="H116" si="22">F116+G116</f>
        <v>678.70899999999995</v>
      </c>
      <c r="I116" s="152">
        <v>88.536000000000001</v>
      </c>
      <c r="J116" s="112"/>
      <c r="K116" s="112"/>
      <c r="L116" s="114">
        <f>H116-I116</f>
        <v>590.173</v>
      </c>
      <c r="M116" s="115">
        <f t="shared" si="18"/>
        <v>0.13044765871676964</v>
      </c>
      <c r="N116" s="169" t="s">
        <v>142</v>
      </c>
    </row>
    <row r="117" spans="2:14" s="92" customFormat="1" ht="13.15" customHeight="1">
      <c r="B117" s="92">
        <v>9</v>
      </c>
      <c r="C117" s="673"/>
      <c r="D117" s="107" t="s">
        <v>250</v>
      </c>
      <c r="E117" s="575">
        <v>3.4874000000000002E-2</v>
      </c>
      <c r="F117" s="151">
        <v>147.72499999999999</v>
      </c>
      <c r="G117" s="159">
        <f>80-80</f>
        <v>0</v>
      </c>
      <c r="H117" s="110">
        <f>F117+G117</f>
        <v>147.72499999999999</v>
      </c>
      <c r="I117" s="152">
        <v>137.899</v>
      </c>
      <c r="J117" s="112"/>
      <c r="K117" s="112"/>
      <c r="L117" s="114">
        <f>H117-I117</f>
        <v>9.8259999999999934</v>
      </c>
      <c r="M117" s="115">
        <f>+(I117+J117+K117)/H117</f>
        <v>0.93348451514638686</v>
      </c>
      <c r="N117" s="169" t="s">
        <v>142</v>
      </c>
    </row>
    <row r="118" spans="2:14" s="92" customFormat="1" ht="13.15" customHeight="1">
      <c r="B118" s="92">
        <v>10</v>
      </c>
      <c r="C118" s="673"/>
      <c r="D118" s="107" t="s">
        <v>251</v>
      </c>
      <c r="E118" s="574">
        <v>2.5426000000000001E-2</v>
      </c>
      <c r="F118" s="151">
        <v>107.70399999999999</v>
      </c>
      <c r="G118" s="114"/>
      <c r="H118" s="110">
        <f>F118+G118</f>
        <v>107.70399999999999</v>
      </c>
      <c r="I118" s="152">
        <v>84.147000000000006</v>
      </c>
      <c r="J118" s="185"/>
      <c r="K118" s="185"/>
      <c r="L118" s="114">
        <f>H118-I118</f>
        <v>23.556999999999988</v>
      </c>
      <c r="M118" s="115">
        <f>+(I118+J118+K118)/H118</f>
        <v>0.78128017529525373</v>
      </c>
      <c r="N118" s="169" t="s">
        <v>142</v>
      </c>
    </row>
    <row r="119" spans="2:14" s="92" customFormat="1" ht="12.6" customHeight="1">
      <c r="B119" s="92">
        <v>11</v>
      </c>
      <c r="C119" s="674"/>
      <c r="D119" s="188" t="s">
        <v>252</v>
      </c>
      <c r="E119" s="573">
        <v>0</v>
      </c>
      <c r="F119" s="189">
        <v>0</v>
      </c>
      <c r="G119" s="190"/>
      <c r="H119" s="150">
        <f>F119+G119</f>
        <v>0</v>
      </c>
      <c r="I119" s="191">
        <v>0</v>
      </c>
      <c r="J119" s="192"/>
      <c r="K119" s="192"/>
      <c r="L119" s="114">
        <f t="shared" ref="L119" si="23">H119-I119</f>
        <v>0</v>
      </c>
      <c r="M119" s="115">
        <v>0</v>
      </c>
      <c r="N119" s="193" t="s">
        <v>142</v>
      </c>
    </row>
    <row r="120" spans="2:14" s="196" customFormat="1" ht="13.15" customHeight="1">
      <c r="B120" s="194"/>
      <c r="C120" s="182"/>
      <c r="D120" s="182"/>
      <c r="E120" s="182"/>
      <c r="F120" s="195">
        <f t="shared" ref="F120:L120" si="24">SUM(F109:F119)</f>
        <v>4235.9997480000002</v>
      </c>
      <c r="G120" s="195">
        <f t="shared" si="24"/>
        <v>-1856</v>
      </c>
      <c r="H120" s="195">
        <f t="shared" si="24"/>
        <v>2379.9997480000002</v>
      </c>
      <c r="I120" s="195">
        <f t="shared" si="24"/>
        <v>788.75600000000009</v>
      </c>
      <c r="J120" s="195">
        <f t="shared" si="24"/>
        <v>0</v>
      </c>
      <c r="K120" s="195">
        <f t="shared" si="24"/>
        <v>0</v>
      </c>
      <c r="L120" s="195">
        <f t="shared" si="24"/>
        <v>1591.2437480000001</v>
      </c>
      <c r="M120" s="145">
        <f>+(I120+J120+K120)/H120</f>
        <v>0.33141011912409668</v>
      </c>
      <c r="N120" s="183"/>
    </row>
    <row r="121" spans="2:14" ht="13.15" customHeight="1">
      <c r="C121" s="197"/>
      <c r="D121" s="197"/>
      <c r="E121" s="197"/>
      <c r="F121" s="198"/>
      <c r="G121" s="198"/>
      <c r="H121" s="198"/>
      <c r="I121" s="198"/>
      <c r="J121" s="198"/>
      <c r="K121" s="198"/>
      <c r="L121" s="197"/>
      <c r="M121" s="199"/>
    </row>
    <row r="122" spans="2:14" ht="13.15" customHeight="1">
      <c r="C122" s="197"/>
      <c r="D122" s="197"/>
      <c r="E122" s="197"/>
      <c r="F122" s="198"/>
      <c r="G122" s="198"/>
      <c r="H122" s="198"/>
      <c r="I122" s="198"/>
      <c r="J122" s="198"/>
      <c r="K122" s="198"/>
      <c r="L122" s="197"/>
      <c r="M122" s="199"/>
      <c r="N122" s="201"/>
    </row>
    <row r="123" spans="2:14" ht="13.15" customHeight="1">
      <c r="C123" s="197"/>
      <c r="D123" s="197"/>
      <c r="E123" s="197"/>
      <c r="F123" s="198"/>
      <c r="G123" s="198"/>
      <c r="H123" s="198"/>
      <c r="I123" s="198"/>
      <c r="J123" s="198"/>
      <c r="K123" s="198"/>
      <c r="L123" s="197"/>
      <c r="M123" s="199"/>
      <c r="N123" s="201"/>
    </row>
    <row r="124" spans="2:14" ht="13.15" customHeight="1">
      <c r="C124" s="197"/>
      <c r="D124" s="197"/>
      <c r="E124" s="197"/>
      <c r="F124" s="198"/>
      <c r="G124" s="198"/>
      <c r="H124" s="198"/>
      <c r="I124" s="198"/>
      <c r="J124" s="198"/>
      <c r="K124" s="198"/>
      <c r="L124" s="197"/>
      <c r="M124" s="199"/>
      <c r="N124" s="201"/>
    </row>
    <row r="125" spans="2:14" ht="13.15" customHeight="1">
      <c r="C125" s="197"/>
      <c r="D125" s="197"/>
      <c r="E125" s="197"/>
      <c r="F125" s="198"/>
      <c r="G125" s="198"/>
      <c r="H125" s="198"/>
      <c r="I125" s="198"/>
      <c r="J125" s="198"/>
      <c r="K125" s="198"/>
      <c r="L125" s="197"/>
      <c r="M125" s="199"/>
      <c r="N125" s="201"/>
    </row>
    <row r="126" spans="2:14" ht="13.15" customHeight="1">
      <c r="C126" s="197"/>
      <c r="D126" s="197"/>
      <c r="E126" s="197"/>
      <c r="F126" s="198"/>
      <c r="G126" s="198"/>
      <c r="H126" s="198"/>
      <c r="I126" s="198"/>
      <c r="J126" s="198"/>
      <c r="K126" s="198"/>
      <c r="L126" s="197"/>
      <c r="M126" s="199"/>
      <c r="N126" s="201"/>
    </row>
    <row r="127" spans="2:14" ht="13.15" customHeight="1">
      <c r="C127" s="197"/>
      <c r="D127" s="197"/>
      <c r="E127" s="197"/>
      <c r="F127" s="198"/>
      <c r="G127" s="198"/>
      <c r="H127" s="198"/>
      <c r="I127" s="198"/>
      <c r="J127" s="198"/>
      <c r="K127" s="198"/>
      <c r="L127" s="197"/>
      <c r="M127" s="199"/>
      <c r="N127" s="201"/>
    </row>
    <row r="128" spans="2:14" ht="13.15" customHeight="1">
      <c r="C128" s="197"/>
      <c r="D128" s="197"/>
      <c r="E128" s="197"/>
      <c r="F128" s="198"/>
      <c r="G128" s="198"/>
      <c r="H128" s="198"/>
      <c r="I128" s="198"/>
      <c r="J128" s="198"/>
      <c r="K128" s="198"/>
      <c r="L128" s="197"/>
      <c r="M128" s="199"/>
      <c r="N128" s="201"/>
    </row>
    <row r="129" spans="3:14" ht="13.15" customHeight="1">
      <c r="C129" s="197"/>
      <c r="D129" s="197"/>
      <c r="E129" s="197"/>
      <c r="F129" s="198"/>
      <c r="G129" s="198"/>
      <c r="H129" s="198"/>
      <c r="I129" s="198"/>
      <c r="J129" s="198"/>
      <c r="K129" s="198"/>
      <c r="L129" s="197"/>
      <c r="M129" s="199"/>
      <c r="N129" s="201"/>
    </row>
    <row r="130" spans="3:14" ht="13.15" customHeight="1">
      <c r="C130" s="197"/>
      <c r="D130" s="197"/>
      <c r="E130" s="197"/>
      <c r="F130" s="198"/>
      <c r="G130" s="198"/>
      <c r="H130" s="198"/>
      <c r="I130" s="198"/>
      <c r="J130" s="198"/>
      <c r="K130" s="198"/>
      <c r="L130" s="197"/>
      <c r="M130" s="199"/>
      <c r="N130" s="201"/>
    </row>
    <row r="131" spans="3:14" ht="13.15" customHeight="1">
      <c r="C131" s="197"/>
      <c r="D131" s="197"/>
      <c r="E131" s="197"/>
      <c r="F131" s="198"/>
      <c r="G131" s="198"/>
      <c r="H131" s="198"/>
      <c r="I131" s="198"/>
      <c r="J131" s="198"/>
      <c r="K131" s="198"/>
      <c r="L131" s="197"/>
      <c r="M131" s="199"/>
      <c r="N131" s="201"/>
    </row>
    <row r="132" spans="3:14" ht="13.15" customHeight="1">
      <c r="C132" s="197"/>
      <c r="D132" s="197"/>
      <c r="E132" s="197"/>
      <c r="F132" s="198"/>
      <c r="G132" s="198"/>
      <c r="H132" s="198"/>
      <c r="I132" s="198"/>
      <c r="J132" s="198"/>
      <c r="K132" s="198"/>
      <c r="L132" s="197"/>
      <c r="M132" s="199"/>
      <c r="N132" s="201"/>
    </row>
    <row r="133" spans="3:14" ht="13.15" customHeight="1">
      <c r="C133" s="197"/>
      <c r="D133" s="197"/>
      <c r="E133" s="197"/>
      <c r="F133" s="198"/>
      <c r="G133" s="198"/>
      <c r="H133" s="198"/>
      <c r="I133" s="198"/>
      <c r="J133" s="198"/>
      <c r="K133" s="198"/>
      <c r="L133" s="197"/>
      <c r="M133" s="199"/>
      <c r="N133" s="201"/>
    </row>
    <row r="134" spans="3:14" ht="13.15" customHeight="1">
      <c r="C134" s="197"/>
      <c r="D134" s="197"/>
      <c r="E134" s="197"/>
      <c r="F134" s="198"/>
      <c r="G134" s="198"/>
      <c r="H134" s="198"/>
      <c r="I134" s="198"/>
      <c r="J134" s="198"/>
      <c r="K134" s="198"/>
      <c r="L134" s="197"/>
      <c r="M134" s="199"/>
      <c r="N134" s="201"/>
    </row>
    <row r="135" spans="3:14" ht="13.15" customHeight="1">
      <c r="C135" s="197"/>
      <c r="D135" s="197"/>
      <c r="E135" s="197"/>
      <c r="F135" s="198"/>
      <c r="G135" s="198"/>
      <c r="H135" s="198"/>
      <c r="I135" s="198"/>
      <c r="J135" s="198"/>
      <c r="K135" s="198"/>
      <c r="L135" s="197"/>
      <c r="M135" s="199"/>
      <c r="N135" s="201"/>
    </row>
    <row r="136" spans="3:14" ht="13.15" customHeight="1">
      <c r="C136" s="197"/>
      <c r="D136" s="197"/>
      <c r="E136" s="197"/>
      <c r="F136" s="198"/>
      <c r="G136" s="198"/>
      <c r="H136" s="198"/>
      <c r="I136" s="198"/>
      <c r="J136" s="198"/>
      <c r="K136" s="198"/>
      <c r="L136" s="197"/>
      <c r="M136" s="199"/>
      <c r="N136" s="201"/>
    </row>
    <row r="137" spans="3:14" ht="13.15" customHeight="1">
      <c r="C137" s="197"/>
      <c r="D137" s="197"/>
      <c r="E137" s="197"/>
      <c r="F137" s="198"/>
      <c r="G137" s="198"/>
      <c r="H137" s="198"/>
      <c r="I137" s="198"/>
      <c r="J137" s="198"/>
      <c r="K137" s="198"/>
      <c r="L137" s="197"/>
      <c r="M137" s="199"/>
      <c r="N137" s="201"/>
    </row>
    <row r="138" spans="3:14" ht="13.15" customHeight="1">
      <c r="C138" s="197"/>
      <c r="D138" s="197"/>
      <c r="E138" s="197"/>
      <c r="F138" s="198"/>
      <c r="G138" s="198"/>
      <c r="H138" s="198"/>
      <c r="I138" s="198"/>
      <c r="J138" s="198"/>
      <c r="K138" s="198"/>
      <c r="L138" s="197"/>
      <c r="M138" s="199"/>
      <c r="N138" s="201"/>
    </row>
    <row r="139" spans="3:14" ht="13.15" customHeight="1">
      <c r="C139" s="197"/>
      <c r="D139" s="197"/>
      <c r="E139" s="197"/>
      <c r="F139" s="198"/>
      <c r="G139" s="198"/>
      <c r="H139" s="198"/>
      <c r="I139" s="198"/>
      <c r="J139" s="198"/>
      <c r="K139" s="198"/>
      <c r="L139" s="197"/>
      <c r="M139" s="199"/>
      <c r="N139" s="201"/>
    </row>
    <row r="140" spans="3:14" ht="13.15" customHeight="1">
      <c r="C140" s="197"/>
      <c r="D140" s="197"/>
      <c r="E140" s="197"/>
      <c r="F140" s="198"/>
      <c r="G140" s="198"/>
      <c r="H140" s="198"/>
      <c r="I140" s="198"/>
      <c r="J140" s="198"/>
      <c r="K140" s="202"/>
      <c r="L140" s="197"/>
      <c r="M140" s="199"/>
      <c r="N140" s="201"/>
    </row>
    <row r="141" spans="3:14" ht="13.15" customHeight="1">
      <c r="C141" s="197"/>
      <c r="D141" s="197"/>
      <c r="E141" s="197"/>
      <c r="F141" s="198"/>
      <c r="G141" s="198"/>
      <c r="H141" s="198"/>
      <c r="I141" s="198"/>
      <c r="J141" s="198"/>
      <c r="K141" s="198"/>
      <c r="L141" s="197"/>
      <c r="M141" s="199"/>
      <c r="N141" s="201"/>
    </row>
    <row r="142" spans="3:14" ht="13.15" customHeight="1">
      <c r="C142" s="197"/>
      <c r="D142" s="197"/>
      <c r="E142" s="197"/>
      <c r="F142" s="198"/>
      <c r="G142" s="198"/>
      <c r="H142" s="198"/>
      <c r="I142" s="198"/>
      <c r="J142" s="198"/>
      <c r="K142" s="198"/>
      <c r="L142" s="197"/>
      <c r="M142" s="199"/>
      <c r="N142" s="201"/>
    </row>
    <row r="143" spans="3:14" ht="13.15" customHeight="1">
      <c r="C143" s="197"/>
      <c r="D143" s="197"/>
      <c r="E143" s="197"/>
      <c r="F143" s="198"/>
      <c r="G143" s="198"/>
      <c r="H143" s="198"/>
      <c r="I143" s="198"/>
      <c r="J143" s="198"/>
      <c r="K143" s="198"/>
      <c r="L143" s="197"/>
      <c r="M143" s="199"/>
      <c r="N143" s="201"/>
    </row>
    <row r="144" spans="3:14" ht="13.15" customHeight="1">
      <c r="C144" s="197"/>
      <c r="D144" s="197"/>
      <c r="E144" s="197"/>
      <c r="F144" s="198"/>
      <c r="G144" s="198"/>
      <c r="H144" s="198"/>
      <c r="I144" s="198"/>
      <c r="J144" s="198"/>
      <c r="K144" s="198"/>
      <c r="L144" s="197"/>
      <c r="M144" s="199"/>
      <c r="N144" s="201"/>
    </row>
    <row r="145" spans="3:14" ht="13.15" customHeight="1">
      <c r="C145" s="197"/>
      <c r="D145" s="197"/>
      <c r="E145" s="197"/>
      <c r="F145" s="198"/>
      <c r="G145" s="198"/>
      <c r="H145" s="198"/>
      <c r="I145" s="198"/>
      <c r="J145" s="198"/>
      <c r="K145" s="198"/>
      <c r="L145" s="197"/>
      <c r="M145" s="199"/>
      <c r="N145" s="201"/>
    </row>
    <row r="146" spans="3:14" ht="13.15" customHeight="1">
      <c r="C146" s="197"/>
      <c r="D146" s="197"/>
      <c r="E146" s="197"/>
      <c r="F146" s="198"/>
      <c r="G146" s="198"/>
      <c r="H146" s="198"/>
      <c r="I146" s="198"/>
      <c r="J146" s="198"/>
      <c r="K146" s="198"/>
      <c r="L146" s="197"/>
      <c r="M146" s="199"/>
      <c r="N146" s="201"/>
    </row>
    <row r="147" spans="3:14" ht="13.15" customHeight="1">
      <c r="C147" s="197"/>
      <c r="D147" s="197"/>
      <c r="E147" s="197"/>
      <c r="F147" s="198"/>
      <c r="G147" s="198"/>
      <c r="H147" s="198"/>
      <c r="I147" s="198"/>
      <c r="J147" s="198"/>
      <c r="K147" s="198"/>
      <c r="L147" s="197"/>
      <c r="M147" s="199"/>
      <c r="N147" s="201"/>
    </row>
    <row r="148" spans="3:14" ht="13.15" customHeight="1">
      <c r="C148" s="197"/>
      <c r="D148" s="197"/>
      <c r="E148" s="197"/>
      <c r="F148" s="198"/>
      <c r="G148" s="198"/>
      <c r="H148" s="198"/>
      <c r="I148" s="198"/>
      <c r="J148" s="198"/>
      <c r="K148" s="198"/>
      <c r="L148" s="197"/>
      <c r="M148" s="199"/>
      <c r="N148" s="201"/>
    </row>
    <row r="149" spans="3:14" ht="13.15" customHeight="1">
      <c r="C149" s="197"/>
      <c r="D149" s="197"/>
      <c r="E149" s="197"/>
      <c r="F149" s="198"/>
      <c r="G149" s="198"/>
      <c r="H149" s="198"/>
      <c r="I149" s="198"/>
      <c r="J149" s="198"/>
      <c r="K149" s="198"/>
      <c r="L149" s="197"/>
      <c r="M149" s="199"/>
      <c r="N149" s="201"/>
    </row>
    <row r="150" spans="3:14" ht="13.15" customHeight="1">
      <c r="C150" s="197"/>
      <c r="D150" s="197"/>
      <c r="E150" s="197"/>
      <c r="F150" s="198"/>
      <c r="G150" s="198"/>
      <c r="H150" s="198"/>
      <c r="I150" s="198"/>
      <c r="J150" s="198"/>
      <c r="K150" s="198"/>
      <c r="L150" s="197"/>
      <c r="M150" s="199"/>
      <c r="N150" s="201"/>
    </row>
    <row r="151" spans="3:14" ht="13.15" customHeight="1">
      <c r="C151" s="197"/>
      <c r="D151" s="197"/>
      <c r="E151" s="197"/>
      <c r="F151" s="198"/>
      <c r="G151" s="198"/>
      <c r="H151" s="198"/>
      <c r="I151" s="198"/>
      <c r="J151" s="198"/>
      <c r="K151" s="198"/>
      <c r="L151" s="197"/>
      <c r="M151" s="199"/>
      <c r="N151" s="201"/>
    </row>
    <row r="152" spans="3:14" ht="13.15" customHeight="1">
      <c r="C152" s="197"/>
      <c r="D152" s="197"/>
      <c r="E152" s="197"/>
      <c r="F152" s="198"/>
      <c r="G152" s="198"/>
      <c r="H152" s="198"/>
      <c r="I152" s="198"/>
      <c r="J152" s="198"/>
      <c r="K152" s="198"/>
      <c r="L152" s="197"/>
      <c r="M152" s="199"/>
      <c r="N152" s="201"/>
    </row>
    <row r="153" spans="3:14" ht="13.15" customHeight="1">
      <c r="C153" s="197"/>
      <c r="D153" s="197"/>
      <c r="E153" s="197"/>
      <c r="F153" s="198"/>
      <c r="G153" s="198"/>
      <c r="H153" s="198"/>
      <c r="I153" s="198"/>
      <c r="J153" s="198"/>
      <c r="K153" s="198"/>
      <c r="L153" s="197"/>
      <c r="M153" s="199"/>
      <c r="N153" s="201"/>
    </row>
    <row r="154" spans="3:14" ht="13.15" customHeight="1">
      <c r="C154" s="197"/>
      <c r="D154" s="197"/>
      <c r="E154" s="197"/>
      <c r="F154" s="198"/>
      <c r="G154" s="198"/>
      <c r="H154" s="198"/>
      <c r="I154" s="198"/>
      <c r="J154" s="198"/>
      <c r="K154" s="198"/>
      <c r="L154" s="197"/>
      <c r="M154" s="199"/>
      <c r="N154" s="201"/>
    </row>
    <row r="155" spans="3:14" ht="13.15" customHeight="1">
      <c r="C155" s="197"/>
      <c r="D155" s="197"/>
      <c r="E155" s="197"/>
      <c r="F155" s="198"/>
      <c r="G155" s="198"/>
      <c r="H155" s="198"/>
      <c r="I155" s="198"/>
      <c r="J155" s="198"/>
      <c r="K155" s="198"/>
      <c r="L155" s="197"/>
      <c r="M155" s="199"/>
      <c r="N155" s="201"/>
    </row>
    <row r="156" spans="3:14" ht="13.15" customHeight="1">
      <c r="C156" s="197"/>
      <c r="D156" s="197"/>
      <c r="E156" s="197"/>
      <c r="F156" s="198"/>
      <c r="G156" s="198"/>
      <c r="H156" s="198"/>
      <c r="I156" s="198"/>
      <c r="J156" s="198"/>
      <c r="K156" s="198"/>
      <c r="L156" s="197"/>
      <c r="M156" s="199"/>
      <c r="N156" s="201"/>
    </row>
    <row r="157" spans="3:14" ht="13.15" customHeight="1">
      <c r="C157" s="197"/>
      <c r="D157" s="197"/>
      <c r="E157" s="197"/>
      <c r="F157" s="198"/>
      <c r="G157" s="198"/>
      <c r="H157" s="198"/>
      <c r="I157" s="198"/>
      <c r="J157" s="198"/>
      <c r="K157" s="198"/>
      <c r="L157" s="197"/>
      <c r="M157" s="199"/>
      <c r="N157" s="201"/>
    </row>
    <row r="158" spans="3:14" ht="13.15" customHeight="1">
      <c r="C158" s="197"/>
      <c r="D158" s="197"/>
      <c r="E158" s="197"/>
      <c r="F158" s="198"/>
      <c r="G158" s="198"/>
      <c r="H158" s="198"/>
      <c r="I158" s="198"/>
      <c r="J158" s="198"/>
      <c r="K158" s="198"/>
      <c r="L158" s="197"/>
      <c r="M158" s="199"/>
      <c r="N158" s="201"/>
    </row>
    <row r="159" spans="3:14" ht="13.15" customHeight="1">
      <c r="C159" s="197"/>
      <c r="D159" s="197"/>
      <c r="E159" s="197"/>
      <c r="F159" s="198"/>
      <c r="G159" s="198"/>
      <c r="H159" s="198"/>
      <c r="I159" s="198"/>
      <c r="J159" s="198"/>
      <c r="K159" s="198"/>
      <c r="L159" s="197"/>
      <c r="M159" s="199"/>
      <c r="N159" s="201"/>
    </row>
    <row r="160" spans="3:14" ht="13.15" customHeight="1">
      <c r="C160" s="197"/>
      <c r="D160" s="197"/>
      <c r="E160" s="197"/>
      <c r="F160" s="198"/>
      <c r="G160" s="198"/>
      <c r="H160" s="198"/>
      <c r="I160" s="198"/>
      <c r="J160" s="198"/>
      <c r="K160" s="198"/>
      <c r="L160" s="197"/>
      <c r="M160" s="199"/>
      <c r="N160" s="201"/>
    </row>
    <row r="161" spans="3:14" ht="13.15" customHeight="1">
      <c r="C161" s="197"/>
      <c r="D161" s="197"/>
      <c r="E161" s="197"/>
      <c r="F161" s="198"/>
      <c r="G161" s="198"/>
      <c r="H161" s="198"/>
      <c r="I161" s="198"/>
      <c r="J161" s="198"/>
      <c r="K161" s="198"/>
      <c r="L161" s="197"/>
      <c r="M161" s="199"/>
      <c r="N161" s="201"/>
    </row>
    <row r="162" spans="3:14" ht="13.15" customHeight="1">
      <c r="C162" s="197"/>
      <c r="D162" s="197"/>
      <c r="E162" s="197"/>
      <c r="F162" s="198"/>
      <c r="G162" s="198"/>
      <c r="H162" s="198"/>
      <c r="I162" s="198"/>
      <c r="J162" s="198"/>
      <c r="K162" s="198"/>
      <c r="L162" s="197"/>
      <c r="M162" s="199"/>
      <c r="N162" s="201"/>
    </row>
    <row r="163" spans="3:14" ht="13.15" customHeight="1">
      <c r="C163" s="197"/>
      <c r="D163" s="197"/>
      <c r="E163" s="197"/>
      <c r="F163" s="198"/>
      <c r="G163" s="198"/>
      <c r="H163" s="198"/>
      <c r="I163" s="198"/>
      <c r="J163" s="198"/>
      <c r="K163" s="198"/>
      <c r="L163" s="197"/>
      <c r="M163" s="199"/>
      <c r="N163" s="201"/>
    </row>
    <row r="164" spans="3:14" ht="13.15" customHeight="1">
      <c r="F164" s="204"/>
      <c r="G164" s="204"/>
    </row>
    <row r="165" spans="3:14" ht="13.15" customHeight="1">
      <c r="F165" s="204"/>
      <c r="G165" s="204"/>
    </row>
    <row r="166" spans="3:14" ht="13.15" customHeight="1">
      <c r="F166" s="204"/>
      <c r="G166" s="204"/>
    </row>
    <row r="167" spans="3:14" ht="13.15" customHeight="1">
      <c r="F167" s="204"/>
      <c r="G167" s="204"/>
    </row>
    <row r="168" spans="3:14" ht="13.15" customHeight="1">
      <c r="F168" s="204"/>
      <c r="G168" s="204"/>
    </row>
    <row r="169" spans="3:14" ht="13.15" customHeight="1">
      <c r="F169" s="204"/>
      <c r="G169" s="204"/>
    </row>
    <row r="170" spans="3:14" ht="13.15" customHeight="1">
      <c r="F170" s="204"/>
      <c r="G170" s="204"/>
    </row>
    <row r="171" spans="3:14" ht="13.15" customHeight="1">
      <c r="F171" s="204"/>
      <c r="G171" s="204"/>
    </row>
    <row r="172" spans="3:14" ht="13.15" customHeight="1">
      <c r="F172" s="204"/>
      <c r="G172" s="204"/>
    </row>
    <row r="173" spans="3:14" ht="13.15" customHeight="1">
      <c r="F173" s="204"/>
      <c r="G173" s="204"/>
    </row>
    <row r="174" spans="3:14" ht="13.15" customHeight="1">
      <c r="F174" s="204"/>
      <c r="G174" s="204"/>
    </row>
    <row r="175" spans="3:14" ht="13.15" customHeight="1">
      <c r="F175" s="204"/>
      <c r="G175" s="204"/>
    </row>
    <row r="176" spans="3:14" ht="13.15" customHeight="1">
      <c r="F176" s="204"/>
      <c r="G176" s="204"/>
    </row>
    <row r="177" spans="6:7" ht="13.15" customHeight="1">
      <c r="F177" s="204"/>
      <c r="G177" s="204"/>
    </row>
    <row r="178" spans="6:7" ht="13.15" customHeight="1">
      <c r="F178" s="204"/>
      <c r="G178" s="204"/>
    </row>
    <row r="179" spans="6:7" ht="13.15" customHeight="1">
      <c r="F179" s="204"/>
      <c r="G179" s="204"/>
    </row>
    <row r="180" spans="6:7" ht="13.15" customHeight="1">
      <c r="F180" s="204"/>
      <c r="G180" s="204"/>
    </row>
    <row r="181" spans="6:7" ht="13.15" customHeight="1">
      <c r="F181" s="204"/>
      <c r="G181" s="204"/>
    </row>
    <row r="182" spans="6:7" ht="13.15" customHeight="1">
      <c r="F182" s="204"/>
      <c r="G182" s="204"/>
    </row>
    <row r="183" spans="6:7" ht="13.15" customHeight="1">
      <c r="F183" s="204"/>
      <c r="G183" s="204"/>
    </row>
    <row r="184" spans="6:7" ht="13.15" customHeight="1">
      <c r="F184" s="204"/>
      <c r="G184" s="204"/>
    </row>
    <row r="185" spans="6:7" ht="13.15" customHeight="1">
      <c r="F185" s="204"/>
      <c r="G185" s="204"/>
    </row>
    <row r="186" spans="6:7" ht="13.15" customHeight="1">
      <c r="F186" s="204"/>
      <c r="G186" s="204"/>
    </row>
    <row r="187" spans="6:7" ht="13.15" customHeight="1">
      <c r="F187" s="204"/>
      <c r="G187" s="204"/>
    </row>
    <row r="188" spans="6:7" ht="13.15" customHeight="1">
      <c r="F188" s="204"/>
      <c r="G188" s="204"/>
    </row>
    <row r="189" spans="6:7" ht="13.15" customHeight="1">
      <c r="F189" s="204"/>
      <c r="G189" s="204"/>
    </row>
    <row r="190" spans="6:7" ht="13.15" customHeight="1">
      <c r="F190" s="204"/>
      <c r="G190" s="204"/>
    </row>
    <row r="191" spans="6:7" ht="13.15" customHeight="1">
      <c r="F191" s="204"/>
      <c r="G191" s="204"/>
    </row>
    <row r="192" spans="6:7" ht="13.15" customHeight="1">
      <c r="F192" s="204"/>
      <c r="G192" s="204"/>
    </row>
    <row r="193" spans="6:7" ht="13.15" customHeight="1">
      <c r="F193" s="204"/>
      <c r="G193" s="204"/>
    </row>
    <row r="194" spans="6:7" ht="13.15" customHeight="1">
      <c r="F194" s="204"/>
      <c r="G194" s="204"/>
    </row>
    <row r="195" spans="6:7" ht="13.15" customHeight="1">
      <c r="F195" s="204"/>
      <c r="G195" s="204"/>
    </row>
  </sheetData>
  <mergeCells count="9">
    <mergeCell ref="C18:C93"/>
    <mergeCell ref="C97:C107"/>
    <mergeCell ref="C109:C119"/>
    <mergeCell ref="C1:N1"/>
    <mergeCell ref="C2:N2"/>
    <mergeCell ref="F4:H4"/>
    <mergeCell ref="I4:M4"/>
    <mergeCell ref="C7:C10"/>
    <mergeCell ref="C14:C16"/>
  </mergeCells>
  <conditionalFormatting sqref="M109:M119 M97:M107 M95 M18:M93 M14:M16 M12 M6:M10">
    <cfRule type="cellIs" dxfId="36" priority="41" operator="greaterThan">
      <formula>0.95</formula>
    </cfRule>
  </conditionalFormatting>
  <conditionalFormatting sqref="I109:I119">
    <cfRule type="cellIs" dxfId="35" priority="40" operator="lessThan">
      <formula>0</formula>
    </cfRule>
  </conditionalFormatting>
  <conditionalFormatting sqref="M7:M10">
    <cfRule type="dataBar" priority="39">
      <dataBar>
        <cfvo type="min" val="0"/>
        <cfvo type="max" val="0"/>
        <color rgb="FFD6007B"/>
      </dataBar>
    </cfRule>
  </conditionalFormatting>
  <conditionalFormatting sqref="M12">
    <cfRule type="dataBar" priority="38">
      <dataBar>
        <cfvo type="min" val="0"/>
        <cfvo type="max" val="0"/>
        <color rgb="FFD6007B"/>
      </dataBar>
    </cfRule>
  </conditionalFormatting>
  <conditionalFormatting sqref="M14:M16">
    <cfRule type="dataBar" priority="37">
      <dataBar>
        <cfvo type="min" val="0"/>
        <cfvo type="max" val="0"/>
        <color rgb="FFD6007B"/>
      </dataBar>
    </cfRule>
  </conditionalFormatting>
  <conditionalFormatting sqref="M18:M93">
    <cfRule type="dataBar" priority="36">
      <dataBar>
        <cfvo type="min" val="0"/>
        <cfvo type="max" val="0"/>
        <color rgb="FFD6007B"/>
      </dataBar>
    </cfRule>
  </conditionalFormatting>
  <conditionalFormatting sqref="M97:M107">
    <cfRule type="dataBar" priority="35">
      <dataBar>
        <cfvo type="min" val="0"/>
        <cfvo type="max" val="0"/>
        <color rgb="FFD6007B"/>
      </dataBar>
    </cfRule>
  </conditionalFormatting>
  <conditionalFormatting sqref="M95">
    <cfRule type="dataBar" priority="34">
      <dataBar>
        <cfvo type="min" val="0"/>
        <cfvo type="max" val="0"/>
        <color rgb="FFD6007B"/>
      </dataBar>
    </cfRule>
  </conditionalFormatting>
  <conditionalFormatting sqref="M6">
    <cfRule type="dataBar" priority="33">
      <dataBar>
        <cfvo type="min" val="0"/>
        <cfvo type="max" val="0"/>
        <color rgb="FF63C384"/>
      </dataBar>
    </cfRule>
  </conditionalFormatting>
  <conditionalFormatting sqref="M115">
    <cfRule type="dataBar" priority="32">
      <dataBar>
        <cfvo type="min" val="0"/>
        <cfvo type="max" val="0"/>
        <color rgb="FFD6007B"/>
      </dataBar>
    </cfRule>
  </conditionalFormatting>
  <conditionalFormatting sqref="M109:M119">
    <cfRule type="dataBar" priority="31">
      <dataBar>
        <cfvo type="min" val="0"/>
        <cfvo type="max" val="0"/>
        <color rgb="FF638EC6"/>
      </dataBar>
    </cfRule>
  </conditionalFormatting>
  <conditionalFormatting sqref="M109:M119 M97:M107 M95 M18:M93 M14:M16 M12 M7:M10">
    <cfRule type="dataBar" priority="30">
      <dataBar>
        <cfvo type="min" val="0"/>
        <cfvo type="max" val="0"/>
        <color rgb="FF63C384"/>
      </dataBar>
    </cfRule>
  </conditionalFormatting>
  <conditionalFormatting sqref="M109:M119">
    <cfRule type="dataBar" priority="29">
      <dataBar>
        <cfvo type="min" val="0"/>
        <cfvo type="max" val="0"/>
        <color rgb="FFD6007B"/>
      </dataBar>
    </cfRule>
  </conditionalFormatting>
  <conditionalFormatting sqref="I5:K5">
    <cfRule type="cellIs" dxfId="34" priority="28" operator="greaterThan">
      <formula>0</formula>
    </cfRule>
  </conditionalFormatting>
  <conditionalFormatting sqref="M97:M107">
    <cfRule type="dataBar" priority="27">
      <dataBar>
        <cfvo type="min" val="0"/>
        <cfvo type="max" val="0"/>
        <color rgb="FF638EC6"/>
      </dataBar>
    </cfRule>
  </conditionalFormatting>
  <conditionalFormatting sqref="M95">
    <cfRule type="dataBar" priority="24">
      <dataBar>
        <cfvo type="min" val="0"/>
        <cfvo type="max" val="0"/>
        <color rgb="FF638EC6"/>
      </dataBar>
    </cfRule>
  </conditionalFormatting>
  <conditionalFormatting sqref="M93">
    <cfRule type="dataBar" priority="22">
      <dataBar>
        <cfvo type="min" val="0"/>
        <cfvo type="max" val="0"/>
        <color rgb="FFD6007B"/>
      </dataBar>
    </cfRule>
  </conditionalFormatting>
  <conditionalFormatting sqref="M93">
    <cfRule type="dataBar" priority="20">
      <dataBar>
        <cfvo type="min" val="0"/>
        <cfvo type="max" val="0"/>
        <color rgb="FF638EC6"/>
      </dataBar>
    </cfRule>
  </conditionalFormatting>
  <conditionalFormatting sqref="M18:M93">
    <cfRule type="dataBar" priority="17">
      <dataBar>
        <cfvo type="min" val="0"/>
        <cfvo type="max" val="0"/>
        <color rgb="FF638EC6"/>
      </dataBar>
    </cfRule>
  </conditionalFormatting>
  <conditionalFormatting sqref="M14:M16">
    <cfRule type="dataBar" priority="13">
      <dataBar>
        <cfvo type="min" val="0"/>
        <cfvo type="max" val="0"/>
        <color rgb="FF638EC6"/>
      </dataBar>
    </cfRule>
  </conditionalFormatting>
  <conditionalFormatting sqref="M12">
    <cfRule type="dataBar" priority="8">
      <dataBar>
        <cfvo type="min" val="0"/>
        <cfvo type="max" val="0"/>
        <color rgb="FF638EC6"/>
      </dataBar>
    </cfRule>
  </conditionalFormatting>
  <conditionalFormatting sqref="M7:M10">
    <cfRule type="dataBar" priority="2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0066"/>
  </sheetPr>
  <dimension ref="A1:IB1031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O94" sqref="O94"/>
    </sheetView>
  </sheetViews>
  <sheetFormatPr baseColWidth="10" defaultColWidth="12.28515625" defaultRowHeight="13.15" customHeight="1"/>
  <cols>
    <col min="1" max="1" width="3.7109375" style="206" customWidth="1"/>
    <col min="2" max="2" width="6.7109375" style="207" customWidth="1"/>
    <col min="3" max="3" width="14.5703125" style="303" customWidth="1"/>
    <col min="4" max="4" width="30.7109375" style="220" customWidth="1"/>
    <col min="5" max="5" width="9.28515625" style="216" hidden="1" customWidth="1"/>
    <col min="6" max="6" width="9.5703125" style="216" customWidth="1"/>
    <col min="7" max="7" width="8.7109375" style="216" customWidth="1"/>
    <col min="8" max="8" width="9.42578125" style="216" customWidth="1"/>
    <col min="9" max="9" width="12" style="216" customWidth="1"/>
    <col min="10" max="10" width="10.42578125" style="216" customWidth="1"/>
    <col min="11" max="11" width="10.7109375" style="216" customWidth="1"/>
    <col min="12" max="12" width="10.5703125" style="216" customWidth="1"/>
    <col min="13" max="13" width="10.5703125" style="304" customWidth="1"/>
    <col min="14" max="14" width="10.140625" style="212" customWidth="1"/>
    <col min="15" max="19" width="12.28515625" style="577"/>
    <col min="20" max="26" width="12.28515625" style="213"/>
    <col min="27" max="90" width="12.28515625" style="210"/>
    <col min="91" max="233" width="12.28515625" style="214"/>
    <col min="234" max="235" width="12.28515625" style="215"/>
    <col min="236" max="16384" width="12.28515625" style="216"/>
  </cols>
  <sheetData>
    <row r="1" spans="1:236" s="210" customFormat="1" ht="13.15" customHeight="1">
      <c r="A1" s="206"/>
      <c r="B1" s="207"/>
      <c r="C1" s="208"/>
      <c r="D1" s="209"/>
      <c r="M1" s="211"/>
      <c r="N1" s="212"/>
      <c r="O1" s="577"/>
      <c r="P1" s="577"/>
      <c r="Q1" s="577"/>
      <c r="R1" s="577"/>
      <c r="S1" s="577"/>
      <c r="T1" s="213"/>
      <c r="U1" s="213"/>
      <c r="V1" s="213"/>
      <c r="W1" s="213"/>
      <c r="X1" s="213"/>
      <c r="Y1" s="213"/>
      <c r="Z1" s="213"/>
    </row>
    <row r="2" spans="1:236" ht="17.45" customHeight="1">
      <c r="C2" s="690" t="s">
        <v>253</v>
      </c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</row>
    <row r="3" spans="1:236" ht="13.9" customHeight="1">
      <c r="C3" s="691">
        <f>+'Resumen Pelagicos'!B3</f>
        <v>43663</v>
      </c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</row>
    <row r="4" spans="1:236" s="213" customFormat="1" ht="20.45" customHeight="1">
      <c r="A4" s="457"/>
      <c r="B4" s="207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577"/>
      <c r="P4" s="577"/>
      <c r="Q4" s="577"/>
      <c r="R4" s="577"/>
      <c r="S4" s="577"/>
    </row>
    <row r="5" spans="1:236" ht="48.6" customHeight="1">
      <c r="C5" s="221" t="s">
        <v>134</v>
      </c>
      <c r="D5" s="221" t="s">
        <v>135</v>
      </c>
      <c r="E5" s="221" t="s">
        <v>577</v>
      </c>
      <c r="F5" s="221" t="s">
        <v>4</v>
      </c>
      <c r="G5" s="221" t="s">
        <v>5</v>
      </c>
      <c r="H5" s="221" t="s">
        <v>6</v>
      </c>
      <c r="I5" s="104" t="s">
        <v>7</v>
      </c>
      <c r="J5" s="104" t="s">
        <v>136</v>
      </c>
      <c r="K5" s="104" t="s">
        <v>137</v>
      </c>
      <c r="L5" s="221" t="s">
        <v>8</v>
      </c>
      <c r="M5" s="221" t="s">
        <v>9</v>
      </c>
      <c r="N5" s="222" t="s">
        <v>254</v>
      </c>
      <c r="AA5" s="213"/>
      <c r="CM5" s="210"/>
      <c r="HZ5" s="214"/>
      <c r="IB5" s="215"/>
    </row>
    <row r="6" spans="1:236" s="233" customFormat="1" ht="13.15" customHeight="1">
      <c r="A6" s="223"/>
      <c r="B6" s="224"/>
      <c r="C6" s="683" t="s">
        <v>255</v>
      </c>
      <c r="D6" s="107" t="s">
        <v>141</v>
      </c>
      <c r="E6" s="114" t="s">
        <v>29</v>
      </c>
      <c r="F6" s="225">
        <v>2835.9229999999998</v>
      </c>
      <c r="G6" s="114"/>
      <c r="H6" s="225">
        <f>F6+G6</f>
        <v>2835.9229999999998</v>
      </c>
      <c r="I6" s="226">
        <v>762.37599999999998</v>
      </c>
      <c r="J6" s="226">
        <v>0</v>
      </c>
      <c r="K6" s="226">
        <v>0</v>
      </c>
      <c r="L6" s="114">
        <f>H6-(I6+J6)</f>
        <v>2073.5469999999996</v>
      </c>
      <c r="M6" s="227">
        <f>+(I6+J6+K6)/H6</f>
        <v>0.26882817340245135</v>
      </c>
      <c r="N6" s="228" t="str">
        <f>+'IC ANCH-SARC V-VII y IX-X'!O5</f>
        <v>-</v>
      </c>
      <c r="O6" s="578"/>
      <c r="P6" s="578"/>
      <c r="Q6" s="578"/>
      <c r="R6" s="578"/>
      <c r="S6" s="578"/>
      <c r="T6" s="229"/>
      <c r="U6" s="229"/>
      <c r="V6" s="229"/>
      <c r="W6" s="229"/>
      <c r="X6" s="229"/>
      <c r="Y6" s="229"/>
      <c r="Z6" s="229"/>
      <c r="AA6" s="229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2"/>
      <c r="IB6" s="232"/>
    </row>
    <row r="7" spans="1:236" s="233" customFormat="1" ht="13.15" customHeight="1">
      <c r="A7" s="223"/>
      <c r="B7" s="224"/>
      <c r="C7" s="684"/>
      <c r="D7" s="234" t="s">
        <v>143</v>
      </c>
      <c r="E7" s="114" t="s">
        <v>29</v>
      </c>
      <c r="F7" s="225">
        <v>188.80799999999999</v>
      </c>
      <c r="G7" s="114"/>
      <c r="H7" s="225">
        <f>F7+G7</f>
        <v>188.80799999999999</v>
      </c>
      <c r="I7" s="226">
        <v>54.28</v>
      </c>
      <c r="J7" s="226">
        <v>0</v>
      </c>
      <c r="K7" s="226">
        <v>0</v>
      </c>
      <c r="L7" s="114">
        <f t="shared" ref="L7" si="0">H7-(I7+J7)</f>
        <v>134.52799999999999</v>
      </c>
      <c r="M7" s="227">
        <f t="shared" ref="M7:M70" si="1">+(I7+J7+K7)/H7</f>
        <v>0.28748781831278336</v>
      </c>
      <c r="N7" s="228" t="str">
        <f>+'IC ANCH-SARC V-VII y IX-X'!O6</f>
        <v>-</v>
      </c>
      <c r="O7" s="578"/>
      <c r="P7" s="578"/>
      <c r="Q7" s="578"/>
      <c r="R7" s="578"/>
      <c r="S7" s="578"/>
      <c r="T7" s="229"/>
      <c r="U7" s="229"/>
      <c r="V7" s="229"/>
      <c r="W7" s="229"/>
      <c r="X7" s="229"/>
      <c r="Y7" s="229"/>
      <c r="Z7" s="229"/>
      <c r="AA7" s="229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2"/>
      <c r="IB7" s="232"/>
    </row>
    <row r="8" spans="1:236" s="233" customFormat="1" ht="13.15" customHeight="1">
      <c r="A8" s="223"/>
      <c r="B8" s="224"/>
      <c r="C8" s="684"/>
      <c r="D8" s="235" t="s">
        <v>144</v>
      </c>
      <c r="E8" s="114" t="s">
        <v>29</v>
      </c>
      <c r="F8" s="225">
        <v>2.8420000000000001</v>
      </c>
      <c r="G8" s="114"/>
      <c r="H8" s="225">
        <f>F8+G8</f>
        <v>2.8420000000000001</v>
      </c>
      <c r="I8" s="226">
        <v>0.48</v>
      </c>
      <c r="J8" s="226">
        <v>0</v>
      </c>
      <c r="K8" s="226">
        <v>0</v>
      </c>
      <c r="L8" s="114">
        <f>H8-(I8+J8)</f>
        <v>2.3620000000000001</v>
      </c>
      <c r="M8" s="227">
        <f t="shared" si="1"/>
        <v>0.16889514426460239</v>
      </c>
      <c r="N8" s="228" t="str">
        <f>+'IC ANCH-SARC V-VII y IX-X'!O7</f>
        <v>-</v>
      </c>
      <c r="O8" s="578"/>
      <c r="P8" s="578"/>
      <c r="Q8" s="578"/>
      <c r="R8" s="578"/>
      <c r="S8" s="578"/>
      <c r="T8" s="229"/>
      <c r="U8" s="229"/>
      <c r="V8" s="229"/>
      <c r="W8" s="229"/>
      <c r="X8" s="229"/>
      <c r="Y8" s="229"/>
      <c r="Z8" s="229"/>
      <c r="AA8" s="229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2"/>
      <c r="IB8" s="232"/>
    </row>
    <row r="9" spans="1:236" s="233" customFormat="1" ht="13.15" customHeight="1">
      <c r="A9" s="223"/>
      <c r="B9" s="224"/>
      <c r="C9" s="685"/>
      <c r="D9" s="107" t="s">
        <v>145</v>
      </c>
      <c r="E9" s="114" t="s">
        <v>29</v>
      </c>
      <c r="F9" s="225">
        <v>603.42600000000004</v>
      </c>
      <c r="G9" s="114"/>
      <c r="H9" s="225">
        <f>F9+G9</f>
        <v>603.42600000000004</v>
      </c>
      <c r="I9" s="226">
        <v>201.096</v>
      </c>
      <c r="J9" s="226">
        <v>0</v>
      </c>
      <c r="K9" s="226">
        <v>0</v>
      </c>
      <c r="L9" s="114">
        <f>H9-(I9+J9+K9)</f>
        <v>402.33000000000004</v>
      </c>
      <c r="M9" s="227">
        <f t="shared" si="1"/>
        <v>0.33325710194787761</v>
      </c>
      <c r="N9" s="488">
        <f>+'IC ANCH-SARC V-VII y IX-X'!O8</f>
        <v>43619</v>
      </c>
      <c r="O9" s="578"/>
      <c r="P9" s="578"/>
      <c r="Q9" s="578"/>
      <c r="R9" s="578"/>
      <c r="S9" s="578"/>
      <c r="T9" s="229"/>
      <c r="U9" s="229"/>
      <c r="V9" s="229"/>
      <c r="W9" s="229"/>
      <c r="X9" s="229"/>
      <c r="Y9" s="229"/>
      <c r="Z9" s="229"/>
      <c r="AA9" s="229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2"/>
      <c r="IB9" s="232"/>
    </row>
    <row r="10" spans="1:236" s="236" customFormat="1" ht="13.15" customHeight="1">
      <c r="B10" s="224"/>
      <c r="C10" s="237"/>
      <c r="D10" s="238" t="s">
        <v>256</v>
      </c>
      <c r="E10" s="239"/>
      <c r="F10" s="240">
        <f>SUM(F6:F9)</f>
        <v>3630.9989999999998</v>
      </c>
      <c r="G10" s="240">
        <f>SUM(G6:G9)</f>
        <v>0</v>
      </c>
      <c r="H10" s="240">
        <f>+F10+G10</f>
        <v>3630.9989999999998</v>
      </c>
      <c r="I10" s="240">
        <f>SUM(I6:I9)</f>
        <v>1018.232</v>
      </c>
      <c r="J10" s="240">
        <f t="shared" ref="J10:K10" si="2">SUM(J6:J9)</f>
        <v>0</v>
      </c>
      <c r="K10" s="240">
        <f t="shared" si="2"/>
        <v>0</v>
      </c>
      <c r="L10" s="240">
        <f t="shared" ref="L10:L73" si="3">H10-(I10+J10+K10)</f>
        <v>2612.7669999999998</v>
      </c>
      <c r="M10" s="241">
        <f>+(I10+J10+K10)/H10</f>
        <v>0.28042750769140945</v>
      </c>
      <c r="N10" s="242"/>
      <c r="O10" s="578"/>
      <c r="P10" s="578"/>
      <c r="Q10" s="578"/>
      <c r="R10" s="578"/>
      <c r="S10" s="578"/>
    </row>
    <row r="11" spans="1:236" s="233" customFormat="1" ht="13.15" customHeight="1">
      <c r="A11" s="223"/>
      <c r="B11" s="224"/>
      <c r="C11" s="243" t="s">
        <v>146</v>
      </c>
      <c r="D11" s="244" t="s">
        <v>147</v>
      </c>
      <c r="E11" s="245" t="s">
        <v>257</v>
      </c>
      <c r="F11" s="225">
        <v>86</v>
      </c>
      <c r="G11" s="114"/>
      <c r="H11" s="225">
        <f>F11+G11</f>
        <v>86</v>
      </c>
      <c r="I11" s="226">
        <v>0</v>
      </c>
      <c r="J11" s="226">
        <v>0</v>
      </c>
      <c r="K11" s="226">
        <v>0</v>
      </c>
      <c r="L11" s="114">
        <f t="shared" si="3"/>
        <v>86</v>
      </c>
      <c r="M11" s="227">
        <f t="shared" si="1"/>
        <v>0</v>
      </c>
      <c r="N11" s="228" t="s">
        <v>142</v>
      </c>
      <c r="O11" s="578"/>
      <c r="P11" s="578"/>
      <c r="Q11" s="578"/>
      <c r="R11" s="578"/>
      <c r="S11" s="578"/>
      <c r="T11" s="229"/>
      <c r="U11" s="229"/>
      <c r="V11" s="229"/>
      <c r="W11" s="229"/>
      <c r="X11" s="229"/>
      <c r="Y11" s="229"/>
      <c r="Z11" s="229"/>
      <c r="AA11" s="229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2"/>
      <c r="IB11" s="232"/>
    </row>
    <row r="12" spans="1:236" s="246" customFormat="1" ht="13.15" customHeight="1">
      <c r="B12" s="224"/>
      <c r="C12" s="247"/>
      <c r="D12" s="238" t="s">
        <v>256</v>
      </c>
      <c r="E12" s="248"/>
      <c r="F12" s="249">
        <f>SUM(F11:F11)</f>
        <v>86</v>
      </c>
      <c r="G12" s="249">
        <f>SUM(G11:G11)</f>
        <v>0</v>
      </c>
      <c r="H12" s="249">
        <f>SUM(H11:H11)</f>
        <v>86</v>
      </c>
      <c r="I12" s="249">
        <f>SUM(I11:I11)</f>
        <v>0</v>
      </c>
      <c r="J12" s="249">
        <f t="shared" ref="J12:K12" si="4">SUM(J11:J11)</f>
        <v>0</v>
      </c>
      <c r="K12" s="249">
        <f t="shared" si="4"/>
        <v>0</v>
      </c>
      <c r="L12" s="249">
        <f t="shared" si="3"/>
        <v>86</v>
      </c>
      <c r="M12" s="250">
        <f t="shared" si="1"/>
        <v>0</v>
      </c>
      <c r="N12" s="251"/>
      <c r="O12" s="578"/>
      <c r="P12" s="578"/>
      <c r="Q12" s="578"/>
      <c r="R12" s="578"/>
      <c r="S12" s="578"/>
    </row>
    <row r="13" spans="1:236" s="233" customFormat="1" ht="13.15" customHeight="1">
      <c r="A13" s="223"/>
      <c r="B13" s="224"/>
      <c r="C13" s="683" t="s">
        <v>148</v>
      </c>
      <c r="D13" s="252" t="s">
        <v>149</v>
      </c>
      <c r="E13" s="572">
        <v>0.58486000000000005</v>
      </c>
      <c r="F13" s="225">
        <f>+E13*'Resumen Pelagicos'!$D$36</f>
        <v>749.20566000000008</v>
      </c>
      <c r="G13" s="114"/>
      <c r="H13" s="225">
        <f>F13-G13</f>
        <v>749.20566000000008</v>
      </c>
      <c r="I13" s="226">
        <v>526.39499999999998</v>
      </c>
      <c r="J13" s="226">
        <v>0</v>
      </c>
      <c r="K13" s="226">
        <v>0</v>
      </c>
      <c r="L13" s="114">
        <f>H13-(I13+J13+K13)</f>
        <v>222.8106600000001</v>
      </c>
      <c r="M13" s="227">
        <f t="shared" si="1"/>
        <v>0.70260414209897981</v>
      </c>
      <c r="N13" s="228" t="s">
        <v>142</v>
      </c>
      <c r="O13" s="578"/>
      <c r="P13" s="578"/>
      <c r="Q13" s="578"/>
      <c r="R13" s="578"/>
      <c r="S13" s="578"/>
      <c r="T13" s="229"/>
      <c r="U13" s="229"/>
      <c r="V13" s="229"/>
      <c r="W13" s="229"/>
      <c r="X13" s="229"/>
      <c r="Y13" s="229"/>
      <c r="Z13" s="229"/>
      <c r="AA13" s="229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2"/>
      <c r="IB13" s="232"/>
    </row>
    <row r="14" spans="1:236" s="233" customFormat="1" ht="13.15" customHeight="1">
      <c r="A14" s="223"/>
      <c r="B14" s="224"/>
      <c r="C14" s="684"/>
      <c r="D14" s="252" t="s">
        <v>150</v>
      </c>
      <c r="E14" s="572">
        <v>0.317108</v>
      </c>
      <c r="F14" s="225">
        <f>+E14*'Resumen Pelagicos'!$D$36</f>
        <v>406.21534800000001</v>
      </c>
      <c r="G14" s="114">
        <f>-340-76</f>
        <v>-416</v>
      </c>
      <c r="H14" s="225">
        <f>F14+G14</f>
        <v>-9.7846519999999941</v>
      </c>
      <c r="I14" s="226">
        <v>0</v>
      </c>
      <c r="J14" s="226">
        <v>0</v>
      </c>
      <c r="K14" s="226">
        <v>0</v>
      </c>
      <c r="L14" s="114">
        <f>H14-(I14+J14+K14)</f>
        <v>-9.7846519999999941</v>
      </c>
      <c r="M14" s="227">
        <f t="shared" si="1"/>
        <v>0</v>
      </c>
      <c r="N14" s="228" t="s">
        <v>142</v>
      </c>
      <c r="O14" s="578"/>
      <c r="P14" s="578"/>
      <c r="Q14" s="578"/>
      <c r="R14" s="578"/>
      <c r="S14" s="578"/>
      <c r="T14" s="253"/>
      <c r="U14" s="253"/>
      <c r="V14" s="253"/>
      <c r="W14" s="253"/>
      <c r="X14" s="253"/>
      <c r="Y14" s="229"/>
      <c r="Z14" s="229"/>
      <c r="AA14" s="229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2"/>
      <c r="IB14" s="232"/>
    </row>
    <row r="15" spans="1:236" s="233" customFormat="1" ht="13.15" customHeight="1">
      <c r="A15" s="223"/>
      <c r="B15" s="224"/>
      <c r="C15" s="685"/>
      <c r="D15" s="244" t="s">
        <v>151</v>
      </c>
      <c r="E15" s="572">
        <v>9.8031999999999994E-2</v>
      </c>
      <c r="F15" s="225">
        <f>+E15*'Resumen Pelagicos'!$D$36</f>
        <v>125.578992</v>
      </c>
      <c r="G15" s="114"/>
      <c r="H15" s="225">
        <f>F15-G15</f>
        <v>125.578992</v>
      </c>
      <c r="I15" s="226">
        <v>61.677</v>
      </c>
      <c r="J15" s="226">
        <v>0</v>
      </c>
      <c r="K15" s="226">
        <v>0</v>
      </c>
      <c r="L15" s="114">
        <f t="shared" si="3"/>
        <v>63.901992</v>
      </c>
      <c r="M15" s="227">
        <f t="shared" si="1"/>
        <v>0.4911410660152456</v>
      </c>
      <c r="N15" s="228" t="s">
        <v>142</v>
      </c>
      <c r="O15" s="578"/>
      <c r="P15" s="578"/>
      <c r="Q15" s="578"/>
      <c r="R15" s="578"/>
      <c r="S15" s="578"/>
      <c r="T15" s="229"/>
      <c r="U15" s="229"/>
      <c r="V15" s="229"/>
      <c r="W15" s="229"/>
      <c r="X15" s="229"/>
      <c r="Y15" s="229"/>
      <c r="Z15" s="229"/>
      <c r="AA15" s="229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2"/>
      <c r="IB15" s="232"/>
    </row>
    <row r="16" spans="1:236" s="246" customFormat="1" ht="13.15" customHeight="1">
      <c r="B16" s="224"/>
      <c r="C16" s="247"/>
      <c r="D16" s="238" t="s">
        <v>256</v>
      </c>
      <c r="E16" s="248"/>
      <c r="F16" s="249">
        <f>SUM(F13:F15)</f>
        <v>1281</v>
      </c>
      <c r="G16" s="249">
        <f>SUM(G13:G15)</f>
        <v>-416</v>
      </c>
      <c r="H16" s="249">
        <f>+F16+G16</f>
        <v>865</v>
      </c>
      <c r="I16" s="249">
        <f>SUM(I13:I15)</f>
        <v>588.072</v>
      </c>
      <c r="J16" s="249">
        <f t="shared" ref="J16:K16" si="5">SUM(J13:J15)</f>
        <v>0</v>
      </c>
      <c r="K16" s="249">
        <f t="shared" si="5"/>
        <v>0</v>
      </c>
      <c r="L16" s="249">
        <f>H16-(I16+J16+K16)</f>
        <v>276.928</v>
      </c>
      <c r="M16" s="250">
        <f t="shared" si="1"/>
        <v>0.67985202312138726</v>
      </c>
      <c r="N16" s="251"/>
      <c r="O16" s="578"/>
      <c r="P16" s="578"/>
      <c r="Q16" s="578"/>
      <c r="R16" s="578"/>
      <c r="S16" s="578"/>
    </row>
    <row r="17" spans="1:236" s="233" customFormat="1" ht="13.15" customHeight="1">
      <c r="A17" s="223"/>
      <c r="B17" s="254">
        <v>1</v>
      </c>
      <c r="C17" s="683" t="s">
        <v>258</v>
      </c>
      <c r="D17" s="255" t="s">
        <v>153</v>
      </c>
      <c r="E17" s="114" t="s">
        <v>29</v>
      </c>
      <c r="F17" s="256">
        <v>709.21600000000001</v>
      </c>
      <c r="G17" s="159">
        <f>-149.13-30-5-2.2-4</f>
        <v>-190.32999999999998</v>
      </c>
      <c r="H17" s="256">
        <f>+F17+G17</f>
        <v>518.88599999999997</v>
      </c>
      <c r="I17" s="257">
        <v>526.16399999999999</v>
      </c>
      <c r="J17" s="257">
        <v>4.08</v>
      </c>
      <c r="K17" s="258">
        <v>0</v>
      </c>
      <c r="L17" s="114">
        <f>H17-(I17+J17+K17)</f>
        <v>-11.358000000000061</v>
      </c>
      <c r="M17" s="227">
        <f t="shared" si="1"/>
        <v>1.0218892010961946</v>
      </c>
      <c r="N17" s="228" t="str">
        <f>+'IC ANCH-SARC VIII'!O4</f>
        <v>-</v>
      </c>
      <c r="O17" s="578"/>
      <c r="P17" s="578"/>
      <c r="Q17" s="578"/>
      <c r="R17" s="578"/>
      <c r="S17" s="578"/>
      <c r="T17" s="229"/>
      <c r="U17" s="229"/>
      <c r="V17" s="229"/>
      <c r="W17" s="229"/>
      <c r="X17" s="229"/>
      <c r="Y17" s="229"/>
      <c r="Z17" s="229"/>
      <c r="AA17" s="229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2"/>
      <c r="IB17" s="232"/>
    </row>
    <row r="18" spans="1:236" s="233" customFormat="1" ht="13.15" customHeight="1">
      <c r="A18" s="223"/>
      <c r="B18" s="254">
        <v>2</v>
      </c>
      <c r="C18" s="684"/>
      <c r="D18" s="259" t="s">
        <v>259</v>
      </c>
      <c r="E18" s="114" t="s">
        <v>29</v>
      </c>
      <c r="F18" s="260">
        <v>321.99599999999998</v>
      </c>
      <c r="G18" s="261">
        <v>194</v>
      </c>
      <c r="H18" s="260">
        <f t="shared" ref="H18:H81" si="6">+F18+G18</f>
        <v>515.99599999999998</v>
      </c>
      <c r="I18" s="262">
        <v>369.50299999999999</v>
      </c>
      <c r="J18" s="262">
        <v>175.494</v>
      </c>
      <c r="K18" s="258">
        <v>0</v>
      </c>
      <c r="L18" s="114">
        <f t="shared" si="3"/>
        <v>-29.000999999999976</v>
      </c>
      <c r="M18" s="227">
        <f t="shared" si="1"/>
        <v>1.0562039240614267</v>
      </c>
      <c r="N18" s="228" t="str">
        <f>+'IC ANCH-SARC VIII'!O5</f>
        <v>-</v>
      </c>
      <c r="O18" s="578"/>
      <c r="P18" s="578"/>
      <c r="Q18" s="578"/>
      <c r="R18" s="578"/>
      <c r="S18" s="578"/>
      <c r="T18" s="229"/>
      <c r="U18" s="229"/>
      <c r="V18" s="229"/>
      <c r="W18" s="229"/>
      <c r="X18" s="229"/>
      <c r="Y18" s="229"/>
      <c r="Z18" s="229"/>
      <c r="AA18" s="229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2"/>
      <c r="IB18" s="232"/>
    </row>
    <row r="19" spans="1:236" s="233" customFormat="1" ht="13.15" customHeight="1">
      <c r="A19" s="223"/>
      <c r="B19" s="254">
        <v>3</v>
      </c>
      <c r="C19" s="684"/>
      <c r="D19" s="259" t="s">
        <v>155</v>
      </c>
      <c r="E19" s="114" t="s">
        <v>29</v>
      </c>
      <c r="F19" s="260">
        <v>1251.8520000000001</v>
      </c>
      <c r="G19" s="261">
        <f>-47.5-76</f>
        <v>-123.5</v>
      </c>
      <c r="H19" s="260">
        <f t="shared" si="6"/>
        <v>1128.3520000000001</v>
      </c>
      <c r="I19" s="262">
        <v>722.37900000000002</v>
      </c>
      <c r="J19" s="262">
        <v>0</v>
      </c>
      <c r="K19" s="258">
        <v>0</v>
      </c>
      <c r="L19" s="114">
        <f t="shared" si="3"/>
        <v>405.97300000000007</v>
      </c>
      <c r="M19" s="227">
        <f t="shared" si="1"/>
        <v>0.6402071339440174</v>
      </c>
      <c r="N19" s="228" t="str">
        <f>+'IC ANCH-SARC VIII'!O6</f>
        <v>-</v>
      </c>
      <c r="O19" s="578"/>
      <c r="P19" s="578"/>
      <c r="Q19" s="578"/>
      <c r="R19" s="578"/>
      <c r="S19" s="578"/>
      <c r="T19" s="229"/>
      <c r="U19" s="229"/>
      <c r="V19" s="229"/>
      <c r="W19" s="229"/>
      <c r="X19" s="229"/>
      <c r="Y19" s="229"/>
      <c r="Z19" s="229"/>
      <c r="AA19" s="229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2"/>
      <c r="IB19" s="232"/>
    </row>
    <row r="20" spans="1:236" s="233" customFormat="1" ht="13.15" customHeight="1">
      <c r="A20" s="223"/>
      <c r="B20" s="254">
        <v>4</v>
      </c>
      <c r="C20" s="684"/>
      <c r="D20" s="259" t="s">
        <v>156</v>
      </c>
      <c r="E20" s="114" t="s">
        <v>29</v>
      </c>
      <c r="F20" s="263">
        <v>1509.63</v>
      </c>
      <c r="G20" s="261">
        <v>320</v>
      </c>
      <c r="H20" s="263">
        <f t="shared" si="6"/>
        <v>1829.63</v>
      </c>
      <c r="I20" s="262">
        <v>948.76300000000003</v>
      </c>
      <c r="J20" s="262">
        <v>256.87099999999998</v>
      </c>
      <c r="K20" s="258">
        <v>0</v>
      </c>
      <c r="L20" s="114">
        <f t="shared" si="3"/>
        <v>623.99600000000009</v>
      </c>
      <c r="M20" s="227">
        <f t="shared" si="1"/>
        <v>0.65894962369440813</v>
      </c>
      <c r="N20" s="228" t="str">
        <f>+'IC ANCH-SARC VIII'!O7</f>
        <v>-</v>
      </c>
      <c r="O20" s="578"/>
      <c r="P20" s="578"/>
      <c r="Q20" s="578"/>
      <c r="R20" s="578"/>
      <c r="S20" s="578"/>
      <c r="T20" s="229"/>
      <c r="U20" s="229"/>
      <c r="V20" s="229"/>
      <c r="W20" s="229"/>
      <c r="X20" s="229"/>
      <c r="Y20" s="229"/>
      <c r="Z20" s="229"/>
      <c r="AA20" s="229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2"/>
      <c r="IB20" s="232"/>
    </row>
    <row r="21" spans="1:236" s="233" customFormat="1" ht="12" customHeight="1">
      <c r="A21" s="223"/>
      <c r="B21" s="254">
        <v>5</v>
      </c>
      <c r="C21" s="684"/>
      <c r="D21" s="259" t="s">
        <v>157</v>
      </c>
      <c r="E21" s="114" t="s">
        <v>29</v>
      </c>
      <c r="F21" s="264">
        <v>3174.922</v>
      </c>
      <c r="G21" s="265">
        <f>-622.5-386-386-155-155-120-170-170-90-107</f>
        <v>-2361.5</v>
      </c>
      <c r="H21" s="264">
        <f t="shared" si="6"/>
        <v>813.42200000000003</v>
      </c>
      <c r="I21" s="262">
        <v>218.86699999999999</v>
      </c>
      <c r="J21" s="262">
        <v>0</v>
      </c>
      <c r="K21" s="258">
        <v>0</v>
      </c>
      <c r="L21" s="114">
        <f t="shared" si="3"/>
        <v>594.55500000000006</v>
      </c>
      <c r="M21" s="227">
        <f t="shared" si="1"/>
        <v>0.26906943751214007</v>
      </c>
      <c r="N21" s="228" t="str">
        <f>+'IC ANCH-SARC VIII'!O8</f>
        <v>-</v>
      </c>
      <c r="O21" s="578"/>
      <c r="P21" s="578"/>
      <c r="Q21" s="578"/>
      <c r="R21" s="578"/>
      <c r="S21" s="578"/>
      <c r="T21" s="229"/>
      <c r="U21" s="229"/>
      <c r="V21" s="229"/>
      <c r="W21" s="229"/>
      <c r="X21" s="229"/>
      <c r="Y21" s="229"/>
      <c r="Z21" s="229"/>
      <c r="AA21" s="229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2"/>
      <c r="IB21" s="232"/>
    </row>
    <row r="22" spans="1:236" s="229" customFormat="1" ht="13.15" customHeight="1">
      <c r="A22" s="223"/>
      <c r="B22" s="254">
        <v>6</v>
      </c>
      <c r="C22" s="684"/>
      <c r="D22" s="259" t="s">
        <v>158</v>
      </c>
      <c r="E22" s="114" t="s">
        <v>29</v>
      </c>
      <c r="F22" s="260">
        <v>5487.96</v>
      </c>
      <c r="G22" s="261"/>
      <c r="H22" s="260">
        <f t="shared" si="6"/>
        <v>5487.96</v>
      </c>
      <c r="I22" s="262">
        <v>4479.2150000000001</v>
      </c>
      <c r="J22" s="262">
        <v>0</v>
      </c>
      <c r="K22" s="258">
        <v>0.17699999999999999</v>
      </c>
      <c r="L22" s="114">
        <f t="shared" si="3"/>
        <v>1008.5680000000002</v>
      </c>
      <c r="M22" s="227">
        <f t="shared" si="1"/>
        <v>0.8162216925779342</v>
      </c>
      <c r="N22" s="228" t="str">
        <f>+'IC ANCH-SARC VIII'!O9</f>
        <v>-</v>
      </c>
      <c r="O22" s="578"/>
      <c r="P22" s="578"/>
      <c r="Q22" s="578"/>
      <c r="R22" s="578"/>
      <c r="S22" s="578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</row>
    <row r="23" spans="1:236" s="233" customFormat="1" ht="13.15" customHeight="1">
      <c r="A23" s="223"/>
      <c r="B23" s="254">
        <v>7</v>
      </c>
      <c r="C23" s="684"/>
      <c r="D23" s="266" t="s">
        <v>159</v>
      </c>
      <c r="E23" s="114" t="s">
        <v>29</v>
      </c>
      <c r="F23" s="260">
        <v>6374.1030000000001</v>
      </c>
      <c r="G23" s="261"/>
      <c r="H23" s="260">
        <f t="shared" si="6"/>
        <v>6374.1030000000001</v>
      </c>
      <c r="I23" s="262">
        <v>5194.2839999999997</v>
      </c>
      <c r="J23" s="262">
        <v>0</v>
      </c>
      <c r="K23" s="258">
        <v>0</v>
      </c>
      <c r="L23" s="114">
        <f t="shared" si="3"/>
        <v>1179.8190000000004</v>
      </c>
      <c r="M23" s="227">
        <f t="shared" si="1"/>
        <v>0.81490430888863885</v>
      </c>
      <c r="N23" s="228" t="str">
        <f>+'IC ANCH-SARC VIII'!O10</f>
        <v>-</v>
      </c>
      <c r="O23" s="578"/>
      <c r="P23" s="578"/>
      <c r="Q23" s="578"/>
      <c r="R23" s="578"/>
      <c r="S23" s="578"/>
      <c r="T23" s="229"/>
      <c r="U23" s="229"/>
      <c r="V23" s="229"/>
      <c r="W23" s="229"/>
      <c r="X23" s="229"/>
      <c r="Y23" s="229"/>
      <c r="Z23" s="229"/>
      <c r="AA23" s="229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2"/>
      <c r="IB23" s="232"/>
    </row>
    <row r="24" spans="1:236" s="233" customFormat="1" ht="13.15" customHeight="1">
      <c r="A24" s="223"/>
      <c r="B24" s="254">
        <v>8</v>
      </c>
      <c r="C24" s="684"/>
      <c r="D24" s="266" t="s">
        <v>160</v>
      </c>
      <c r="E24" s="114" t="s">
        <v>29</v>
      </c>
      <c r="F24" s="260">
        <v>2307.8150000000001</v>
      </c>
      <c r="G24" s="261"/>
      <c r="H24" s="260">
        <f t="shared" si="6"/>
        <v>2307.8150000000001</v>
      </c>
      <c r="I24" s="262">
        <v>1770.7460000000001</v>
      </c>
      <c r="J24" s="262">
        <v>0</v>
      </c>
      <c r="K24" s="258">
        <v>2E-3</v>
      </c>
      <c r="L24" s="114">
        <f t="shared" si="3"/>
        <v>537.06700000000001</v>
      </c>
      <c r="M24" s="227">
        <f t="shared" si="1"/>
        <v>0.76728333943578664</v>
      </c>
      <c r="N24" s="228" t="str">
        <f>+'IC ANCH-SARC VIII'!O11</f>
        <v>-</v>
      </c>
      <c r="O24" s="578"/>
      <c r="P24" s="578"/>
      <c r="Q24" s="578"/>
      <c r="R24" s="578"/>
      <c r="S24" s="578"/>
      <c r="T24" s="229"/>
      <c r="U24" s="229"/>
      <c r="V24" s="229"/>
      <c r="W24" s="229"/>
      <c r="X24" s="229"/>
      <c r="Y24" s="229"/>
      <c r="Z24" s="229"/>
      <c r="AA24" s="229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2"/>
    </row>
    <row r="25" spans="1:236" s="233" customFormat="1" ht="13.15" customHeight="1">
      <c r="A25" s="223"/>
      <c r="B25" s="254">
        <v>9</v>
      </c>
      <c r="C25" s="684"/>
      <c r="D25" s="266" t="s">
        <v>260</v>
      </c>
      <c r="E25" s="114" t="s">
        <v>29</v>
      </c>
      <c r="F25" s="260">
        <v>3762.444</v>
      </c>
      <c r="G25" s="261"/>
      <c r="H25" s="260">
        <f t="shared" si="6"/>
        <v>3762.444</v>
      </c>
      <c r="I25" s="262">
        <v>2137.9479999999999</v>
      </c>
      <c r="J25" s="262">
        <v>0</v>
      </c>
      <c r="K25" s="258">
        <v>0</v>
      </c>
      <c r="L25" s="114">
        <f t="shared" si="3"/>
        <v>1624.4960000000001</v>
      </c>
      <c r="M25" s="227">
        <f t="shared" si="1"/>
        <v>0.56823383949369077</v>
      </c>
      <c r="N25" s="228" t="str">
        <f>+'IC ANCH-SARC VIII'!O12</f>
        <v>-</v>
      </c>
      <c r="O25" s="578"/>
      <c r="P25" s="578"/>
      <c r="Q25" s="578"/>
      <c r="R25" s="578"/>
      <c r="S25" s="578"/>
      <c r="T25" s="229"/>
      <c r="U25" s="229"/>
      <c r="V25" s="229"/>
      <c r="W25" s="229"/>
      <c r="X25" s="229"/>
      <c r="Y25" s="229"/>
      <c r="Z25" s="229"/>
      <c r="AA25" s="229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2"/>
    </row>
    <row r="26" spans="1:236" s="233" customFormat="1" ht="13.15" customHeight="1">
      <c r="A26" s="223"/>
      <c r="B26" s="254">
        <v>10</v>
      </c>
      <c r="C26" s="684"/>
      <c r="D26" s="266" t="s">
        <v>261</v>
      </c>
      <c r="E26" s="114" t="s">
        <v>29</v>
      </c>
      <c r="F26" s="260">
        <v>1133.5820000000001</v>
      </c>
      <c r="G26" s="261">
        <f>-80-130.8-137</f>
        <v>-347.8</v>
      </c>
      <c r="H26" s="260">
        <f t="shared" si="6"/>
        <v>785.78200000000015</v>
      </c>
      <c r="I26" s="262">
        <v>672.09699999999998</v>
      </c>
      <c r="J26" s="262">
        <v>0</v>
      </c>
      <c r="K26" s="258">
        <v>0</v>
      </c>
      <c r="L26" s="114">
        <f t="shared" si="3"/>
        <v>113.68500000000017</v>
      </c>
      <c r="M26" s="227">
        <f t="shared" si="1"/>
        <v>0.85532246857270822</v>
      </c>
      <c r="N26" s="267" t="str">
        <f>+'IC ANCH-SARC VIII'!O13</f>
        <v>-</v>
      </c>
      <c r="O26" s="578"/>
      <c r="P26" s="578"/>
      <c r="Q26" s="578"/>
      <c r="R26" s="578"/>
      <c r="S26" s="578"/>
      <c r="T26" s="229"/>
      <c r="U26" s="229"/>
      <c r="V26" s="229"/>
      <c r="W26" s="229"/>
      <c r="X26" s="229"/>
      <c r="Y26" s="229"/>
      <c r="Z26" s="229"/>
      <c r="AA26" s="229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2"/>
    </row>
    <row r="27" spans="1:236" s="233" customFormat="1" ht="13.15" customHeight="1">
      <c r="A27" s="223"/>
      <c r="B27" s="254">
        <v>11</v>
      </c>
      <c r="C27" s="684"/>
      <c r="D27" s="266" t="s">
        <v>163</v>
      </c>
      <c r="E27" s="114" t="s">
        <v>29</v>
      </c>
      <c r="F27" s="260">
        <v>2123.509</v>
      </c>
      <c r="G27" s="265"/>
      <c r="H27" s="260">
        <f t="shared" si="6"/>
        <v>2123.509</v>
      </c>
      <c r="I27" s="262">
        <v>1316.3610000000001</v>
      </c>
      <c r="J27" s="262">
        <v>0</v>
      </c>
      <c r="K27" s="258">
        <v>46.16</v>
      </c>
      <c r="L27" s="114">
        <f t="shared" si="3"/>
        <v>760.98799999999983</v>
      </c>
      <c r="M27" s="227">
        <f t="shared" si="1"/>
        <v>0.64163655534306663</v>
      </c>
      <c r="N27" s="228" t="str">
        <f>+'IC ANCH-SARC VIII'!O14</f>
        <v>-</v>
      </c>
      <c r="O27" s="578"/>
      <c r="P27" s="578"/>
      <c r="Q27" s="578"/>
      <c r="R27" s="578"/>
      <c r="S27" s="578"/>
      <c r="T27" s="229"/>
      <c r="U27" s="229"/>
      <c r="V27" s="229"/>
      <c r="W27" s="229"/>
      <c r="X27" s="229"/>
      <c r="Y27" s="229"/>
      <c r="Z27" s="229"/>
      <c r="AA27" s="229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  <c r="FH27" s="231"/>
      <c r="FI27" s="231"/>
      <c r="FJ27" s="231"/>
      <c r="FK27" s="231"/>
      <c r="FL27" s="231"/>
      <c r="FM27" s="231"/>
      <c r="FN27" s="231"/>
      <c r="FO27" s="231"/>
      <c r="FP27" s="231"/>
      <c r="FQ27" s="231"/>
      <c r="FR27" s="231"/>
      <c r="FS27" s="231"/>
      <c r="FT27" s="231"/>
      <c r="FU27" s="231"/>
      <c r="FV27" s="231"/>
      <c r="FW27" s="231"/>
      <c r="FX27" s="231"/>
      <c r="FY27" s="231"/>
      <c r="FZ27" s="231"/>
      <c r="GA27" s="231"/>
      <c r="GB27" s="231"/>
      <c r="GC27" s="231"/>
      <c r="GD27" s="231"/>
      <c r="GE27" s="231"/>
      <c r="GF27" s="231"/>
      <c r="GG27" s="231"/>
      <c r="GH27" s="231"/>
      <c r="GI27" s="231"/>
      <c r="GJ27" s="231"/>
      <c r="GK27" s="231"/>
      <c r="GL27" s="231"/>
      <c r="GM27" s="231"/>
      <c r="GN27" s="231"/>
      <c r="GO27" s="231"/>
      <c r="GP27" s="231"/>
      <c r="GQ27" s="231"/>
      <c r="GR27" s="231"/>
      <c r="GS27" s="231"/>
      <c r="GT27" s="231"/>
      <c r="GU27" s="231"/>
      <c r="GV27" s="231"/>
      <c r="GW27" s="231"/>
      <c r="GX27" s="231"/>
      <c r="GY27" s="231"/>
      <c r="GZ27" s="231"/>
      <c r="HA27" s="231"/>
      <c r="HB27" s="231"/>
      <c r="HC27" s="231"/>
      <c r="HD27" s="231"/>
      <c r="HE27" s="231"/>
      <c r="HF27" s="231"/>
      <c r="HG27" s="231"/>
      <c r="HH27" s="231"/>
      <c r="HI27" s="231"/>
      <c r="HJ27" s="231"/>
      <c r="HK27" s="231"/>
      <c r="HL27" s="231"/>
      <c r="HM27" s="231"/>
      <c r="HN27" s="231"/>
      <c r="HO27" s="231"/>
      <c r="HP27" s="231"/>
      <c r="HQ27" s="231"/>
      <c r="HR27" s="231"/>
      <c r="HS27" s="231"/>
      <c r="HT27" s="231"/>
      <c r="HU27" s="231"/>
      <c r="HV27" s="231"/>
      <c r="HW27" s="231"/>
      <c r="HX27" s="231"/>
      <c r="HY27" s="231"/>
      <c r="HZ27" s="231"/>
      <c r="IA27" s="231"/>
      <c r="IB27" s="232"/>
    </row>
    <row r="28" spans="1:236" s="233" customFormat="1" ht="13.15" customHeight="1">
      <c r="A28" s="223"/>
      <c r="B28" s="268">
        <v>12</v>
      </c>
      <c r="C28" s="684"/>
      <c r="D28" s="493" t="s">
        <v>164</v>
      </c>
      <c r="E28" s="114" t="s">
        <v>29</v>
      </c>
      <c r="F28" s="260">
        <v>2217.7249999999999</v>
      </c>
      <c r="G28" s="261">
        <f>-90-21-18-25-16</f>
        <v>-170</v>
      </c>
      <c r="H28" s="260">
        <f t="shared" si="6"/>
        <v>2047.7249999999999</v>
      </c>
      <c r="I28" s="262">
        <v>2075.5810000000001</v>
      </c>
      <c r="J28" s="262">
        <v>0</v>
      </c>
      <c r="K28" s="258">
        <v>1381.7439999999999</v>
      </c>
      <c r="L28" s="594">
        <f t="shared" si="3"/>
        <v>-1409.6</v>
      </c>
      <c r="M28" s="227">
        <f>+(I28+J28+K28)/H28</f>
        <v>1.6883736829896592</v>
      </c>
      <c r="N28" s="415">
        <f>+'IC ANCH-SARC VIII'!O15</f>
        <v>43551</v>
      </c>
      <c r="O28" s="578"/>
      <c r="P28" s="578"/>
      <c r="Q28" s="578"/>
      <c r="R28" s="578"/>
      <c r="S28" s="578"/>
      <c r="T28" s="229"/>
      <c r="U28" s="229"/>
      <c r="V28" s="229"/>
      <c r="W28" s="229"/>
      <c r="X28" s="229"/>
      <c r="Y28" s="229"/>
      <c r="Z28" s="229"/>
      <c r="AA28" s="229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  <c r="FH28" s="231"/>
      <c r="FI28" s="231"/>
      <c r="FJ28" s="231"/>
      <c r="FK28" s="231"/>
      <c r="FL28" s="231"/>
      <c r="FM28" s="231"/>
      <c r="FN28" s="231"/>
      <c r="FO28" s="231"/>
      <c r="FP28" s="231"/>
      <c r="FQ28" s="231"/>
      <c r="FR28" s="231"/>
      <c r="FS28" s="231"/>
      <c r="FT28" s="231"/>
      <c r="FU28" s="231"/>
      <c r="FV28" s="231"/>
      <c r="FW28" s="231"/>
      <c r="FX28" s="231"/>
      <c r="FY28" s="231"/>
      <c r="FZ28" s="231"/>
      <c r="GA28" s="231"/>
      <c r="GB28" s="231"/>
      <c r="GC28" s="231"/>
      <c r="GD28" s="231"/>
      <c r="GE28" s="231"/>
      <c r="GF28" s="231"/>
      <c r="GG28" s="231"/>
      <c r="GH28" s="231"/>
      <c r="GI28" s="231"/>
      <c r="GJ28" s="231"/>
      <c r="GK28" s="231"/>
      <c r="GL28" s="231"/>
      <c r="GM28" s="231"/>
      <c r="GN28" s="231"/>
      <c r="GO28" s="231"/>
      <c r="GP28" s="231"/>
      <c r="GQ28" s="231"/>
      <c r="GR28" s="231"/>
      <c r="GS28" s="231"/>
      <c r="GT28" s="231"/>
      <c r="GU28" s="231"/>
      <c r="GV28" s="231"/>
      <c r="GW28" s="231"/>
      <c r="GX28" s="231"/>
      <c r="GY28" s="231"/>
      <c r="GZ28" s="231"/>
      <c r="HA28" s="231"/>
      <c r="HB28" s="231"/>
      <c r="HC28" s="231"/>
      <c r="HD28" s="231"/>
      <c r="HE28" s="231"/>
      <c r="HF28" s="231"/>
      <c r="HG28" s="231"/>
      <c r="HH28" s="231"/>
      <c r="HI28" s="231"/>
      <c r="HJ28" s="231"/>
      <c r="HK28" s="231"/>
      <c r="HL28" s="231"/>
      <c r="HM28" s="231"/>
      <c r="HN28" s="231"/>
      <c r="HO28" s="231"/>
      <c r="HP28" s="231"/>
      <c r="HQ28" s="231"/>
      <c r="HR28" s="231"/>
      <c r="HS28" s="231"/>
      <c r="HT28" s="231"/>
      <c r="HU28" s="231"/>
      <c r="HV28" s="231"/>
      <c r="HW28" s="231"/>
      <c r="HX28" s="231"/>
      <c r="HY28" s="231"/>
      <c r="HZ28" s="231"/>
      <c r="IA28" s="231"/>
      <c r="IB28" s="232"/>
    </row>
    <row r="29" spans="1:236" s="233" customFormat="1" ht="13.15" customHeight="1">
      <c r="A29" s="223"/>
      <c r="B29" s="254">
        <v>13</v>
      </c>
      <c r="C29" s="684"/>
      <c r="D29" s="266" t="s">
        <v>165</v>
      </c>
      <c r="E29" s="114" t="s">
        <v>29</v>
      </c>
      <c r="F29" s="260">
        <v>2684.627</v>
      </c>
      <c r="G29" s="261">
        <f>622.5+170+299</f>
        <v>1091.5</v>
      </c>
      <c r="H29" s="260">
        <f t="shared" si="6"/>
        <v>3776.127</v>
      </c>
      <c r="I29" s="262">
        <v>1857.556</v>
      </c>
      <c r="J29" s="262">
        <v>951.47900000000004</v>
      </c>
      <c r="K29" s="258">
        <v>0</v>
      </c>
      <c r="L29" s="114">
        <f t="shared" si="3"/>
        <v>967.0920000000001</v>
      </c>
      <c r="M29" s="227">
        <f t="shared" si="1"/>
        <v>0.74389314766161196</v>
      </c>
      <c r="N29" s="228" t="str">
        <f>+'IC ANCH-SARC VIII'!O16</f>
        <v>-</v>
      </c>
      <c r="O29" s="578"/>
      <c r="P29" s="578"/>
      <c r="Q29" s="578"/>
      <c r="R29" s="578"/>
      <c r="S29" s="578"/>
      <c r="T29" s="229"/>
      <c r="U29" s="229"/>
      <c r="V29" s="229"/>
      <c r="W29" s="229"/>
      <c r="X29" s="229"/>
      <c r="Y29" s="229"/>
      <c r="Z29" s="229"/>
      <c r="AA29" s="229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  <c r="FH29" s="231"/>
      <c r="FI29" s="231"/>
      <c r="FJ29" s="231"/>
      <c r="FK29" s="231"/>
      <c r="FL29" s="231"/>
      <c r="FM29" s="231"/>
      <c r="FN29" s="231"/>
      <c r="FO29" s="231"/>
      <c r="FP29" s="231"/>
      <c r="FQ29" s="231"/>
      <c r="FR29" s="231"/>
      <c r="FS29" s="231"/>
      <c r="FT29" s="231"/>
      <c r="FU29" s="231"/>
      <c r="FV29" s="231"/>
      <c r="FW29" s="231"/>
      <c r="FX29" s="231"/>
      <c r="FY29" s="231"/>
      <c r="FZ29" s="231"/>
      <c r="GA29" s="231"/>
      <c r="GB29" s="231"/>
      <c r="GC29" s="231"/>
      <c r="GD29" s="231"/>
      <c r="GE29" s="231"/>
      <c r="GF29" s="231"/>
      <c r="GG29" s="231"/>
      <c r="GH29" s="231"/>
      <c r="GI29" s="231"/>
      <c r="GJ29" s="231"/>
      <c r="GK29" s="231"/>
      <c r="GL29" s="231"/>
      <c r="GM29" s="231"/>
      <c r="GN29" s="231"/>
      <c r="GO29" s="231"/>
      <c r="GP29" s="231"/>
      <c r="GQ29" s="231"/>
      <c r="GR29" s="231"/>
      <c r="GS29" s="231"/>
      <c r="GT29" s="231"/>
      <c r="GU29" s="231"/>
      <c r="GV29" s="231"/>
      <c r="GW29" s="231"/>
      <c r="GX29" s="231"/>
      <c r="GY29" s="231"/>
      <c r="GZ29" s="231"/>
      <c r="HA29" s="231"/>
      <c r="HB29" s="231"/>
      <c r="HC29" s="231"/>
      <c r="HD29" s="231"/>
      <c r="HE29" s="231"/>
      <c r="HF29" s="231"/>
      <c r="HG29" s="231"/>
      <c r="HH29" s="231"/>
      <c r="HI29" s="231"/>
      <c r="HJ29" s="231"/>
      <c r="HK29" s="231"/>
      <c r="HL29" s="231"/>
      <c r="HM29" s="231"/>
      <c r="HN29" s="231"/>
      <c r="HO29" s="231"/>
      <c r="HP29" s="231"/>
      <c r="HQ29" s="231"/>
      <c r="HR29" s="231"/>
      <c r="HS29" s="231"/>
      <c r="HT29" s="231"/>
      <c r="HU29" s="231"/>
      <c r="HV29" s="231"/>
      <c r="HW29" s="231"/>
      <c r="HX29" s="231"/>
      <c r="HY29" s="231"/>
      <c r="HZ29" s="231"/>
      <c r="IA29" s="231"/>
      <c r="IB29" s="232"/>
    </row>
    <row r="30" spans="1:236" s="233" customFormat="1" ht="13.15" customHeight="1">
      <c r="A30" s="223"/>
      <c r="B30" s="254">
        <v>14</v>
      </c>
      <c r="C30" s="684"/>
      <c r="D30" s="266" t="s">
        <v>166</v>
      </c>
      <c r="E30" s="114" t="s">
        <v>29</v>
      </c>
      <c r="F30" s="260">
        <v>930.16099999999994</v>
      </c>
      <c r="G30" s="261"/>
      <c r="H30" s="260">
        <f t="shared" si="6"/>
        <v>930.16099999999994</v>
      </c>
      <c r="I30" s="262">
        <v>450.11599999999999</v>
      </c>
      <c r="J30" s="262">
        <v>0</v>
      </c>
      <c r="K30" s="258">
        <v>0</v>
      </c>
      <c r="L30" s="114">
        <f t="shared" si="3"/>
        <v>480.04499999999996</v>
      </c>
      <c r="M30" s="227">
        <f t="shared" si="1"/>
        <v>0.48391192492482488</v>
      </c>
      <c r="N30" s="228" t="str">
        <f>+'IC ANCH-SARC VIII'!O17</f>
        <v>-</v>
      </c>
      <c r="O30" s="578"/>
      <c r="P30" s="578"/>
      <c r="Q30" s="578"/>
      <c r="R30" s="578"/>
      <c r="S30" s="578"/>
      <c r="T30" s="229"/>
      <c r="U30" s="229"/>
      <c r="V30" s="229"/>
      <c r="W30" s="229"/>
      <c r="X30" s="229"/>
      <c r="Y30" s="229"/>
      <c r="Z30" s="229"/>
      <c r="AA30" s="229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  <c r="FH30" s="231"/>
      <c r="FI30" s="231"/>
      <c r="FJ30" s="231"/>
      <c r="FK30" s="231"/>
      <c r="FL30" s="231"/>
      <c r="FM30" s="231"/>
      <c r="FN30" s="231"/>
      <c r="FO30" s="231"/>
      <c r="FP30" s="231"/>
      <c r="FQ30" s="231"/>
      <c r="FR30" s="231"/>
      <c r="FS30" s="231"/>
      <c r="FT30" s="231"/>
      <c r="FU30" s="231"/>
      <c r="FV30" s="231"/>
      <c r="FW30" s="231"/>
      <c r="FX30" s="231"/>
      <c r="FY30" s="231"/>
      <c r="FZ30" s="231"/>
      <c r="GA30" s="231"/>
      <c r="GB30" s="231"/>
      <c r="GC30" s="231"/>
      <c r="GD30" s="231"/>
      <c r="GE30" s="231"/>
      <c r="GF30" s="231"/>
      <c r="GG30" s="231"/>
      <c r="GH30" s="231"/>
      <c r="GI30" s="231"/>
      <c r="GJ30" s="231"/>
      <c r="GK30" s="231"/>
      <c r="GL30" s="231"/>
      <c r="GM30" s="231"/>
      <c r="GN30" s="231"/>
      <c r="GO30" s="231"/>
      <c r="GP30" s="231"/>
      <c r="GQ30" s="231"/>
      <c r="GR30" s="231"/>
      <c r="GS30" s="231"/>
      <c r="GT30" s="231"/>
      <c r="GU30" s="231"/>
      <c r="GV30" s="231"/>
      <c r="GW30" s="231"/>
      <c r="GX30" s="231"/>
      <c r="GY30" s="231"/>
      <c r="GZ30" s="231"/>
      <c r="HA30" s="231"/>
      <c r="HB30" s="231"/>
      <c r="HC30" s="231"/>
      <c r="HD30" s="231"/>
      <c r="HE30" s="231"/>
      <c r="HF30" s="231"/>
      <c r="HG30" s="231"/>
      <c r="HH30" s="231"/>
      <c r="HI30" s="231"/>
      <c r="HJ30" s="231"/>
      <c r="HK30" s="231"/>
      <c r="HL30" s="231"/>
      <c r="HM30" s="231"/>
      <c r="HN30" s="231"/>
      <c r="HO30" s="231"/>
      <c r="HP30" s="231"/>
      <c r="HQ30" s="231"/>
      <c r="HR30" s="231"/>
      <c r="HS30" s="231"/>
      <c r="HT30" s="231"/>
      <c r="HU30" s="231"/>
      <c r="HV30" s="231"/>
      <c r="HW30" s="231"/>
      <c r="HX30" s="231"/>
      <c r="HY30" s="231"/>
      <c r="HZ30" s="231"/>
      <c r="IA30" s="231"/>
      <c r="IB30" s="232"/>
    </row>
    <row r="31" spans="1:236" s="233" customFormat="1" ht="13.15" customHeight="1">
      <c r="A31" s="223"/>
      <c r="B31" s="254">
        <v>15</v>
      </c>
      <c r="C31" s="684"/>
      <c r="D31" s="266" t="s">
        <v>167</v>
      </c>
      <c r="E31" s="114" t="s">
        <v>29</v>
      </c>
      <c r="F31" s="260">
        <v>59.726999999999997</v>
      </c>
      <c r="G31" s="261">
        <v>-48.85</v>
      </c>
      <c r="H31" s="260">
        <f t="shared" si="6"/>
        <v>10.876999999999995</v>
      </c>
      <c r="I31" s="262">
        <v>0</v>
      </c>
      <c r="J31" s="262">
        <v>0</v>
      </c>
      <c r="K31" s="258">
        <v>0</v>
      </c>
      <c r="L31" s="114">
        <f t="shared" si="3"/>
        <v>10.876999999999995</v>
      </c>
      <c r="M31" s="227">
        <f t="shared" si="1"/>
        <v>0</v>
      </c>
      <c r="N31" s="415">
        <f>+'IC ANCH-SARC VIII'!O18</f>
        <v>43537</v>
      </c>
      <c r="O31" s="578"/>
      <c r="P31" s="578"/>
      <c r="Q31" s="578"/>
      <c r="R31" s="578"/>
      <c r="S31" s="578"/>
      <c r="T31" s="229"/>
      <c r="U31" s="229"/>
      <c r="V31" s="229"/>
      <c r="W31" s="229"/>
      <c r="X31" s="229"/>
      <c r="Y31" s="229"/>
      <c r="Z31" s="229"/>
      <c r="AA31" s="229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  <c r="FJ31" s="231"/>
      <c r="FK31" s="231"/>
      <c r="FL31" s="231"/>
      <c r="FM31" s="231"/>
      <c r="FN31" s="231"/>
      <c r="FO31" s="231"/>
      <c r="FP31" s="231"/>
      <c r="FQ31" s="231"/>
      <c r="FR31" s="231"/>
      <c r="FS31" s="231"/>
      <c r="FT31" s="231"/>
      <c r="FU31" s="231"/>
      <c r="FV31" s="231"/>
      <c r="FW31" s="231"/>
      <c r="FX31" s="231"/>
      <c r="FY31" s="231"/>
      <c r="FZ31" s="231"/>
      <c r="GA31" s="231"/>
      <c r="GB31" s="231"/>
      <c r="GC31" s="231"/>
      <c r="GD31" s="231"/>
      <c r="GE31" s="231"/>
      <c r="GF31" s="231"/>
      <c r="GG31" s="231"/>
      <c r="GH31" s="231"/>
      <c r="GI31" s="231"/>
      <c r="GJ31" s="231"/>
      <c r="GK31" s="231"/>
      <c r="GL31" s="231"/>
      <c r="GM31" s="231"/>
      <c r="GN31" s="231"/>
      <c r="GO31" s="231"/>
      <c r="GP31" s="231"/>
      <c r="GQ31" s="231"/>
      <c r="GR31" s="231"/>
      <c r="GS31" s="231"/>
      <c r="GT31" s="231"/>
      <c r="GU31" s="231"/>
      <c r="GV31" s="231"/>
      <c r="GW31" s="231"/>
      <c r="GX31" s="231"/>
      <c r="GY31" s="231"/>
      <c r="GZ31" s="231"/>
      <c r="HA31" s="231"/>
      <c r="HB31" s="231"/>
      <c r="HC31" s="231"/>
      <c r="HD31" s="231"/>
      <c r="HE31" s="231"/>
      <c r="HF31" s="231"/>
      <c r="HG31" s="231"/>
      <c r="HH31" s="231"/>
      <c r="HI31" s="231"/>
      <c r="HJ31" s="231"/>
      <c r="HK31" s="231"/>
      <c r="HL31" s="231"/>
      <c r="HM31" s="231"/>
      <c r="HN31" s="231"/>
      <c r="HO31" s="231"/>
      <c r="HP31" s="231"/>
      <c r="HQ31" s="231"/>
      <c r="HR31" s="231"/>
      <c r="HS31" s="231"/>
      <c r="HT31" s="231"/>
      <c r="HU31" s="231"/>
      <c r="HV31" s="231"/>
      <c r="HW31" s="231"/>
      <c r="HX31" s="231"/>
      <c r="HY31" s="231"/>
      <c r="HZ31" s="231"/>
      <c r="IA31" s="231"/>
      <c r="IB31" s="232"/>
    </row>
    <row r="32" spans="1:236" s="233" customFormat="1" ht="13.15" customHeight="1">
      <c r="A32" s="223"/>
      <c r="B32" s="254">
        <v>16</v>
      </c>
      <c r="C32" s="684"/>
      <c r="D32" s="266" t="s">
        <v>168</v>
      </c>
      <c r="E32" s="114" t="s">
        <v>29</v>
      </c>
      <c r="F32" s="225">
        <v>21847.859</v>
      </c>
      <c r="G32" s="261">
        <f>40.52+2000+780+180+44.8+400+100</f>
        <v>3545.32</v>
      </c>
      <c r="H32" s="225">
        <f t="shared" si="6"/>
        <v>25393.179</v>
      </c>
      <c r="I32" s="226">
        <v>19113.030999999999</v>
      </c>
      <c r="J32" s="226">
        <v>3287.3270000000002</v>
      </c>
      <c r="K32" s="258">
        <v>0</v>
      </c>
      <c r="L32" s="114">
        <f t="shared" si="3"/>
        <v>2992.8209999999999</v>
      </c>
      <c r="M32" s="227">
        <f t="shared" si="1"/>
        <v>0.88214075126237645</v>
      </c>
      <c r="N32" s="228" t="str">
        <f>+'IC ANCH-SARC VIII'!O19</f>
        <v>-</v>
      </c>
      <c r="O32" s="578"/>
      <c r="P32" s="578"/>
      <c r="Q32" s="578"/>
      <c r="R32" s="578"/>
      <c r="S32" s="578"/>
      <c r="T32" s="229"/>
      <c r="U32" s="229"/>
      <c r="V32" s="229"/>
      <c r="W32" s="229"/>
      <c r="X32" s="229"/>
      <c r="Y32" s="229"/>
      <c r="Z32" s="229"/>
      <c r="AA32" s="229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A32" s="231"/>
      <c r="GB32" s="231"/>
      <c r="GC32" s="231"/>
      <c r="GD32" s="231"/>
      <c r="GE32" s="231"/>
      <c r="GF32" s="231"/>
      <c r="GG32" s="231"/>
      <c r="GH32" s="231"/>
      <c r="GI32" s="231"/>
      <c r="GJ32" s="231"/>
      <c r="GK32" s="231"/>
      <c r="GL32" s="231"/>
      <c r="GM32" s="231"/>
      <c r="GN32" s="231"/>
      <c r="GO32" s="231"/>
      <c r="GP32" s="231"/>
      <c r="GQ32" s="231"/>
      <c r="GR32" s="231"/>
      <c r="GS32" s="231"/>
      <c r="GT32" s="231"/>
      <c r="GU32" s="231"/>
      <c r="GV32" s="231"/>
      <c r="GW32" s="231"/>
      <c r="GX32" s="231"/>
      <c r="GY32" s="231"/>
      <c r="GZ32" s="231"/>
      <c r="HA32" s="231"/>
      <c r="HB32" s="231"/>
      <c r="HC32" s="231"/>
      <c r="HD32" s="231"/>
      <c r="HE32" s="231"/>
      <c r="HF32" s="231"/>
      <c r="HG32" s="231"/>
      <c r="HH32" s="231"/>
      <c r="HI32" s="231"/>
      <c r="HJ32" s="231"/>
      <c r="HK32" s="231"/>
      <c r="HL32" s="231"/>
      <c r="HM32" s="231"/>
      <c r="HN32" s="231"/>
      <c r="HO32" s="231"/>
      <c r="HP32" s="231"/>
      <c r="HQ32" s="231"/>
      <c r="HR32" s="231"/>
      <c r="HS32" s="231"/>
      <c r="HT32" s="231"/>
      <c r="HU32" s="231"/>
      <c r="HV32" s="231"/>
      <c r="HW32" s="231"/>
      <c r="HX32" s="231"/>
      <c r="HY32" s="231"/>
      <c r="HZ32" s="231"/>
      <c r="IA32" s="231"/>
      <c r="IB32" s="232"/>
    </row>
    <row r="33" spans="1:236" s="233" customFormat="1" ht="13.15" customHeight="1">
      <c r="A33" s="223"/>
      <c r="B33" s="254">
        <v>17</v>
      </c>
      <c r="C33" s="684"/>
      <c r="D33" s="266" t="s">
        <v>169</v>
      </c>
      <c r="E33" s="270" t="s">
        <v>29</v>
      </c>
      <c r="F33" s="271">
        <v>399.488</v>
      </c>
      <c r="G33" s="265">
        <f>-72.94-60-110</f>
        <v>-242.94</v>
      </c>
      <c r="H33" s="271">
        <f t="shared" si="6"/>
        <v>156.548</v>
      </c>
      <c r="I33" s="272">
        <v>140.62299999999999</v>
      </c>
      <c r="J33" s="272">
        <v>0</v>
      </c>
      <c r="K33" s="258">
        <v>0</v>
      </c>
      <c r="L33" s="114">
        <f t="shared" si="3"/>
        <v>15.925000000000011</v>
      </c>
      <c r="M33" s="227">
        <f t="shared" si="1"/>
        <v>0.89827401180468602</v>
      </c>
      <c r="N33" s="228" t="str">
        <f>+'IC ANCH-SARC VIII'!O20</f>
        <v>-</v>
      </c>
      <c r="O33" s="578"/>
      <c r="P33" s="578"/>
      <c r="Q33" s="578"/>
      <c r="R33" s="578"/>
      <c r="S33" s="578"/>
      <c r="T33" s="229"/>
      <c r="U33" s="229"/>
      <c r="V33" s="229"/>
      <c r="W33" s="229"/>
      <c r="X33" s="229"/>
      <c r="Y33" s="229"/>
      <c r="Z33" s="229"/>
      <c r="AA33" s="229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  <c r="FH33" s="231"/>
      <c r="FI33" s="231"/>
      <c r="FJ33" s="231"/>
      <c r="FK33" s="231"/>
      <c r="FL33" s="231"/>
      <c r="FM33" s="231"/>
      <c r="FN33" s="231"/>
      <c r="FO33" s="231"/>
      <c r="FP33" s="231"/>
      <c r="FQ33" s="231"/>
      <c r="FR33" s="231"/>
      <c r="FS33" s="231"/>
      <c r="FT33" s="231"/>
      <c r="FU33" s="231"/>
      <c r="FV33" s="231"/>
      <c r="FW33" s="231"/>
      <c r="FX33" s="231"/>
      <c r="FY33" s="231"/>
      <c r="FZ33" s="231"/>
      <c r="GA33" s="231"/>
      <c r="GB33" s="231"/>
      <c r="GC33" s="231"/>
      <c r="GD33" s="231"/>
      <c r="GE33" s="231"/>
      <c r="GF33" s="231"/>
      <c r="GG33" s="231"/>
      <c r="GH33" s="231"/>
      <c r="GI33" s="231"/>
      <c r="GJ33" s="231"/>
      <c r="GK33" s="231"/>
      <c r="GL33" s="231"/>
      <c r="GM33" s="231"/>
      <c r="GN33" s="231"/>
      <c r="GO33" s="231"/>
      <c r="GP33" s="231"/>
      <c r="GQ33" s="231"/>
      <c r="GR33" s="231"/>
      <c r="GS33" s="231"/>
      <c r="GT33" s="231"/>
      <c r="GU33" s="231"/>
      <c r="GV33" s="231"/>
      <c r="GW33" s="231"/>
      <c r="GX33" s="231"/>
      <c r="GY33" s="231"/>
      <c r="GZ33" s="231"/>
      <c r="HA33" s="231"/>
      <c r="HB33" s="231"/>
      <c r="HC33" s="231"/>
      <c r="HD33" s="231"/>
      <c r="HE33" s="231"/>
      <c r="HF33" s="231"/>
      <c r="HG33" s="231"/>
      <c r="HH33" s="231"/>
      <c r="HI33" s="231"/>
      <c r="HJ33" s="231"/>
      <c r="HK33" s="231"/>
      <c r="HL33" s="231"/>
      <c r="HM33" s="231"/>
      <c r="HN33" s="231"/>
      <c r="HO33" s="231"/>
      <c r="HP33" s="231"/>
      <c r="HQ33" s="231"/>
      <c r="HR33" s="231"/>
      <c r="HS33" s="231"/>
      <c r="HT33" s="231"/>
      <c r="HU33" s="231"/>
      <c r="HV33" s="231"/>
      <c r="HW33" s="231"/>
      <c r="HX33" s="231"/>
      <c r="HY33" s="231"/>
      <c r="HZ33" s="231"/>
      <c r="IA33" s="231"/>
      <c r="IB33" s="232"/>
    </row>
    <row r="34" spans="1:236" s="233" customFormat="1" ht="13.15" customHeight="1">
      <c r="A34" s="223"/>
      <c r="B34" s="254">
        <v>18</v>
      </c>
      <c r="C34" s="684"/>
      <c r="D34" s="266" t="s">
        <v>262</v>
      </c>
      <c r="E34" s="114" t="s">
        <v>29</v>
      </c>
      <c r="F34" s="260">
        <v>3874.4079999999999</v>
      </c>
      <c r="G34" s="261">
        <v>299</v>
      </c>
      <c r="H34" s="260">
        <f t="shared" si="6"/>
        <v>4173.4079999999994</v>
      </c>
      <c r="I34" s="262">
        <v>1840.001</v>
      </c>
      <c r="J34" s="262">
        <v>213.465</v>
      </c>
      <c r="K34" s="258">
        <v>0</v>
      </c>
      <c r="L34" s="114">
        <f t="shared" si="3"/>
        <v>2119.9419999999996</v>
      </c>
      <c r="M34" s="227">
        <f t="shared" si="1"/>
        <v>0.49203576549429151</v>
      </c>
      <c r="N34" s="228" t="str">
        <f>+'IC ANCH-SARC VIII'!O21</f>
        <v>-</v>
      </c>
      <c r="O34" s="578"/>
      <c r="P34" s="578"/>
      <c r="Q34" s="578"/>
      <c r="R34" s="578"/>
      <c r="S34" s="578"/>
      <c r="T34" s="229"/>
      <c r="U34" s="229"/>
      <c r="V34" s="229"/>
      <c r="W34" s="229"/>
      <c r="X34" s="229"/>
      <c r="Y34" s="229"/>
      <c r="Z34" s="229"/>
      <c r="AA34" s="229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  <c r="FH34" s="231"/>
      <c r="FI34" s="231"/>
      <c r="FJ34" s="231"/>
      <c r="FK34" s="231"/>
      <c r="FL34" s="231"/>
      <c r="FM34" s="231"/>
      <c r="FN34" s="231"/>
      <c r="FO34" s="231"/>
      <c r="FP34" s="231"/>
      <c r="FQ34" s="231"/>
      <c r="FR34" s="231"/>
      <c r="FS34" s="231"/>
      <c r="FT34" s="231"/>
      <c r="FU34" s="231"/>
      <c r="FV34" s="231"/>
      <c r="FW34" s="231"/>
      <c r="FX34" s="231"/>
      <c r="FY34" s="231"/>
      <c r="FZ34" s="231"/>
      <c r="GA34" s="231"/>
      <c r="GB34" s="231"/>
      <c r="GC34" s="231"/>
      <c r="GD34" s="231"/>
      <c r="GE34" s="231"/>
      <c r="GF34" s="231"/>
      <c r="GG34" s="231"/>
      <c r="GH34" s="231"/>
      <c r="GI34" s="231"/>
      <c r="GJ34" s="231"/>
      <c r="GK34" s="231"/>
      <c r="GL34" s="231"/>
      <c r="GM34" s="231"/>
      <c r="GN34" s="231"/>
      <c r="GO34" s="231"/>
      <c r="GP34" s="231"/>
      <c r="GQ34" s="231"/>
      <c r="GR34" s="231"/>
      <c r="GS34" s="231"/>
      <c r="GT34" s="231"/>
      <c r="GU34" s="231"/>
      <c r="GV34" s="231"/>
      <c r="GW34" s="231"/>
      <c r="GX34" s="231"/>
      <c r="GY34" s="231"/>
      <c r="GZ34" s="231"/>
      <c r="HA34" s="231"/>
      <c r="HB34" s="231"/>
      <c r="HC34" s="231"/>
      <c r="HD34" s="231"/>
      <c r="HE34" s="231"/>
      <c r="HF34" s="231"/>
      <c r="HG34" s="231"/>
      <c r="HH34" s="231"/>
      <c r="HI34" s="231"/>
      <c r="HJ34" s="231"/>
      <c r="HK34" s="231"/>
      <c r="HL34" s="231"/>
      <c r="HM34" s="231"/>
      <c r="HN34" s="231"/>
      <c r="HO34" s="231"/>
      <c r="HP34" s="231"/>
      <c r="HQ34" s="231"/>
      <c r="HR34" s="231"/>
      <c r="HS34" s="231"/>
      <c r="HT34" s="231"/>
      <c r="HU34" s="231"/>
      <c r="HV34" s="231"/>
      <c r="HW34" s="231"/>
      <c r="HX34" s="231"/>
      <c r="HY34" s="231"/>
      <c r="HZ34" s="231"/>
      <c r="IA34" s="231"/>
      <c r="IB34" s="232"/>
    </row>
    <row r="35" spans="1:236" s="233" customFormat="1" ht="13.15" customHeight="1">
      <c r="A35" s="223"/>
      <c r="B35" s="254">
        <v>19</v>
      </c>
      <c r="C35" s="684"/>
      <c r="D35" s="266" t="s">
        <v>263</v>
      </c>
      <c r="E35" s="114" t="s">
        <v>29</v>
      </c>
      <c r="F35" s="260">
        <v>2382.201</v>
      </c>
      <c r="G35" s="261"/>
      <c r="H35" s="260">
        <f t="shared" si="6"/>
        <v>2382.201</v>
      </c>
      <c r="I35" s="262">
        <v>2230.8629999999998</v>
      </c>
      <c r="J35" s="262">
        <v>0</v>
      </c>
      <c r="K35" s="258">
        <v>0</v>
      </c>
      <c r="L35" s="114">
        <f>H35-(I35+J35+K35)</f>
        <v>151.33800000000019</v>
      </c>
      <c r="M35" s="227">
        <f>+(I35+J35+K35)/H35</f>
        <v>0.93647135569164808</v>
      </c>
      <c r="N35" s="228" t="str">
        <f>+'IC ANCH-SARC VIII'!O22</f>
        <v>-</v>
      </c>
      <c r="O35" s="578"/>
      <c r="P35" s="578"/>
      <c r="Q35" s="578"/>
      <c r="R35" s="578"/>
      <c r="S35" s="578"/>
      <c r="T35" s="229"/>
      <c r="U35" s="229"/>
      <c r="V35" s="229"/>
      <c r="W35" s="229"/>
      <c r="X35" s="229"/>
      <c r="Y35" s="229"/>
      <c r="Z35" s="229"/>
      <c r="AA35" s="229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  <c r="FH35" s="231"/>
      <c r="FI35" s="231"/>
      <c r="FJ35" s="231"/>
      <c r="FK35" s="231"/>
      <c r="FL35" s="231"/>
      <c r="FM35" s="231"/>
      <c r="FN35" s="231"/>
      <c r="FO35" s="231"/>
      <c r="FP35" s="231"/>
      <c r="FQ35" s="231"/>
      <c r="FR35" s="231"/>
      <c r="FS35" s="231"/>
      <c r="FT35" s="231"/>
      <c r="FU35" s="231"/>
      <c r="FV35" s="231"/>
      <c r="FW35" s="231"/>
      <c r="FX35" s="231"/>
      <c r="FY35" s="231"/>
      <c r="FZ35" s="231"/>
      <c r="GA35" s="231"/>
      <c r="GB35" s="231"/>
      <c r="GC35" s="231"/>
      <c r="GD35" s="231"/>
      <c r="GE35" s="231"/>
      <c r="GF35" s="231"/>
      <c r="GG35" s="231"/>
      <c r="GH35" s="231"/>
      <c r="GI35" s="231"/>
      <c r="GJ35" s="231"/>
      <c r="GK35" s="231"/>
      <c r="GL35" s="231"/>
      <c r="GM35" s="231"/>
      <c r="GN35" s="231"/>
      <c r="GO35" s="231"/>
      <c r="GP35" s="231"/>
      <c r="GQ35" s="231"/>
      <c r="GR35" s="231"/>
      <c r="GS35" s="231"/>
      <c r="GT35" s="231"/>
      <c r="GU35" s="231"/>
      <c r="GV35" s="231"/>
      <c r="GW35" s="231"/>
      <c r="GX35" s="231"/>
      <c r="GY35" s="231"/>
      <c r="GZ35" s="231"/>
      <c r="HA35" s="231"/>
      <c r="HB35" s="231"/>
      <c r="HC35" s="231"/>
      <c r="HD35" s="231"/>
      <c r="HE35" s="231"/>
      <c r="HF35" s="231"/>
      <c r="HG35" s="231"/>
      <c r="HH35" s="231"/>
      <c r="HI35" s="231"/>
      <c r="HJ35" s="231"/>
      <c r="HK35" s="231"/>
      <c r="HL35" s="231"/>
      <c r="HM35" s="231"/>
      <c r="HN35" s="231"/>
      <c r="HO35" s="231"/>
      <c r="HP35" s="231"/>
      <c r="HQ35" s="231"/>
      <c r="HR35" s="231"/>
      <c r="HS35" s="231"/>
      <c r="HT35" s="231"/>
      <c r="HU35" s="231"/>
      <c r="HV35" s="231"/>
      <c r="HW35" s="231"/>
      <c r="HX35" s="231"/>
      <c r="HY35" s="231"/>
      <c r="HZ35" s="231"/>
      <c r="IA35" s="231"/>
      <c r="IB35" s="232"/>
    </row>
    <row r="36" spans="1:236" s="233" customFormat="1" ht="13.15" customHeight="1">
      <c r="A36" s="223"/>
      <c r="B36" s="254">
        <v>20</v>
      </c>
      <c r="C36" s="684"/>
      <c r="D36" s="266" t="s">
        <v>172</v>
      </c>
      <c r="E36" s="114" t="s">
        <v>29</v>
      </c>
      <c r="F36" s="260">
        <v>2671.605</v>
      </c>
      <c r="G36" s="261">
        <f>300</f>
        <v>300</v>
      </c>
      <c r="H36" s="260">
        <f t="shared" si="6"/>
        <v>2971.605</v>
      </c>
      <c r="I36" s="262">
        <v>1424.9760000000001</v>
      </c>
      <c r="J36" s="262">
        <v>299.91000000000003</v>
      </c>
      <c r="K36" s="258">
        <v>0</v>
      </c>
      <c r="L36" s="114">
        <f>H36-(I36+J36+K36)</f>
        <v>1246.7189999999998</v>
      </c>
      <c r="M36" s="227">
        <f>+(I36+J36+K36)/H36</f>
        <v>0.58045601619326936</v>
      </c>
      <c r="N36" s="228" t="str">
        <f>+'IC ANCH-SARC VIII'!O23</f>
        <v>-</v>
      </c>
      <c r="O36" s="578"/>
      <c r="P36" s="578"/>
      <c r="Q36" s="578"/>
      <c r="R36" s="578"/>
      <c r="S36" s="578"/>
      <c r="T36" s="229"/>
      <c r="U36" s="229"/>
      <c r="V36" s="229"/>
      <c r="W36" s="229"/>
      <c r="X36" s="229"/>
      <c r="Y36" s="229"/>
      <c r="Z36" s="229"/>
      <c r="AA36" s="229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1"/>
      <c r="FF36" s="231"/>
      <c r="FG36" s="231"/>
      <c r="FH36" s="231"/>
      <c r="FI36" s="231"/>
      <c r="FJ36" s="231"/>
      <c r="FK36" s="231"/>
      <c r="FL36" s="231"/>
      <c r="FM36" s="231"/>
      <c r="FN36" s="231"/>
      <c r="FO36" s="231"/>
      <c r="FP36" s="231"/>
      <c r="FQ36" s="231"/>
      <c r="FR36" s="231"/>
      <c r="FS36" s="231"/>
      <c r="FT36" s="231"/>
      <c r="FU36" s="231"/>
      <c r="FV36" s="231"/>
      <c r="FW36" s="231"/>
      <c r="FX36" s="231"/>
      <c r="FY36" s="231"/>
      <c r="FZ36" s="231"/>
      <c r="GA36" s="231"/>
      <c r="GB36" s="231"/>
      <c r="GC36" s="231"/>
      <c r="GD36" s="231"/>
      <c r="GE36" s="231"/>
      <c r="GF36" s="231"/>
      <c r="GG36" s="231"/>
      <c r="GH36" s="231"/>
      <c r="GI36" s="231"/>
      <c r="GJ36" s="231"/>
      <c r="GK36" s="231"/>
      <c r="GL36" s="231"/>
      <c r="GM36" s="231"/>
      <c r="GN36" s="231"/>
      <c r="GO36" s="231"/>
      <c r="GP36" s="231"/>
      <c r="GQ36" s="231"/>
      <c r="GR36" s="231"/>
      <c r="GS36" s="231"/>
      <c r="GT36" s="231"/>
      <c r="GU36" s="231"/>
      <c r="GV36" s="231"/>
      <c r="GW36" s="231"/>
      <c r="GX36" s="231"/>
      <c r="GY36" s="231"/>
      <c r="GZ36" s="231"/>
      <c r="HA36" s="231"/>
      <c r="HB36" s="231"/>
      <c r="HC36" s="231"/>
      <c r="HD36" s="231"/>
      <c r="HE36" s="231"/>
      <c r="HF36" s="231"/>
      <c r="HG36" s="231"/>
      <c r="HH36" s="231"/>
      <c r="HI36" s="231"/>
      <c r="HJ36" s="231"/>
      <c r="HK36" s="231"/>
      <c r="HL36" s="231"/>
      <c r="HM36" s="231"/>
      <c r="HN36" s="231"/>
      <c r="HO36" s="231"/>
      <c r="HP36" s="231"/>
      <c r="HQ36" s="231"/>
      <c r="HR36" s="231"/>
      <c r="HS36" s="231"/>
      <c r="HT36" s="231"/>
      <c r="HU36" s="231"/>
      <c r="HV36" s="231"/>
      <c r="HW36" s="231"/>
      <c r="HX36" s="231"/>
      <c r="HY36" s="231"/>
      <c r="HZ36" s="231"/>
      <c r="IA36" s="231"/>
      <c r="IB36" s="232"/>
    </row>
    <row r="37" spans="1:236" s="233" customFormat="1" ht="13.15" customHeight="1">
      <c r="A37" s="223"/>
      <c r="B37" s="254">
        <v>21</v>
      </c>
      <c r="C37" s="684"/>
      <c r="D37" s="266" t="s">
        <v>173</v>
      </c>
      <c r="E37" s="114" t="s">
        <v>29</v>
      </c>
      <c r="F37" s="273">
        <v>4853.5600000000004</v>
      </c>
      <c r="G37" s="261">
        <f>500</f>
        <v>500</v>
      </c>
      <c r="H37" s="273">
        <f t="shared" si="6"/>
        <v>5353.56</v>
      </c>
      <c r="I37" s="262">
        <v>3854.797</v>
      </c>
      <c r="J37" s="262">
        <v>71.215000000000003</v>
      </c>
      <c r="K37" s="258">
        <v>0</v>
      </c>
      <c r="L37" s="114">
        <f t="shared" si="3"/>
        <v>1427.5480000000002</v>
      </c>
      <c r="M37" s="227">
        <f t="shared" si="1"/>
        <v>0.73334603516164942</v>
      </c>
      <c r="N37" s="228" t="str">
        <f>+'IC ANCH-SARC VIII'!O24</f>
        <v>-</v>
      </c>
      <c r="O37" s="578"/>
      <c r="P37" s="578"/>
      <c r="Q37" s="578"/>
      <c r="R37" s="578"/>
      <c r="S37" s="578"/>
      <c r="T37" s="229"/>
      <c r="U37" s="229"/>
      <c r="V37" s="229"/>
      <c r="W37" s="229"/>
      <c r="X37" s="229"/>
      <c r="Y37" s="229"/>
      <c r="Z37" s="229"/>
      <c r="AA37" s="229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  <c r="FH37" s="231"/>
      <c r="FI37" s="231"/>
      <c r="FJ37" s="231"/>
      <c r="FK37" s="231"/>
      <c r="FL37" s="231"/>
      <c r="FM37" s="231"/>
      <c r="FN37" s="231"/>
      <c r="FO37" s="231"/>
      <c r="FP37" s="231"/>
      <c r="FQ37" s="231"/>
      <c r="FR37" s="231"/>
      <c r="FS37" s="231"/>
      <c r="FT37" s="231"/>
      <c r="FU37" s="231"/>
      <c r="FV37" s="231"/>
      <c r="FW37" s="231"/>
      <c r="FX37" s="231"/>
      <c r="FY37" s="231"/>
      <c r="FZ37" s="231"/>
      <c r="GA37" s="231"/>
      <c r="GB37" s="231"/>
      <c r="GC37" s="231"/>
      <c r="GD37" s="231"/>
      <c r="GE37" s="231"/>
      <c r="GF37" s="231"/>
      <c r="GG37" s="231"/>
      <c r="GH37" s="231"/>
      <c r="GI37" s="231"/>
      <c r="GJ37" s="231"/>
      <c r="GK37" s="231"/>
      <c r="GL37" s="231"/>
      <c r="GM37" s="231"/>
      <c r="GN37" s="231"/>
      <c r="GO37" s="231"/>
      <c r="GP37" s="231"/>
      <c r="GQ37" s="231"/>
      <c r="GR37" s="231"/>
      <c r="GS37" s="231"/>
      <c r="GT37" s="231"/>
      <c r="GU37" s="231"/>
      <c r="GV37" s="231"/>
      <c r="GW37" s="231"/>
      <c r="GX37" s="231"/>
      <c r="GY37" s="231"/>
      <c r="GZ37" s="231"/>
      <c r="HA37" s="231"/>
      <c r="HB37" s="231"/>
      <c r="HC37" s="231"/>
      <c r="HD37" s="231"/>
      <c r="HE37" s="231"/>
      <c r="HF37" s="231"/>
      <c r="HG37" s="231"/>
      <c r="HH37" s="231"/>
      <c r="HI37" s="231"/>
      <c r="HJ37" s="231"/>
      <c r="HK37" s="231"/>
      <c r="HL37" s="231"/>
      <c r="HM37" s="231"/>
      <c r="HN37" s="231"/>
      <c r="HO37" s="231"/>
      <c r="HP37" s="231"/>
      <c r="HQ37" s="231"/>
      <c r="HR37" s="231"/>
      <c r="HS37" s="231"/>
      <c r="HT37" s="231"/>
      <c r="HU37" s="231"/>
      <c r="HV37" s="231"/>
      <c r="HW37" s="231"/>
      <c r="HX37" s="231"/>
      <c r="HY37" s="231"/>
      <c r="HZ37" s="231"/>
      <c r="IA37" s="231"/>
      <c r="IB37" s="232"/>
    </row>
    <row r="38" spans="1:236" s="233" customFormat="1" ht="13.15" customHeight="1">
      <c r="A38" s="223"/>
      <c r="B38" s="254">
        <v>22</v>
      </c>
      <c r="C38" s="684"/>
      <c r="D38" s="266" t="s">
        <v>174</v>
      </c>
      <c r="E38" s="114" t="s">
        <v>29</v>
      </c>
      <c r="F38" s="260">
        <v>4430.0129999999999</v>
      </c>
      <c r="G38" s="261"/>
      <c r="H38" s="260">
        <f t="shared" si="6"/>
        <v>4430.0129999999999</v>
      </c>
      <c r="I38" s="262">
        <v>2640.5259999999998</v>
      </c>
      <c r="J38" s="262">
        <v>0</v>
      </c>
      <c r="K38" s="258">
        <v>0</v>
      </c>
      <c r="L38" s="114">
        <f t="shared" si="3"/>
        <v>1789.4870000000001</v>
      </c>
      <c r="M38" s="227">
        <f t="shared" si="1"/>
        <v>0.59605378133201858</v>
      </c>
      <c r="N38" s="228" t="str">
        <f>+'IC ANCH-SARC VIII'!O25</f>
        <v>-</v>
      </c>
      <c r="O38" s="578"/>
      <c r="P38" s="578"/>
      <c r="Q38" s="578"/>
      <c r="R38" s="578"/>
      <c r="S38" s="578"/>
      <c r="T38" s="229"/>
      <c r="U38" s="229"/>
      <c r="V38" s="229"/>
      <c r="W38" s="229"/>
      <c r="X38" s="229"/>
      <c r="Y38" s="229"/>
      <c r="Z38" s="229"/>
      <c r="AA38" s="229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231"/>
      <c r="FC38" s="231"/>
      <c r="FD38" s="231"/>
      <c r="FE38" s="231"/>
      <c r="FF38" s="231"/>
      <c r="FG38" s="231"/>
      <c r="FH38" s="231"/>
      <c r="FI38" s="231"/>
      <c r="FJ38" s="231"/>
      <c r="FK38" s="231"/>
      <c r="FL38" s="231"/>
      <c r="FM38" s="231"/>
      <c r="FN38" s="231"/>
      <c r="FO38" s="231"/>
      <c r="FP38" s="231"/>
      <c r="FQ38" s="231"/>
      <c r="FR38" s="231"/>
      <c r="FS38" s="231"/>
      <c r="FT38" s="231"/>
      <c r="FU38" s="231"/>
      <c r="FV38" s="231"/>
      <c r="FW38" s="231"/>
      <c r="FX38" s="231"/>
      <c r="FY38" s="231"/>
      <c r="FZ38" s="231"/>
      <c r="GA38" s="231"/>
      <c r="GB38" s="231"/>
      <c r="GC38" s="231"/>
      <c r="GD38" s="231"/>
      <c r="GE38" s="231"/>
      <c r="GF38" s="231"/>
      <c r="GG38" s="231"/>
      <c r="GH38" s="231"/>
      <c r="GI38" s="231"/>
      <c r="GJ38" s="231"/>
      <c r="GK38" s="231"/>
      <c r="GL38" s="231"/>
      <c r="GM38" s="231"/>
      <c r="GN38" s="231"/>
      <c r="GO38" s="231"/>
      <c r="GP38" s="231"/>
      <c r="GQ38" s="231"/>
      <c r="GR38" s="231"/>
      <c r="GS38" s="231"/>
      <c r="GT38" s="231"/>
      <c r="GU38" s="231"/>
      <c r="GV38" s="231"/>
      <c r="GW38" s="231"/>
      <c r="GX38" s="231"/>
      <c r="GY38" s="231"/>
      <c r="GZ38" s="231"/>
      <c r="HA38" s="231"/>
      <c r="HB38" s="231"/>
      <c r="HC38" s="231"/>
      <c r="HD38" s="231"/>
      <c r="HE38" s="231"/>
      <c r="HF38" s="231"/>
      <c r="HG38" s="231"/>
      <c r="HH38" s="231"/>
      <c r="HI38" s="231"/>
      <c r="HJ38" s="231"/>
      <c r="HK38" s="231"/>
      <c r="HL38" s="231"/>
      <c r="HM38" s="231"/>
      <c r="HN38" s="231"/>
      <c r="HO38" s="231"/>
      <c r="HP38" s="231"/>
      <c r="HQ38" s="231"/>
      <c r="HR38" s="231"/>
      <c r="HS38" s="231"/>
      <c r="HT38" s="231"/>
      <c r="HU38" s="231"/>
      <c r="HV38" s="231"/>
      <c r="HW38" s="231"/>
      <c r="HX38" s="231"/>
      <c r="HY38" s="231"/>
      <c r="HZ38" s="231"/>
      <c r="IA38" s="231"/>
      <c r="IB38" s="232"/>
    </row>
    <row r="39" spans="1:236" s="233" customFormat="1" ht="13.15" customHeight="1">
      <c r="A39" s="223"/>
      <c r="B39" s="254">
        <v>23</v>
      </c>
      <c r="C39" s="684"/>
      <c r="D39" s="266" t="s">
        <v>175</v>
      </c>
      <c r="E39" s="114" t="s">
        <v>29</v>
      </c>
      <c r="F39" s="260">
        <v>4181.4870000000001</v>
      </c>
      <c r="G39" s="265"/>
      <c r="H39" s="260">
        <f t="shared" si="6"/>
        <v>4181.4870000000001</v>
      </c>
      <c r="I39" s="262">
        <v>2737.489</v>
      </c>
      <c r="J39" s="262">
        <v>0</v>
      </c>
      <c r="K39" s="258">
        <v>0</v>
      </c>
      <c r="L39" s="114">
        <f t="shared" si="3"/>
        <v>1443.998</v>
      </c>
      <c r="M39" s="227">
        <f t="shared" si="1"/>
        <v>0.65466878170373366</v>
      </c>
      <c r="N39" s="228" t="str">
        <f>+'IC ANCH-SARC VIII'!O26</f>
        <v>-</v>
      </c>
      <c r="O39" s="578"/>
      <c r="P39" s="578"/>
      <c r="Q39" s="578"/>
      <c r="R39" s="578"/>
      <c r="S39" s="578"/>
      <c r="T39" s="229"/>
      <c r="U39" s="229"/>
      <c r="V39" s="229"/>
      <c r="W39" s="229"/>
      <c r="X39" s="229"/>
      <c r="Y39" s="229"/>
      <c r="Z39" s="229"/>
      <c r="AA39" s="229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1"/>
      <c r="FH39" s="231"/>
      <c r="FI39" s="231"/>
      <c r="FJ39" s="231"/>
      <c r="FK39" s="231"/>
      <c r="FL39" s="231"/>
      <c r="FM39" s="231"/>
      <c r="FN39" s="231"/>
      <c r="FO39" s="231"/>
      <c r="FP39" s="231"/>
      <c r="FQ39" s="231"/>
      <c r="FR39" s="231"/>
      <c r="FS39" s="231"/>
      <c r="FT39" s="231"/>
      <c r="FU39" s="231"/>
      <c r="FV39" s="231"/>
      <c r="FW39" s="231"/>
      <c r="FX39" s="231"/>
      <c r="FY39" s="231"/>
      <c r="FZ39" s="231"/>
      <c r="GA39" s="231"/>
      <c r="GB39" s="231"/>
      <c r="GC39" s="231"/>
      <c r="GD39" s="231"/>
      <c r="GE39" s="231"/>
      <c r="GF39" s="231"/>
      <c r="GG39" s="231"/>
      <c r="GH39" s="231"/>
      <c r="GI39" s="231"/>
      <c r="GJ39" s="231"/>
      <c r="GK39" s="231"/>
      <c r="GL39" s="231"/>
      <c r="GM39" s="231"/>
      <c r="GN39" s="231"/>
      <c r="GO39" s="231"/>
      <c r="GP39" s="231"/>
      <c r="GQ39" s="231"/>
      <c r="GR39" s="231"/>
      <c r="GS39" s="231"/>
      <c r="GT39" s="231"/>
      <c r="GU39" s="231"/>
      <c r="GV39" s="231"/>
      <c r="GW39" s="231"/>
      <c r="GX39" s="231"/>
      <c r="GY39" s="231"/>
      <c r="GZ39" s="231"/>
      <c r="HA39" s="231"/>
      <c r="HB39" s="231"/>
      <c r="HC39" s="231"/>
      <c r="HD39" s="231"/>
      <c r="HE39" s="231"/>
      <c r="HF39" s="231"/>
      <c r="HG39" s="231"/>
      <c r="HH39" s="231"/>
      <c r="HI39" s="231"/>
      <c r="HJ39" s="231"/>
      <c r="HK39" s="231"/>
      <c r="HL39" s="231"/>
      <c r="HM39" s="231"/>
      <c r="HN39" s="231"/>
      <c r="HO39" s="231"/>
      <c r="HP39" s="231"/>
      <c r="HQ39" s="231"/>
      <c r="HR39" s="231"/>
      <c r="HS39" s="231"/>
      <c r="HT39" s="231"/>
      <c r="HU39" s="231"/>
      <c r="HV39" s="231"/>
      <c r="HW39" s="231"/>
      <c r="HX39" s="231"/>
      <c r="HY39" s="231"/>
      <c r="HZ39" s="231"/>
      <c r="IA39" s="231"/>
      <c r="IB39" s="232"/>
    </row>
    <row r="40" spans="1:236" s="233" customFormat="1" ht="13.15" customHeight="1">
      <c r="A40" s="223"/>
      <c r="B40" s="254">
        <v>24</v>
      </c>
      <c r="C40" s="684"/>
      <c r="D40" s="266" t="s">
        <v>176</v>
      </c>
      <c r="E40" s="114" t="s">
        <v>29</v>
      </c>
      <c r="F40" s="260">
        <v>246.30699999999999</v>
      </c>
      <c r="G40" s="261">
        <f>340+76</f>
        <v>416</v>
      </c>
      <c r="H40" s="260">
        <f t="shared" si="6"/>
        <v>662.30700000000002</v>
      </c>
      <c r="I40" s="262">
        <v>292.03100000000001</v>
      </c>
      <c r="J40" s="262">
        <v>452.75799999999998</v>
      </c>
      <c r="K40" s="258">
        <v>0</v>
      </c>
      <c r="L40" s="114">
        <f t="shared" si="3"/>
        <v>-82.481999999999971</v>
      </c>
      <c r="M40" s="227">
        <f t="shared" si="1"/>
        <v>1.1245374124084451</v>
      </c>
      <c r="N40" s="269">
        <f>+'IC ANCH-SARC VIII'!O27</f>
        <v>43641</v>
      </c>
      <c r="O40" s="578"/>
      <c r="P40" s="578"/>
      <c r="Q40" s="578"/>
      <c r="R40" s="578"/>
      <c r="S40" s="578"/>
      <c r="T40" s="229"/>
      <c r="U40" s="229"/>
      <c r="V40" s="229"/>
      <c r="W40" s="229"/>
      <c r="X40" s="229"/>
      <c r="Y40" s="229"/>
      <c r="Z40" s="229"/>
      <c r="AA40" s="229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231"/>
      <c r="FE40" s="231"/>
      <c r="FF40" s="231"/>
      <c r="FG40" s="231"/>
      <c r="FH40" s="231"/>
      <c r="FI40" s="231"/>
      <c r="FJ40" s="231"/>
      <c r="FK40" s="231"/>
      <c r="FL40" s="231"/>
      <c r="FM40" s="231"/>
      <c r="FN40" s="231"/>
      <c r="FO40" s="231"/>
      <c r="FP40" s="231"/>
      <c r="FQ40" s="231"/>
      <c r="FR40" s="231"/>
      <c r="FS40" s="231"/>
      <c r="FT40" s="231"/>
      <c r="FU40" s="231"/>
      <c r="FV40" s="231"/>
      <c r="FW40" s="231"/>
      <c r="FX40" s="231"/>
      <c r="FY40" s="231"/>
      <c r="FZ40" s="231"/>
      <c r="GA40" s="231"/>
      <c r="GB40" s="231"/>
      <c r="GC40" s="231"/>
      <c r="GD40" s="231"/>
      <c r="GE40" s="231"/>
      <c r="GF40" s="231"/>
      <c r="GG40" s="231"/>
      <c r="GH40" s="231"/>
      <c r="GI40" s="231"/>
      <c r="GJ40" s="231"/>
      <c r="GK40" s="231"/>
      <c r="GL40" s="231"/>
      <c r="GM40" s="231"/>
      <c r="GN40" s="231"/>
      <c r="GO40" s="231"/>
      <c r="GP40" s="231"/>
      <c r="GQ40" s="231"/>
      <c r="GR40" s="231"/>
      <c r="GS40" s="231"/>
      <c r="GT40" s="231"/>
      <c r="GU40" s="231"/>
      <c r="GV40" s="231"/>
      <c r="GW40" s="231"/>
      <c r="GX40" s="231"/>
      <c r="GY40" s="231"/>
      <c r="GZ40" s="231"/>
      <c r="HA40" s="231"/>
      <c r="HB40" s="231"/>
      <c r="HC40" s="231"/>
      <c r="HD40" s="231"/>
      <c r="HE40" s="231"/>
      <c r="HF40" s="231"/>
      <c r="HG40" s="231"/>
      <c r="HH40" s="231"/>
      <c r="HI40" s="231"/>
      <c r="HJ40" s="231"/>
      <c r="HK40" s="231"/>
      <c r="HL40" s="231"/>
      <c r="HM40" s="231"/>
      <c r="HN40" s="231"/>
      <c r="HO40" s="231"/>
      <c r="HP40" s="231"/>
      <c r="HQ40" s="231"/>
      <c r="HR40" s="231"/>
      <c r="HS40" s="231"/>
      <c r="HT40" s="231"/>
      <c r="HU40" s="231"/>
      <c r="HV40" s="231"/>
      <c r="HW40" s="231"/>
      <c r="HX40" s="231"/>
      <c r="HY40" s="231"/>
      <c r="HZ40" s="231"/>
      <c r="IA40" s="231"/>
      <c r="IB40" s="232"/>
    </row>
    <row r="41" spans="1:236" s="233" customFormat="1" ht="13.15" customHeight="1">
      <c r="A41" s="223"/>
      <c r="B41" s="254">
        <v>25</v>
      </c>
      <c r="C41" s="684"/>
      <c r="D41" s="266" t="s">
        <v>177</v>
      </c>
      <c r="E41" s="114" t="s">
        <v>29</v>
      </c>
      <c r="F41" s="260">
        <v>3121.7280000000001</v>
      </c>
      <c r="G41" s="261"/>
      <c r="H41" s="260">
        <f t="shared" si="6"/>
        <v>3121.7280000000001</v>
      </c>
      <c r="I41" s="262">
        <v>2626.931</v>
      </c>
      <c r="J41" s="262">
        <v>0</v>
      </c>
      <c r="K41" s="258">
        <v>0</v>
      </c>
      <c r="L41" s="114">
        <f t="shared" si="3"/>
        <v>494.79700000000003</v>
      </c>
      <c r="M41" s="227">
        <f t="shared" si="1"/>
        <v>0.84149900311622283</v>
      </c>
      <c r="N41" s="228" t="str">
        <f>+'IC ANCH-SARC VIII'!O28</f>
        <v>-</v>
      </c>
      <c r="O41" s="578"/>
      <c r="P41" s="578"/>
      <c r="Q41" s="578"/>
      <c r="R41" s="578"/>
      <c r="S41" s="578"/>
      <c r="T41" s="229"/>
      <c r="U41" s="229"/>
      <c r="V41" s="229"/>
      <c r="W41" s="229"/>
      <c r="X41" s="229"/>
      <c r="Y41" s="229"/>
      <c r="Z41" s="229"/>
      <c r="AA41" s="229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  <c r="EK41" s="231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31"/>
      <c r="EW41" s="231"/>
      <c r="EX41" s="231"/>
      <c r="EY41" s="231"/>
      <c r="EZ41" s="231"/>
      <c r="FA41" s="231"/>
      <c r="FB41" s="231"/>
      <c r="FC41" s="231"/>
      <c r="FD41" s="231"/>
      <c r="FE41" s="231"/>
      <c r="FF41" s="231"/>
      <c r="FG41" s="231"/>
      <c r="FH41" s="231"/>
      <c r="FI41" s="231"/>
      <c r="FJ41" s="231"/>
      <c r="FK41" s="231"/>
      <c r="FL41" s="231"/>
      <c r="FM41" s="231"/>
      <c r="FN41" s="231"/>
      <c r="FO41" s="231"/>
      <c r="FP41" s="231"/>
      <c r="FQ41" s="231"/>
      <c r="FR41" s="231"/>
      <c r="FS41" s="231"/>
      <c r="FT41" s="231"/>
      <c r="FU41" s="231"/>
      <c r="FV41" s="231"/>
      <c r="FW41" s="231"/>
      <c r="FX41" s="231"/>
      <c r="FY41" s="231"/>
      <c r="FZ41" s="231"/>
      <c r="GA41" s="231"/>
      <c r="GB41" s="231"/>
      <c r="GC41" s="231"/>
      <c r="GD41" s="231"/>
      <c r="GE41" s="231"/>
      <c r="GF41" s="231"/>
      <c r="GG41" s="231"/>
      <c r="GH41" s="231"/>
      <c r="GI41" s="231"/>
      <c r="GJ41" s="231"/>
      <c r="GK41" s="231"/>
      <c r="GL41" s="231"/>
      <c r="GM41" s="231"/>
      <c r="GN41" s="231"/>
      <c r="GO41" s="231"/>
      <c r="GP41" s="231"/>
      <c r="GQ41" s="231"/>
      <c r="GR41" s="231"/>
      <c r="GS41" s="231"/>
      <c r="GT41" s="231"/>
      <c r="GU41" s="231"/>
      <c r="GV41" s="231"/>
      <c r="GW41" s="231"/>
      <c r="GX41" s="231"/>
      <c r="GY41" s="231"/>
      <c r="GZ41" s="231"/>
      <c r="HA41" s="231"/>
      <c r="HB41" s="231"/>
      <c r="HC41" s="231"/>
      <c r="HD41" s="231"/>
      <c r="HE41" s="231"/>
      <c r="HF41" s="231"/>
      <c r="HG41" s="231"/>
      <c r="HH41" s="231"/>
      <c r="HI41" s="231"/>
      <c r="HJ41" s="231"/>
      <c r="HK41" s="231"/>
      <c r="HL41" s="231"/>
      <c r="HM41" s="231"/>
      <c r="HN41" s="231"/>
      <c r="HO41" s="231"/>
      <c r="HP41" s="231"/>
      <c r="HQ41" s="231"/>
      <c r="HR41" s="231"/>
      <c r="HS41" s="231"/>
      <c r="HT41" s="231"/>
      <c r="HU41" s="231"/>
      <c r="HV41" s="231"/>
      <c r="HW41" s="231"/>
      <c r="HX41" s="231"/>
      <c r="HY41" s="231"/>
      <c r="HZ41" s="231"/>
      <c r="IA41" s="231"/>
      <c r="IB41" s="232"/>
    </row>
    <row r="42" spans="1:236" s="233" customFormat="1" ht="13.15" customHeight="1">
      <c r="A42" s="223"/>
      <c r="B42" s="254">
        <v>26</v>
      </c>
      <c r="C42" s="684"/>
      <c r="D42" s="259" t="s">
        <v>178</v>
      </c>
      <c r="E42" s="114" t="s">
        <v>29</v>
      </c>
      <c r="F42" s="260">
        <v>12.364000000000001</v>
      </c>
      <c r="G42" s="159">
        <v>-12.4</v>
      </c>
      <c r="H42" s="260">
        <f t="shared" si="6"/>
        <v>-3.5999999999999588E-2</v>
      </c>
      <c r="I42" s="262">
        <v>0</v>
      </c>
      <c r="J42" s="262">
        <v>0</v>
      </c>
      <c r="K42" s="258">
        <v>0</v>
      </c>
      <c r="L42" s="114">
        <f t="shared" si="3"/>
        <v>-3.5999999999999588E-2</v>
      </c>
      <c r="M42" s="227">
        <f t="shared" si="1"/>
        <v>0</v>
      </c>
      <c r="N42" s="228">
        <f>+'IC ANCH-SARC VIII'!O29</f>
        <v>43628</v>
      </c>
      <c r="O42" s="578"/>
      <c r="P42" s="578"/>
      <c r="Q42" s="578"/>
      <c r="R42" s="578"/>
      <c r="S42" s="578"/>
      <c r="T42" s="229"/>
      <c r="U42" s="229"/>
      <c r="V42" s="229"/>
      <c r="W42" s="229"/>
      <c r="X42" s="229"/>
      <c r="Y42" s="229"/>
      <c r="Z42" s="229"/>
      <c r="AA42" s="229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1"/>
      <c r="ET42" s="231"/>
      <c r="EU42" s="231"/>
      <c r="EV42" s="231"/>
      <c r="EW42" s="231"/>
      <c r="EX42" s="231"/>
      <c r="EY42" s="231"/>
      <c r="EZ42" s="231"/>
      <c r="FA42" s="231"/>
      <c r="FB42" s="231"/>
      <c r="FC42" s="231"/>
      <c r="FD42" s="231"/>
      <c r="FE42" s="231"/>
      <c r="FF42" s="231"/>
      <c r="FG42" s="231"/>
      <c r="FH42" s="231"/>
      <c r="FI42" s="231"/>
      <c r="FJ42" s="231"/>
      <c r="FK42" s="231"/>
      <c r="FL42" s="231"/>
      <c r="FM42" s="231"/>
      <c r="FN42" s="231"/>
      <c r="FO42" s="231"/>
      <c r="FP42" s="231"/>
      <c r="FQ42" s="231"/>
      <c r="FR42" s="231"/>
      <c r="FS42" s="231"/>
      <c r="FT42" s="231"/>
      <c r="FU42" s="231"/>
      <c r="FV42" s="231"/>
      <c r="FW42" s="231"/>
      <c r="FX42" s="231"/>
      <c r="FY42" s="231"/>
      <c r="FZ42" s="231"/>
      <c r="GA42" s="231"/>
      <c r="GB42" s="231"/>
      <c r="GC42" s="231"/>
      <c r="GD42" s="231"/>
      <c r="GE42" s="231"/>
      <c r="GF42" s="231"/>
      <c r="GG42" s="231"/>
      <c r="GH42" s="231"/>
      <c r="GI42" s="231"/>
      <c r="GJ42" s="231"/>
      <c r="GK42" s="231"/>
      <c r="GL42" s="231"/>
      <c r="GM42" s="231"/>
      <c r="GN42" s="231"/>
      <c r="GO42" s="231"/>
      <c r="GP42" s="231"/>
      <c r="GQ42" s="231"/>
      <c r="GR42" s="231"/>
      <c r="GS42" s="231"/>
      <c r="GT42" s="231"/>
      <c r="GU42" s="231"/>
      <c r="GV42" s="231"/>
      <c r="GW42" s="231"/>
      <c r="GX42" s="231"/>
      <c r="GY42" s="231"/>
      <c r="GZ42" s="231"/>
      <c r="HA42" s="231"/>
      <c r="HB42" s="231"/>
      <c r="HC42" s="231"/>
      <c r="HD42" s="231"/>
      <c r="HE42" s="231"/>
      <c r="HF42" s="231"/>
      <c r="HG42" s="231"/>
      <c r="HH42" s="231"/>
      <c r="HI42" s="231"/>
      <c r="HJ42" s="231"/>
      <c r="HK42" s="231"/>
      <c r="HL42" s="231"/>
      <c r="HM42" s="231"/>
      <c r="HN42" s="231"/>
      <c r="HO42" s="231"/>
      <c r="HP42" s="231"/>
      <c r="HQ42" s="231"/>
      <c r="HR42" s="231"/>
      <c r="HS42" s="231"/>
      <c r="HT42" s="231"/>
      <c r="HU42" s="231"/>
      <c r="HV42" s="231"/>
      <c r="HW42" s="231"/>
      <c r="HX42" s="231"/>
      <c r="HY42" s="231"/>
      <c r="HZ42" s="231"/>
      <c r="IA42" s="231"/>
      <c r="IB42" s="232"/>
    </row>
    <row r="43" spans="1:236" s="233" customFormat="1" ht="13.15" customHeight="1">
      <c r="A43" s="223"/>
      <c r="B43" s="254">
        <v>27</v>
      </c>
      <c r="C43" s="684"/>
      <c r="D43" s="259" t="s">
        <v>179</v>
      </c>
      <c r="E43" s="114" t="s">
        <v>29</v>
      </c>
      <c r="F43" s="260">
        <v>2383.4470000000001</v>
      </c>
      <c r="G43" s="261"/>
      <c r="H43" s="260">
        <f t="shared" si="6"/>
        <v>2383.4470000000001</v>
      </c>
      <c r="I43" s="262">
        <v>1290.643</v>
      </c>
      <c r="J43" s="262">
        <v>0</v>
      </c>
      <c r="K43" s="258">
        <v>0</v>
      </c>
      <c r="L43" s="114">
        <f t="shared" si="3"/>
        <v>1092.8040000000001</v>
      </c>
      <c r="M43" s="227">
        <f t="shared" si="1"/>
        <v>0.54150270595486283</v>
      </c>
      <c r="N43" s="228" t="str">
        <f>+'IC ANCH-SARC VIII'!O30</f>
        <v>-</v>
      </c>
      <c r="O43" s="578"/>
      <c r="P43" s="578"/>
      <c r="Q43" s="578"/>
      <c r="R43" s="578"/>
      <c r="S43" s="578"/>
      <c r="T43" s="229"/>
      <c r="U43" s="229"/>
      <c r="V43" s="229"/>
      <c r="W43" s="229"/>
      <c r="X43" s="229"/>
      <c r="Y43" s="229"/>
      <c r="Z43" s="229"/>
      <c r="AA43" s="229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1"/>
      <c r="FF43" s="231"/>
      <c r="FG43" s="231"/>
      <c r="FH43" s="231"/>
      <c r="FI43" s="231"/>
      <c r="FJ43" s="231"/>
      <c r="FK43" s="231"/>
      <c r="FL43" s="231"/>
      <c r="FM43" s="231"/>
      <c r="FN43" s="231"/>
      <c r="FO43" s="231"/>
      <c r="FP43" s="231"/>
      <c r="FQ43" s="231"/>
      <c r="FR43" s="231"/>
      <c r="FS43" s="231"/>
      <c r="FT43" s="231"/>
      <c r="FU43" s="231"/>
      <c r="FV43" s="231"/>
      <c r="FW43" s="231"/>
      <c r="FX43" s="231"/>
      <c r="FY43" s="231"/>
      <c r="FZ43" s="231"/>
      <c r="GA43" s="231"/>
      <c r="GB43" s="231"/>
      <c r="GC43" s="231"/>
      <c r="GD43" s="231"/>
      <c r="GE43" s="231"/>
      <c r="GF43" s="231"/>
      <c r="GG43" s="231"/>
      <c r="GH43" s="231"/>
      <c r="GI43" s="231"/>
      <c r="GJ43" s="231"/>
      <c r="GK43" s="231"/>
      <c r="GL43" s="231"/>
      <c r="GM43" s="231"/>
      <c r="GN43" s="231"/>
      <c r="GO43" s="231"/>
      <c r="GP43" s="231"/>
      <c r="GQ43" s="231"/>
      <c r="GR43" s="231"/>
      <c r="GS43" s="231"/>
      <c r="GT43" s="231"/>
      <c r="GU43" s="231"/>
      <c r="GV43" s="231"/>
      <c r="GW43" s="231"/>
      <c r="GX43" s="231"/>
      <c r="GY43" s="231"/>
      <c r="GZ43" s="231"/>
      <c r="HA43" s="231"/>
      <c r="HB43" s="231"/>
      <c r="HC43" s="231"/>
      <c r="HD43" s="231"/>
      <c r="HE43" s="231"/>
      <c r="HF43" s="231"/>
      <c r="HG43" s="231"/>
      <c r="HH43" s="231"/>
      <c r="HI43" s="231"/>
      <c r="HJ43" s="231"/>
      <c r="HK43" s="231"/>
      <c r="HL43" s="231"/>
      <c r="HM43" s="231"/>
      <c r="HN43" s="231"/>
      <c r="HO43" s="231"/>
      <c r="HP43" s="231"/>
      <c r="HQ43" s="231"/>
      <c r="HR43" s="231"/>
      <c r="HS43" s="231"/>
      <c r="HT43" s="231"/>
      <c r="HU43" s="231"/>
      <c r="HV43" s="231"/>
      <c r="HW43" s="231"/>
      <c r="HX43" s="231"/>
      <c r="HY43" s="231"/>
      <c r="HZ43" s="231"/>
      <c r="IA43" s="231"/>
      <c r="IB43" s="232"/>
    </row>
    <row r="44" spans="1:236" s="233" customFormat="1" ht="13.15" customHeight="1">
      <c r="A44" s="223"/>
      <c r="B44" s="254">
        <v>28</v>
      </c>
      <c r="C44" s="684"/>
      <c r="D44" s="259" t="s">
        <v>180</v>
      </c>
      <c r="E44" s="114" t="s">
        <v>29</v>
      </c>
      <c r="F44" s="260">
        <v>54.779000000000003</v>
      </c>
      <c r="G44" s="261">
        <f>-44.81-9.96</f>
        <v>-54.77</v>
      </c>
      <c r="H44" s="260">
        <f t="shared" si="6"/>
        <v>9.0000000000003411E-3</v>
      </c>
      <c r="I44" s="262">
        <v>0</v>
      </c>
      <c r="J44" s="262">
        <v>0</v>
      </c>
      <c r="K44" s="258">
        <v>0</v>
      </c>
      <c r="L44" s="114">
        <f t="shared" si="3"/>
        <v>9.0000000000003411E-3</v>
      </c>
      <c r="M44" s="227">
        <f t="shared" si="1"/>
        <v>0</v>
      </c>
      <c r="N44" s="415">
        <f>+'IC ANCH-SARC VIII'!O31</f>
        <v>43537</v>
      </c>
      <c r="O44" s="578"/>
      <c r="P44" s="578"/>
      <c r="Q44" s="578"/>
      <c r="R44" s="578"/>
      <c r="S44" s="578"/>
      <c r="T44" s="229"/>
      <c r="U44" s="229"/>
      <c r="V44" s="229"/>
      <c r="W44" s="229"/>
      <c r="X44" s="229"/>
      <c r="Y44" s="229"/>
      <c r="Z44" s="229"/>
      <c r="AA44" s="229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1"/>
      <c r="FF44" s="231"/>
      <c r="FG44" s="231"/>
      <c r="FH44" s="231"/>
      <c r="FI44" s="231"/>
      <c r="FJ44" s="231"/>
      <c r="FK44" s="231"/>
      <c r="FL44" s="231"/>
      <c r="FM44" s="231"/>
      <c r="FN44" s="231"/>
      <c r="FO44" s="231"/>
      <c r="FP44" s="231"/>
      <c r="FQ44" s="231"/>
      <c r="FR44" s="231"/>
      <c r="FS44" s="231"/>
      <c r="FT44" s="231"/>
      <c r="FU44" s="231"/>
      <c r="FV44" s="231"/>
      <c r="FW44" s="231"/>
      <c r="FX44" s="231"/>
      <c r="FY44" s="231"/>
      <c r="FZ44" s="231"/>
      <c r="GA44" s="231"/>
      <c r="GB44" s="231"/>
      <c r="GC44" s="231"/>
      <c r="GD44" s="231"/>
      <c r="GE44" s="231"/>
      <c r="GF44" s="231"/>
      <c r="GG44" s="231"/>
      <c r="GH44" s="231"/>
      <c r="GI44" s="231"/>
      <c r="GJ44" s="231"/>
      <c r="GK44" s="231"/>
      <c r="GL44" s="231"/>
      <c r="GM44" s="231"/>
      <c r="GN44" s="231"/>
      <c r="GO44" s="231"/>
      <c r="GP44" s="231"/>
      <c r="GQ44" s="231"/>
      <c r="GR44" s="231"/>
      <c r="GS44" s="231"/>
      <c r="GT44" s="231"/>
      <c r="GU44" s="231"/>
      <c r="GV44" s="231"/>
      <c r="GW44" s="231"/>
      <c r="GX44" s="231"/>
      <c r="GY44" s="231"/>
      <c r="GZ44" s="231"/>
      <c r="HA44" s="231"/>
      <c r="HB44" s="231"/>
      <c r="HC44" s="231"/>
      <c r="HD44" s="231"/>
      <c r="HE44" s="231"/>
      <c r="HF44" s="231"/>
      <c r="HG44" s="231"/>
      <c r="HH44" s="231"/>
      <c r="HI44" s="231"/>
      <c r="HJ44" s="231"/>
      <c r="HK44" s="231"/>
      <c r="HL44" s="231"/>
      <c r="HM44" s="231"/>
      <c r="HN44" s="231"/>
      <c r="HO44" s="231"/>
      <c r="HP44" s="231"/>
      <c r="HQ44" s="231"/>
      <c r="HR44" s="231"/>
      <c r="HS44" s="231"/>
      <c r="HT44" s="231"/>
      <c r="HU44" s="231"/>
      <c r="HV44" s="231"/>
      <c r="HW44" s="231"/>
      <c r="HX44" s="231"/>
      <c r="HY44" s="231"/>
      <c r="HZ44" s="231"/>
      <c r="IA44" s="231"/>
      <c r="IB44" s="232"/>
    </row>
    <row r="45" spans="1:236" s="233" customFormat="1" ht="13.15" customHeight="1">
      <c r="A45" s="223"/>
      <c r="B45" s="254">
        <v>29</v>
      </c>
      <c r="C45" s="684"/>
      <c r="D45" s="259" t="s">
        <v>181</v>
      </c>
      <c r="E45" s="114" t="s">
        <v>29</v>
      </c>
      <c r="F45" s="260">
        <v>4634.1570000000002</v>
      </c>
      <c r="G45" s="265">
        <f>-50+326</f>
        <v>276</v>
      </c>
      <c r="H45" s="260">
        <f t="shared" si="6"/>
        <v>4910.1570000000002</v>
      </c>
      <c r="I45" s="262">
        <v>3115.058</v>
      </c>
      <c r="J45" s="262">
        <v>50</v>
      </c>
      <c r="K45" s="258">
        <v>0</v>
      </c>
      <c r="L45" s="114">
        <f t="shared" si="3"/>
        <v>1745.0990000000002</v>
      </c>
      <c r="M45" s="227">
        <f t="shared" si="1"/>
        <v>0.64459405269526004</v>
      </c>
      <c r="N45" s="228" t="str">
        <f>+'IC ANCH-SARC VIII'!O32</f>
        <v>-</v>
      </c>
      <c r="O45" s="578"/>
      <c r="P45" s="578"/>
      <c r="Q45" s="578"/>
      <c r="R45" s="578"/>
      <c r="S45" s="578"/>
      <c r="T45" s="229"/>
      <c r="U45" s="229"/>
      <c r="V45" s="229"/>
      <c r="W45" s="229"/>
      <c r="X45" s="229"/>
      <c r="Y45" s="229"/>
      <c r="Z45" s="229"/>
      <c r="AA45" s="229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231"/>
      <c r="DK45" s="231"/>
      <c r="DL45" s="231"/>
      <c r="DM45" s="231"/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  <c r="EH45" s="231"/>
      <c r="EI45" s="231"/>
      <c r="EJ45" s="231"/>
      <c r="EK45" s="231"/>
      <c r="EL45" s="231"/>
      <c r="EM45" s="231"/>
      <c r="EN45" s="231"/>
      <c r="EO45" s="231"/>
      <c r="EP45" s="231"/>
      <c r="EQ45" s="231"/>
      <c r="ER45" s="231"/>
      <c r="ES45" s="231"/>
      <c r="ET45" s="231"/>
      <c r="EU45" s="231"/>
      <c r="EV45" s="231"/>
      <c r="EW45" s="231"/>
      <c r="EX45" s="231"/>
      <c r="EY45" s="231"/>
      <c r="EZ45" s="231"/>
      <c r="FA45" s="231"/>
      <c r="FB45" s="231"/>
      <c r="FC45" s="231"/>
      <c r="FD45" s="231"/>
      <c r="FE45" s="231"/>
      <c r="FF45" s="231"/>
      <c r="FG45" s="231"/>
      <c r="FH45" s="231"/>
      <c r="FI45" s="231"/>
      <c r="FJ45" s="231"/>
      <c r="FK45" s="231"/>
      <c r="FL45" s="231"/>
      <c r="FM45" s="231"/>
      <c r="FN45" s="231"/>
      <c r="FO45" s="231"/>
      <c r="FP45" s="231"/>
      <c r="FQ45" s="231"/>
      <c r="FR45" s="231"/>
      <c r="FS45" s="231"/>
      <c r="FT45" s="231"/>
      <c r="FU45" s="231"/>
      <c r="FV45" s="231"/>
      <c r="FW45" s="231"/>
      <c r="FX45" s="231"/>
      <c r="FY45" s="231"/>
      <c r="FZ45" s="231"/>
      <c r="GA45" s="231"/>
      <c r="GB45" s="231"/>
      <c r="GC45" s="231"/>
      <c r="GD45" s="231"/>
      <c r="GE45" s="231"/>
      <c r="GF45" s="231"/>
      <c r="GG45" s="231"/>
      <c r="GH45" s="231"/>
      <c r="GI45" s="231"/>
      <c r="GJ45" s="231"/>
      <c r="GK45" s="231"/>
      <c r="GL45" s="231"/>
      <c r="GM45" s="231"/>
      <c r="GN45" s="231"/>
      <c r="GO45" s="231"/>
      <c r="GP45" s="231"/>
      <c r="GQ45" s="231"/>
      <c r="GR45" s="231"/>
      <c r="GS45" s="231"/>
      <c r="GT45" s="231"/>
      <c r="GU45" s="231"/>
      <c r="GV45" s="231"/>
      <c r="GW45" s="231"/>
      <c r="GX45" s="231"/>
      <c r="GY45" s="231"/>
      <c r="GZ45" s="231"/>
      <c r="HA45" s="231"/>
      <c r="HB45" s="231"/>
      <c r="HC45" s="231"/>
      <c r="HD45" s="231"/>
      <c r="HE45" s="231"/>
      <c r="HF45" s="231"/>
      <c r="HG45" s="231"/>
      <c r="HH45" s="231"/>
      <c r="HI45" s="231"/>
      <c r="HJ45" s="231"/>
      <c r="HK45" s="231"/>
      <c r="HL45" s="231"/>
      <c r="HM45" s="231"/>
      <c r="HN45" s="231"/>
      <c r="HO45" s="231"/>
      <c r="HP45" s="231"/>
      <c r="HQ45" s="231"/>
      <c r="HR45" s="231"/>
      <c r="HS45" s="231"/>
      <c r="HT45" s="231"/>
      <c r="HU45" s="231"/>
      <c r="HV45" s="231"/>
      <c r="HW45" s="231"/>
      <c r="HX45" s="231"/>
      <c r="HY45" s="231"/>
      <c r="HZ45" s="231"/>
      <c r="IA45" s="231"/>
      <c r="IB45" s="232"/>
    </row>
    <row r="46" spans="1:236" s="233" customFormat="1" ht="13.15" customHeight="1">
      <c r="A46" s="223"/>
      <c r="B46" s="254">
        <v>30</v>
      </c>
      <c r="C46" s="684"/>
      <c r="D46" s="266" t="s">
        <v>182</v>
      </c>
      <c r="E46" s="114" t="s">
        <v>29</v>
      </c>
      <c r="F46" s="260">
        <v>6912.1880000000001</v>
      </c>
      <c r="G46" s="261"/>
      <c r="H46" s="260">
        <f t="shared" si="6"/>
        <v>6912.1880000000001</v>
      </c>
      <c r="I46" s="262">
        <v>4244.0569999999998</v>
      </c>
      <c r="J46" s="262">
        <v>0</v>
      </c>
      <c r="K46" s="258">
        <v>15.342000000000001</v>
      </c>
      <c r="L46" s="114">
        <f t="shared" si="3"/>
        <v>2652.7890000000007</v>
      </c>
      <c r="M46" s="227">
        <f t="shared" si="1"/>
        <v>0.61621573371557592</v>
      </c>
      <c r="N46" s="228" t="str">
        <f>+'IC ANCH-SARC VIII'!O33</f>
        <v>-</v>
      </c>
      <c r="O46" s="578"/>
      <c r="P46" s="578"/>
      <c r="Q46" s="578"/>
      <c r="R46" s="578"/>
      <c r="S46" s="578"/>
      <c r="T46" s="229"/>
      <c r="U46" s="229"/>
      <c r="V46" s="229"/>
      <c r="W46" s="229"/>
      <c r="X46" s="229"/>
      <c r="Y46" s="229"/>
      <c r="Z46" s="229"/>
      <c r="AA46" s="229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1"/>
      <c r="FB46" s="231"/>
      <c r="FC46" s="231"/>
      <c r="FD46" s="231"/>
      <c r="FE46" s="231"/>
      <c r="FF46" s="231"/>
      <c r="FG46" s="231"/>
      <c r="FH46" s="231"/>
      <c r="FI46" s="231"/>
      <c r="FJ46" s="231"/>
      <c r="FK46" s="231"/>
      <c r="FL46" s="231"/>
      <c r="FM46" s="231"/>
      <c r="FN46" s="231"/>
      <c r="FO46" s="231"/>
      <c r="FP46" s="231"/>
      <c r="FQ46" s="231"/>
      <c r="FR46" s="231"/>
      <c r="FS46" s="231"/>
      <c r="FT46" s="231"/>
      <c r="FU46" s="231"/>
      <c r="FV46" s="231"/>
      <c r="FW46" s="231"/>
      <c r="FX46" s="231"/>
      <c r="FY46" s="231"/>
      <c r="FZ46" s="231"/>
      <c r="GA46" s="231"/>
      <c r="GB46" s="231"/>
      <c r="GC46" s="231"/>
      <c r="GD46" s="231"/>
      <c r="GE46" s="231"/>
      <c r="GF46" s="231"/>
      <c r="GG46" s="231"/>
      <c r="GH46" s="231"/>
      <c r="GI46" s="231"/>
      <c r="GJ46" s="231"/>
      <c r="GK46" s="231"/>
      <c r="GL46" s="231"/>
      <c r="GM46" s="231"/>
      <c r="GN46" s="231"/>
      <c r="GO46" s="231"/>
      <c r="GP46" s="231"/>
      <c r="GQ46" s="231"/>
      <c r="GR46" s="231"/>
      <c r="GS46" s="231"/>
      <c r="GT46" s="231"/>
      <c r="GU46" s="231"/>
      <c r="GV46" s="231"/>
      <c r="GW46" s="231"/>
      <c r="GX46" s="231"/>
      <c r="GY46" s="231"/>
      <c r="GZ46" s="231"/>
      <c r="HA46" s="231"/>
      <c r="HB46" s="231"/>
      <c r="HC46" s="231"/>
      <c r="HD46" s="231"/>
      <c r="HE46" s="231"/>
      <c r="HF46" s="231"/>
      <c r="HG46" s="231"/>
      <c r="HH46" s="231"/>
      <c r="HI46" s="231"/>
      <c r="HJ46" s="231"/>
      <c r="HK46" s="231"/>
      <c r="HL46" s="231"/>
      <c r="HM46" s="231"/>
      <c r="HN46" s="231"/>
      <c r="HO46" s="231"/>
      <c r="HP46" s="231"/>
      <c r="HQ46" s="231"/>
      <c r="HR46" s="231"/>
      <c r="HS46" s="231"/>
      <c r="HT46" s="231"/>
      <c r="HU46" s="231"/>
      <c r="HV46" s="231"/>
      <c r="HW46" s="231"/>
      <c r="HX46" s="231"/>
      <c r="HY46" s="231"/>
      <c r="HZ46" s="231"/>
      <c r="IA46" s="231"/>
      <c r="IB46" s="232"/>
    </row>
    <row r="47" spans="1:236" s="233" customFormat="1" ht="13.15" customHeight="1">
      <c r="A47" s="223"/>
      <c r="B47" s="254">
        <v>31</v>
      </c>
      <c r="C47" s="684"/>
      <c r="D47" s="266" t="s">
        <v>183</v>
      </c>
      <c r="E47" s="114" t="s">
        <v>29</v>
      </c>
      <c r="F47" s="260">
        <v>1.7999999999999999E-2</v>
      </c>
      <c r="G47" s="261"/>
      <c r="H47" s="260">
        <f t="shared" si="6"/>
        <v>1.7999999999999999E-2</v>
      </c>
      <c r="I47" s="262">
        <v>0</v>
      </c>
      <c r="J47" s="262">
        <v>0</v>
      </c>
      <c r="K47" s="258">
        <v>0</v>
      </c>
      <c r="L47" s="114">
        <f t="shared" si="3"/>
        <v>1.7999999999999999E-2</v>
      </c>
      <c r="M47" s="227">
        <f t="shared" si="1"/>
        <v>0</v>
      </c>
      <c r="N47" s="228" t="str">
        <f>+'IC ANCH-SARC VIII'!O34</f>
        <v>-</v>
      </c>
      <c r="O47" s="578"/>
      <c r="P47" s="578"/>
      <c r="Q47" s="578"/>
      <c r="R47" s="578"/>
      <c r="S47" s="578"/>
      <c r="T47" s="229"/>
      <c r="U47" s="229"/>
      <c r="V47" s="229"/>
      <c r="W47" s="229"/>
      <c r="X47" s="229"/>
      <c r="Y47" s="229"/>
      <c r="Z47" s="229"/>
      <c r="AA47" s="229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  <c r="EK47" s="231"/>
      <c r="EL47" s="231"/>
      <c r="EM47" s="231"/>
      <c r="EN47" s="231"/>
      <c r="EO47" s="231"/>
      <c r="EP47" s="231"/>
      <c r="EQ47" s="231"/>
      <c r="ER47" s="231"/>
      <c r="ES47" s="231"/>
      <c r="ET47" s="231"/>
      <c r="EU47" s="231"/>
      <c r="EV47" s="231"/>
      <c r="EW47" s="231"/>
      <c r="EX47" s="231"/>
      <c r="EY47" s="231"/>
      <c r="EZ47" s="231"/>
      <c r="FA47" s="231"/>
      <c r="FB47" s="231"/>
      <c r="FC47" s="231"/>
      <c r="FD47" s="231"/>
      <c r="FE47" s="231"/>
      <c r="FF47" s="231"/>
      <c r="FG47" s="231"/>
      <c r="FH47" s="231"/>
      <c r="FI47" s="231"/>
      <c r="FJ47" s="231"/>
      <c r="FK47" s="231"/>
      <c r="FL47" s="231"/>
      <c r="FM47" s="231"/>
      <c r="FN47" s="231"/>
      <c r="FO47" s="231"/>
      <c r="FP47" s="231"/>
      <c r="FQ47" s="231"/>
      <c r="FR47" s="231"/>
      <c r="FS47" s="231"/>
      <c r="FT47" s="231"/>
      <c r="FU47" s="231"/>
      <c r="FV47" s="231"/>
      <c r="FW47" s="231"/>
      <c r="FX47" s="231"/>
      <c r="FY47" s="231"/>
      <c r="FZ47" s="231"/>
      <c r="GA47" s="231"/>
      <c r="GB47" s="231"/>
      <c r="GC47" s="231"/>
      <c r="GD47" s="231"/>
      <c r="GE47" s="231"/>
      <c r="GF47" s="231"/>
      <c r="GG47" s="231"/>
      <c r="GH47" s="231"/>
      <c r="GI47" s="231"/>
      <c r="GJ47" s="231"/>
      <c r="GK47" s="231"/>
      <c r="GL47" s="231"/>
      <c r="GM47" s="231"/>
      <c r="GN47" s="231"/>
      <c r="GO47" s="231"/>
      <c r="GP47" s="231"/>
      <c r="GQ47" s="231"/>
      <c r="GR47" s="231"/>
      <c r="GS47" s="231"/>
      <c r="GT47" s="231"/>
      <c r="GU47" s="231"/>
      <c r="GV47" s="231"/>
      <c r="GW47" s="231"/>
      <c r="GX47" s="231"/>
      <c r="GY47" s="231"/>
      <c r="GZ47" s="231"/>
      <c r="HA47" s="231"/>
      <c r="HB47" s="231"/>
      <c r="HC47" s="231"/>
      <c r="HD47" s="231"/>
      <c r="HE47" s="231"/>
      <c r="HF47" s="231"/>
      <c r="HG47" s="231"/>
      <c r="HH47" s="231"/>
      <c r="HI47" s="231"/>
      <c r="HJ47" s="231"/>
      <c r="HK47" s="231"/>
      <c r="HL47" s="231"/>
      <c r="HM47" s="231"/>
      <c r="HN47" s="231"/>
      <c r="HO47" s="231"/>
      <c r="HP47" s="231"/>
      <c r="HQ47" s="231"/>
      <c r="HR47" s="231"/>
      <c r="HS47" s="231"/>
      <c r="HT47" s="231"/>
      <c r="HU47" s="231"/>
      <c r="HV47" s="231"/>
      <c r="HW47" s="231"/>
      <c r="HX47" s="231"/>
      <c r="HY47" s="231"/>
      <c r="HZ47" s="231"/>
      <c r="IA47" s="231"/>
      <c r="IB47" s="232"/>
    </row>
    <row r="48" spans="1:236" s="233" customFormat="1" ht="13.15" customHeight="1">
      <c r="A48" s="223"/>
      <c r="B48" s="254">
        <v>32</v>
      </c>
      <c r="C48" s="684"/>
      <c r="D48" s="266" t="s">
        <v>184</v>
      </c>
      <c r="E48" s="114" t="s">
        <v>29</v>
      </c>
      <c r="F48" s="260">
        <v>574.71600000000001</v>
      </c>
      <c r="G48" s="261">
        <f>-49-49-20-69-100-25-20</f>
        <v>-332</v>
      </c>
      <c r="H48" s="260">
        <f t="shared" si="6"/>
        <v>242.71600000000001</v>
      </c>
      <c r="I48" s="262">
        <v>147.90100000000001</v>
      </c>
      <c r="J48" s="262">
        <v>0</v>
      </c>
      <c r="K48" s="258">
        <v>0</v>
      </c>
      <c r="L48" s="114">
        <f t="shared" si="3"/>
        <v>94.814999999999998</v>
      </c>
      <c r="M48" s="227">
        <f t="shared" si="1"/>
        <v>0.60935826233128432</v>
      </c>
      <c r="N48" s="228" t="str">
        <f>+'IC ANCH-SARC VIII'!O35</f>
        <v>-</v>
      </c>
      <c r="O48" s="578"/>
      <c r="P48" s="578"/>
      <c r="Q48" s="578"/>
      <c r="R48" s="578"/>
      <c r="S48" s="578"/>
      <c r="T48" s="229"/>
      <c r="U48" s="229"/>
      <c r="V48" s="229"/>
      <c r="W48" s="229"/>
      <c r="X48" s="229"/>
      <c r="Y48" s="229"/>
      <c r="Z48" s="229"/>
      <c r="AA48" s="229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231"/>
      <c r="EM48" s="231"/>
      <c r="EN48" s="231"/>
      <c r="EO48" s="231"/>
      <c r="EP48" s="231"/>
      <c r="EQ48" s="231"/>
      <c r="ER48" s="231"/>
      <c r="ES48" s="231"/>
      <c r="ET48" s="231"/>
      <c r="EU48" s="231"/>
      <c r="EV48" s="231"/>
      <c r="EW48" s="231"/>
      <c r="EX48" s="231"/>
      <c r="EY48" s="231"/>
      <c r="EZ48" s="231"/>
      <c r="FA48" s="231"/>
      <c r="FB48" s="231"/>
      <c r="FC48" s="231"/>
      <c r="FD48" s="231"/>
      <c r="FE48" s="231"/>
      <c r="FF48" s="231"/>
      <c r="FG48" s="231"/>
      <c r="FH48" s="231"/>
      <c r="FI48" s="231"/>
      <c r="FJ48" s="231"/>
      <c r="FK48" s="231"/>
      <c r="FL48" s="231"/>
      <c r="FM48" s="231"/>
      <c r="FN48" s="231"/>
      <c r="FO48" s="231"/>
      <c r="FP48" s="231"/>
      <c r="FQ48" s="231"/>
      <c r="FR48" s="231"/>
      <c r="FS48" s="231"/>
      <c r="FT48" s="231"/>
      <c r="FU48" s="231"/>
      <c r="FV48" s="231"/>
      <c r="FW48" s="231"/>
      <c r="FX48" s="231"/>
      <c r="FY48" s="231"/>
      <c r="FZ48" s="231"/>
      <c r="GA48" s="231"/>
      <c r="GB48" s="231"/>
      <c r="GC48" s="231"/>
      <c r="GD48" s="231"/>
      <c r="GE48" s="231"/>
      <c r="GF48" s="231"/>
      <c r="GG48" s="231"/>
      <c r="GH48" s="231"/>
      <c r="GI48" s="231"/>
      <c r="GJ48" s="231"/>
      <c r="GK48" s="231"/>
      <c r="GL48" s="231"/>
      <c r="GM48" s="231"/>
      <c r="GN48" s="231"/>
      <c r="GO48" s="231"/>
      <c r="GP48" s="231"/>
      <c r="GQ48" s="231"/>
      <c r="GR48" s="231"/>
      <c r="GS48" s="231"/>
      <c r="GT48" s="231"/>
      <c r="GU48" s="231"/>
      <c r="GV48" s="231"/>
      <c r="GW48" s="231"/>
      <c r="GX48" s="231"/>
      <c r="GY48" s="231"/>
      <c r="GZ48" s="231"/>
      <c r="HA48" s="231"/>
      <c r="HB48" s="231"/>
      <c r="HC48" s="231"/>
      <c r="HD48" s="231"/>
      <c r="HE48" s="231"/>
      <c r="HF48" s="231"/>
      <c r="HG48" s="231"/>
      <c r="HH48" s="231"/>
      <c r="HI48" s="231"/>
      <c r="HJ48" s="231"/>
      <c r="HK48" s="231"/>
      <c r="HL48" s="231"/>
      <c r="HM48" s="231"/>
      <c r="HN48" s="231"/>
      <c r="HO48" s="231"/>
      <c r="HP48" s="231"/>
      <c r="HQ48" s="231"/>
      <c r="HR48" s="231"/>
      <c r="HS48" s="231"/>
      <c r="HT48" s="231"/>
      <c r="HU48" s="231"/>
      <c r="HV48" s="231"/>
      <c r="HW48" s="231"/>
      <c r="HX48" s="231"/>
      <c r="HY48" s="231"/>
      <c r="HZ48" s="231"/>
      <c r="IA48" s="231"/>
      <c r="IB48" s="232"/>
    </row>
    <row r="49" spans="1:236" s="233" customFormat="1" ht="13.15" customHeight="1">
      <c r="A49" s="223"/>
      <c r="B49" s="254">
        <v>33</v>
      </c>
      <c r="C49" s="684"/>
      <c r="D49" s="266" t="s">
        <v>185</v>
      </c>
      <c r="E49" s="114" t="s">
        <v>29</v>
      </c>
      <c r="F49" s="260">
        <v>1827.973</v>
      </c>
      <c r="G49" s="261">
        <f>-500</f>
        <v>-500</v>
      </c>
      <c r="H49" s="260">
        <f t="shared" si="6"/>
        <v>1327.973</v>
      </c>
      <c r="I49" s="262">
        <v>801.78599999999994</v>
      </c>
      <c r="J49" s="262">
        <v>0</v>
      </c>
      <c r="K49" s="258">
        <v>0</v>
      </c>
      <c r="L49" s="114">
        <f t="shared" si="3"/>
        <v>526.18700000000001</v>
      </c>
      <c r="M49" s="227">
        <f t="shared" si="1"/>
        <v>0.60376679345137285</v>
      </c>
      <c r="N49" s="228" t="str">
        <f>+'IC ANCH-SARC VIII'!O36</f>
        <v>-</v>
      </c>
      <c r="O49" s="578"/>
      <c r="P49" s="578"/>
      <c r="Q49" s="578"/>
      <c r="R49" s="578"/>
      <c r="S49" s="578"/>
      <c r="T49" s="229"/>
      <c r="U49" s="229"/>
      <c r="V49" s="229"/>
      <c r="W49" s="229"/>
      <c r="X49" s="229"/>
      <c r="Y49" s="229"/>
      <c r="Z49" s="229"/>
      <c r="AA49" s="229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1"/>
      <c r="ES49" s="231"/>
      <c r="ET49" s="231"/>
      <c r="EU49" s="231"/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1"/>
      <c r="FG49" s="231"/>
      <c r="FH49" s="231"/>
      <c r="FI49" s="231"/>
      <c r="FJ49" s="231"/>
      <c r="FK49" s="231"/>
      <c r="FL49" s="231"/>
      <c r="FM49" s="231"/>
      <c r="FN49" s="231"/>
      <c r="FO49" s="231"/>
      <c r="FP49" s="231"/>
      <c r="FQ49" s="231"/>
      <c r="FR49" s="231"/>
      <c r="FS49" s="231"/>
      <c r="FT49" s="231"/>
      <c r="FU49" s="231"/>
      <c r="FV49" s="231"/>
      <c r="FW49" s="231"/>
      <c r="FX49" s="231"/>
      <c r="FY49" s="231"/>
      <c r="FZ49" s="231"/>
      <c r="GA49" s="231"/>
      <c r="GB49" s="231"/>
      <c r="GC49" s="231"/>
      <c r="GD49" s="231"/>
      <c r="GE49" s="231"/>
      <c r="GF49" s="231"/>
      <c r="GG49" s="231"/>
      <c r="GH49" s="231"/>
      <c r="GI49" s="231"/>
      <c r="GJ49" s="231"/>
      <c r="GK49" s="231"/>
      <c r="GL49" s="231"/>
      <c r="GM49" s="231"/>
      <c r="GN49" s="231"/>
      <c r="GO49" s="231"/>
      <c r="GP49" s="231"/>
      <c r="GQ49" s="231"/>
      <c r="GR49" s="231"/>
      <c r="GS49" s="231"/>
      <c r="GT49" s="231"/>
      <c r="GU49" s="231"/>
      <c r="GV49" s="231"/>
      <c r="GW49" s="231"/>
      <c r="GX49" s="231"/>
      <c r="GY49" s="231"/>
      <c r="GZ49" s="231"/>
      <c r="HA49" s="231"/>
      <c r="HB49" s="231"/>
      <c r="HC49" s="231"/>
      <c r="HD49" s="231"/>
      <c r="HE49" s="231"/>
      <c r="HF49" s="231"/>
      <c r="HG49" s="231"/>
      <c r="HH49" s="231"/>
      <c r="HI49" s="231"/>
      <c r="HJ49" s="231"/>
      <c r="HK49" s="231"/>
      <c r="HL49" s="231"/>
      <c r="HM49" s="231"/>
      <c r="HN49" s="231"/>
      <c r="HO49" s="231"/>
      <c r="HP49" s="231"/>
      <c r="HQ49" s="231"/>
      <c r="HR49" s="231"/>
      <c r="HS49" s="231"/>
      <c r="HT49" s="231"/>
      <c r="HU49" s="231"/>
      <c r="HV49" s="231"/>
      <c r="HW49" s="231"/>
      <c r="HX49" s="231"/>
      <c r="HY49" s="231"/>
      <c r="HZ49" s="231"/>
      <c r="IA49" s="231"/>
      <c r="IB49" s="232"/>
    </row>
    <row r="50" spans="1:236" s="233" customFormat="1" ht="13.15" customHeight="1">
      <c r="A50" s="223"/>
      <c r="B50" s="254">
        <v>34</v>
      </c>
      <c r="C50" s="684"/>
      <c r="D50" s="266" t="s">
        <v>186</v>
      </c>
      <c r="E50" s="114" t="s">
        <v>29</v>
      </c>
      <c r="F50" s="260">
        <v>611.05499999999995</v>
      </c>
      <c r="G50" s="261">
        <f>-299-50-89-89</f>
        <v>-527</v>
      </c>
      <c r="H50" s="260">
        <f t="shared" si="6"/>
        <v>84.05499999999995</v>
      </c>
      <c r="I50" s="262">
        <v>78.768000000000001</v>
      </c>
      <c r="J50" s="262">
        <v>0</v>
      </c>
      <c r="K50" s="258">
        <v>0</v>
      </c>
      <c r="L50" s="114">
        <f t="shared" si="3"/>
        <v>5.2869999999999493</v>
      </c>
      <c r="M50" s="227">
        <f t="shared" si="1"/>
        <v>0.93710070786984767</v>
      </c>
      <c r="N50" s="228" t="str">
        <f>+'IC ANCH-SARC VIII'!O37</f>
        <v>-</v>
      </c>
      <c r="O50" s="578"/>
      <c r="P50" s="578"/>
      <c r="Q50" s="578"/>
      <c r="R50" s="578"/>
      <c r="S50" s="578"/>
      <c r="T50" s="229"/>
      <c r="U50" s="229"/>
      <c r="V50" s="229"/>
      <c r="W50" s="229"/>
      <c r="X50" s="229"/>
      <c r="Y50" s="229"/>
      <c r="Z50" s="229"/>
      <c r="AA50" s="229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1"/>
      <c r="ES50" s="231"/>
      <c r="ET50" s="231"/>
      <c r="EU50" s="231"/>
      <c r="EV50" s="231"/>
      <c r="EW50" s="231"/>
      <c r="EX50" s="231"/>
      <c r="EY50" s="231"/>
      <c r="EZ50" s="231"/>
      <c r="FA50" s="231"/>
      <c r="FB50" s="231"/>
      <c r="FC50" s="231"/>
      <c r="FD50" s="231"/>
      <c r="FE50" s="231"/>
      <c r="FF50" s="231"/>
      <c r="FG50" s="231"/>
      <c r="FH50" s="231"/>
      <c r="FI50" s="231"/>
      <c r="FJ50" s="231"/>
      <c r="FK50" s="231"/>
      <c r="FL50" s="231"/>
      <c r="FM50" s="231"/>
      <c r="FN50" s="231"/>
      <c r="FO50" s="231"/>
      <c r="FP50" s="231"/>
      <c r="FQ50" s="231"/>
      <c r="FR50" s="231"/>
      <c r="FS50" s="231"/>
      <c r="FT50" s="231"/>
      <c r="FU50" s="231"/>
      <c r="FV50" s="231"/>
      <c r="FW50" s="231"/>
      <c r="FX50" s="231"/>
      <c r="FY50" s="231"/>
      <c r="FZ50" s="231"/>
      <c r="GA50" s="231"/>
      <c r="GB50" s="231"/>
      <c r="GC50" s="231"/>
      <c r="GD50" s="231"/>
      <c r="GE50" s="231"/>
      <c r="GF50" s="231"/>
      <c r="GG50" s="231"/>
      <c r="GH50" s="231"/>
      <c r="GI50" s="231"/>
      <c r="GJ50" s="231"/>
      <c r="GK50" s="231"/>
      <c r="GL50" s="231"/>
      <c r="GM50" s="231"/>
      <c r="GN50" s="231"/>
      <c r="GO50" s="231"/>
      <c r="GP50" s="231"/>
      <c r="GQ50" s="231"/>
      <c r="GR50" s="231"/>
      <c r="GS50" s="231"/>
      <c r="GT50" s="231"/>
      <c r="GU50" s="231"/>
      <c r="GV50" s="231"/>
      <c r="GW50" s="231"/>
      <c r="GX50" s="231"/>
      <c r="GY50" s="231"/>
      <c r="GZ50" s="231"/>
      <c r="HA50" s="231"/>
      <c r="HB50" s="231"/>
      <c r="HC50" s="231"/>
      <c r="HD50" s="231"/>
      <c r="HE50" s="231"/>
      <c r="HF50" s="231"/>
      <c r="HG50" s="231"/>
      <c r="HH50" s="231"/>
      <c r="HI50" s="231"/>
      <c r="HJ50" s="231"/>
      <c r="HK50" s="231"/>
      <c r="HL50" s="231"/>
      <c r="HM50" s="231"/>
      <c r="HN50" s="231"/>
      <c r="HO50" s="231"/>
      <c r="HP50" s="231"/>
      <c r="HQ50" s="231"/>
      <c r="HR50" s="231"/>
      <c r="HS50" s="231"/>
      <c r="HT50" s="231"/>
      <c r="HU50" s="231"/>
      <c r="HV50" s="231"/>
      <c r="HW50" s="231"/>
      <c r="HX50" s="231"/>
      <c r="HY50" s="231"/>
      <c r="HZ50" s="231"/>
      <c r="IA50" s="231"/>
      <c r="IB50" s="232"/>
    </row>
    <row r="51" spans="1:236" s="233" customFormat="1" ht="13.15" customHeight="1">
      <c r="A51" s="223"/>
      <c r="B51" s="254">
        <v>35</v>
      </c>
      <c r="C51" s="684"/>
      <c r="D51" s="266" t="s">
        <v>187</v>
      </c>
      <c r="E51" s="114" t="s">
        <v>29</v>
      </c>
      <c r="F51" s="260">
        <v>3134.4050000000002</v>
      </c>
      <c r="G51" s="265">
        <f>386+170</f>
        <v>556</v>
      </c>
      <c r="H51" s="260">
        <f t="shared" si="6"/>
        <v>3690.4050000000002</v>
      </c>
      <c r="I51" s="262">
        <v>1571.1310000000001</v>
      </c>
      <c r="J51" s="262">
        <v>386</v>
      </c>
      <c r="K51" s="258">
        <v>0</v>
      </c>
      <c r="L51" s="114">
        <f t="shared" si="3"/>
        <v>1733.2740000000001</v>
      </c>
      <c r="M51" s="227">
        <f t="shared" si="1"/>
        <v>0.53032959797095436</v>
      </c>
      <c r="N51" s="228" t="str">
        <f>+'IC ANCH-SARC VIII'!O38</f>
        <v>-</v>
      </c>
      <c r="O51" s="578"/>
      <c r="P51" s="578"/>
      <c r="Q51" s="578"/>
      <c r="R51" s="578"/>
      <c r="S51" s="578"/>
      <c r="T51" s="229"/>
      <c r="U51" s="229"/>
      <c r="V51" s="229"/>
      <c r="W51" s="229"/>
      <c r="X51" s="229"/>
      <c r="Y51" s="229"/>
      <c r="Z51" s="229"/>
      <c r="AA51" s="229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1"/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  <c r="EH51" s="231"/>
      <c r="EI51" s="231"/>
      <c r="EJ51" s="231"/>
      <c r="EK51" s="231"/>
      <c r="EL51" s="231"/>
      <c r="EM51" s="231"/>
      <c r="EN51" s="231"/>
      <c r="EO51" s="231"/>
      <c r="EP51" s="231"/>
      <c r="EQ51" s="231"/>
      <c r="ER51" s="231"/>
      <c r="ES51" s="231"/>
      <c r="ET51" s="231"/>
      <c r="EU51" s="231"/>
      <c r="EV51" s="231"/>
      <c r="EW51" s="231"/>
      <c r="EX51" s="231"/>
      <c r="EY51" s="231"/>
      <c r="EZ51" s="231"/>
      <c r="FA51" s="231"/>
      <c r="FB51" s="231"/>
      <c r="FC51" s="231"/>
      <c r="FD51" s="231"/>
      <c r="FE51" s="231"/>
      <c r="FF51" s="231"/>
      <c r="FG51" s="231"/>
      <c r="FH51" s="231"/>
      <c r="FI51" s="231"/>
      <c r="FJ51" s="231"/>
      <c r="FK51" s="231"/>
      <c r="FL51" s="231"/>
      <c r="FM51" s="231"/>
      <c r="FN51" s="231"/>
      <c r="FO51" s="231"/>
      <c r="FP51" s="231"/>
      <c r="FQ51" s="231"/>
      <c r="FR51" s="231"/>
      <c r="FS51" s="231"/>
      <c r="FT51" s="231"/>
      <c r="FU51" s="231"/>
      <c r="FV51" s="231"/>
      <c r="FW51" s="231"/>
      <c r="FX51" s="231"/>
      <c r="FY51" s="231"/>
      <c r="FZ51" s="231"/>
      <c r="GA51" s="231"/>
      <c r="GB51" s="231"/>
      <c r="GC51" s="231"/>
      <c r="GD51" s="231"/>
      <c r="GE51" s="231"/>
      <c r="GF51" s="231"/>
      <c r="GG51" s="231"/>
      <c r="GH51" s="231"/>
      <c r="GI51" s="231"/>
      <c r="GJ51" s="231"/>
      <c r="GK51" s="231"/>
      <c r="GL51" s="231"/>
      <c r="GM51" s="231"/>
      <c r="GN51" s="231"/>
      <c r="GO51" s="231"/>
      <c r="GP51" s="231"/>
      <c r="GQ51" s="231"/>
      <c r="GR51" s="231"/>
      <c r="GS51" s="231"/>
      <c r="GT51" s="231"/>
      <c r="GU51" s="231"/>
      <c r="GV51" s="231"/>
      <c r="GW51" s="231"/>
      <c r="GX51" s="231"/>
      <c r="GY51" s="231"/>
      <c r="GZ51" s="231"/>
      <c r="HA51" s="231"/>
      <c r="HB51" s="231"/>
      <c r="HC51" s="231"/>
      <c r="HD51" s="231"/>
      <c r="HE51" s="231"/>
      <c r="HF51" s="231"/>
      <c r="HG51" s="231"/>
      <c r="HH51" s="231"/>
      <c r="HI51" s="231"/>
      <c r="HJ51" s="231"/>
      <c r="HK51" s="231"/>
      <c r="HL51" s="231"/>
      <c r="HM51" s="231"/>
      <c r="HN51" s="231"/>
      <c r="HO51" s="231"/>
      <c r="HP51" s="231"/>
      <c r="HQ51" s="231"/>
      <c r="HR51" s="231"/>
      <c r="HS51" s="231"/>
      <c r="HT51" s="231"/>
      <c r="HU51" s="231"/>
      <c r="HV51" s="231"/>
      <c r="HW51" s="231"/>
      <c r="HX51" s="231"/>
      <c r="HY51" s="231"/>
      <c r="HZ51" s="231"/>
      <c r="IA51" s="231"/>
      <c r="IB51" s="232"/>
    </row>
    <row r="52" spans="1:236" s="233" customFormat="1" ht="13.15" customHeight="1">
      <c r="A52" s="223"/>
      <c r="B52" s="254">
        <v>36</v>
      </c>
      <c r="C52" s="684"/>
      <c r="D52" s="266" t="s">
        <v>188</v>
      </c>
      <c r="E52" s="114" t="s">
        <v>29</v>
      </c>
      <c r="F52" s="260">
        <v>1656.9490000000001</v>
      </c>
      <c r="G52" s="261"/>
      <c r="H52" s="260">
        <f t="shared" si="6"/>
        <v>1656.9490000000001</v>
      </c>
      <c r="I52" s="262">
        <v>1587.797</v>
      </c>
      <c r="J52" s="262">
        <v>0</v>
      </c>
      <c r="K52" s="258">
        <v>0</v>
      </c>
      <c r="L52" s="114">
        <f t="shared" si="3"/>
        <v>69.152000000000044</v>
      </c>
      <c r="M52" s="227">
        <f t="shared" si="1"/>
        <v>0.9582654626062721</v>
      </c>
      <c r="N52" s="228" t="str">
        <f>+'IC ANCH-SARC VIII'!O39</f>
        <v>-</v>
      </c>
      <c r="O52" s="578"/>
      <c r="P52" s="578"/>
      <c r="Q52" s="578"/>
      <c r="R52" s="578"/>
      <c r="S52" s="578"/>
      <c r="T52" s="229"/>
      <c r="U52" s="229"/>
      <c r="V52" s="229"/>
      <c r="W52" s="229"/>
      <c r="X52" s="229"/>
      <c r="Y52" s="229"/>
      <c r="Z52" s="229"/>
      <c r="AA52" s="229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1"/>
      <c r="FF52" s="231"/>
      <c r="FG52" s="231"/>
      <c r="FH52" s="231"/>
      <c r="FI52" s="231"/>
      <c r="FJ52" s="231"/>
      <c r="FK52" s="231"/>
      <c r="FL52" s="231"/>
      <c r="FM52" s="231"/>
      <c r="FN52" s="231"/>
      <c r="FO52" s="231"/>
      <c r="FP52" s="231"/>
      <c r="FQ52" s="231"/>
      <c r="FR52" s="231"/>
      <c r="FS52" s="231"/>
      <c r="FT52" s="231"/>
      <c r="FU52" s="231"/>
      <c r="FV52" s="231"/>
      <c r="FW52" s="231"/>
      <c r="FX52" s="231"/>
      <c r="FY52" s="231"/>
      <c r="FZ52" s="231"/>
      <c r="GA52" s="231"/>
      <c r="GB52" s="231"/>
      <c r="GC52" s="231"/>
      <c r="GD52" s="231"/>
      <c r="GE52" s="231"/>
      <c r="GF52" s="231"/>
      <c r="GG52" s="231"/>
      <c r="GH52" s="231"/>
      <c r="GI52" s="231"/>
      <c r="GJ52" s="231"/>
      <c r="GK52" s="231"/>
      <c r="GL52" s="231"/>
      <c r="GM52" s="231"/>
      <c r="GN52" s="231"/>
      <c r="GO52" s="231"/>
      <c r="GP52" s="231"/>
      <c r="GQ52" s="231"/>
      <c r="GR52" s="231"/>
      <c r="GS52" s="231"/>
      <c r="GT52" s="231"/>
      <c r="GU52" s="231"/>
      <c r="GV52" s="231"/>
      <c r="GW52" s="231"/>
      <c r="GX52" s="231"/>
      <c r="GY52" s="231"/>
      <c r="GZ52" s="231"/>
      <c r="HA52" s="231"/>
      <c r="HB52" s="231"/>
      <c r="HC52" s="231"/>
      <c r="HD52" s="231"/>
      <c r="HE52" s="231"/>
      <c r="HF52" s="231"/>
      <c r="HG52" s="231"/>
      <c r="HH52" s="231"/>
      <c r="HI52" s="231"/>
      <c r="HJ52" s="231"/>
      <c r="HK52" s="231"/>
      <c r="HL52" s="231"/>
      <c r="HM52" s="231"/>
      <c r="HN52" s="231"/>
      <c r="HO52" s="231"/>
      <c r="HP52" s="231"/>
      <c r="HQ52" s="231"/>
      <c r="HR52" s="231"/>
      <c r="HS52" s="231"/>
      <c r="HT52" s="231"/>
      <c r="HU52" s="231"/>
      <c r="HV52" s="231"/>
      <c r="HW52" s="231"/>
      <c r="HX52" s="231"/>
      <c r="HY52" s="231"/>
      <c r="HZ52" s="231"/>
      <c r="IA52" s="231"/>
      <c r="IB52" s="232"/>
    </row>
    <row r="53" spans="1:236" s="233" customFormat="1" ht="13.15" customHeight="1">
      <c r="A53" s="223"/>
      <c r="B53" s="254">
        <v>37</v>
      </c>
      <c r="C53" s="684"/>
      <c r="D53" s="266" t="s">
        <v>189</v>
      </c>
      <c r="E53" s="114" t="s">
        <v>29</v>
      </c>
      <c r="F53" s="260">
        <v>984.52099999999996</v>
      </c>
      <c r="G53" s="261"/>
      <c r="H53" s="260">
        <f t="shared" si="6"/>
        <v>984.52099999999996</v>
      </c>
      <c r="I53" s="262">
        <v>981.12699999999995</v>
      </c>
      <c r="J53" s="262">
        <v>0</v>
      </c>
      <c r="K53" s="258">
        <v>0</v>
      </c>
      <c r="L53" s="114">
        <f t="shared" si="3"/>
        <v>3.3940000000000055</v>
      </c>
      <c r="M53" s="227">
        <f t="shared" si="1"/>
        <v>0.99655263828806084</v>
      </c>
      <c r="N53" s="228" t="str">
        <f>+'IC ANCH-SARC VIII'!O40</f>
        <v>-</v>
      </c>
      <c r="O53" s="578"/>
      <c r="P53" s="578"/>
      <c r="Q53" s="578"/>
      <c r="R53" s="578"/>
      <c r="S53" s="578"/>
      <c r="T53" s="229"/>
      <c r="U53" s="229"/>
      <c r="V53" s="229"/>
      <c r="W53" s="229"/>
      <c r="X53" s="229"/>
      <c r="Y53" s="229"/>
      <c r="Z53" s="229"/>
      <c r="AA53" s="229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  <c r="EH53" s="231"/>
      <c r="EI53" s="231"/>
      <c r="EJ53" s="231"/>
      <c r="EK53" s="231"/>
      <c r="EL53" s="231"/>
      <c r="EM53" s="231"/>
      <c r="EN53" s="231"/>
      <c r="EO53" s="231"/>
      <c r="EP53" s="231"/>
      <c r="EQ53" s="231"/>
      <c r="ER53" s="231"/>
      <c r="ES53" s="231"/>
      <c r="ET53" s="231"/>
      <c r="EU53" s="231"/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  <c r="FF53" s="231"/>
      <c r="FG53" s="231"/>
      <c r="FH53" s="231"/>
      <c r="FI53" s="231"/>
      <c r="FJ53" s="231"/>
      <c r="FK53" s="231"/>
      <c r="FL53" s="231"/>
      <c r="FM53" s="231"/>
      <c r="FN53" s="231"/>
      <c r="FO53" s="231"/>
      <c r="FP53" s="231"/>
      <c r="FQ53" s="231"/>
      <c r="FR53" s="231"/>
      <c r="FS53" s="231"/>
      <c r="FT53" s="231"/>
      <c r="FU53" s="231"/>
      <c r="FV53" s="231"/>
      <c r="FW53" s="231"/>
      <c r="FX53" s="231"/>
      <c r="FY53" s="231"/>
      <c r="FZ53" s="231"/>
      <c r="GA53" s="231"/>
      <c r="GB53" s="231"/>
      <c r="GC53" s="231"/>
      <c r="GD53" s="231"/>
      <c r="GE53" s="231"/>
      <c r="GF53" s="231"/>
      <c r="GG53" s="231"/>
      <c r="GH53" s="231"/>
      <c r="GI53" s="231"/>
      <c r="GJ53" s="231"/>
      <c r="GK53" s="231"/>
      <c r="GL53" s="231"/>
      <c r="GM53" s="231"/>
      <c r="GN53" s="231"/>
      <c r="GO53" s="231"/>
      <c r="GP53" s="231"/>
      <c r="GQ53" s="231"/>
      <c r="GR53" s="231"/>
      <c r="GS53" s="231"/>
      <c r="GT53" s="231"/>
      <c r="GU53" s="231"/>
      <c r="GV53" s="231"/>
      <c r="GW53" s="231"/>
      <c r="GX53" s="231"/>
      <c r="GY53" s="231"/>
      <c r="GZ53" s="231"/>
      <c r="HA53" s="231"/>
      <c r="HB53" s="231"/>
      <c r="HC53" s="231"/>
      <c r="HD53" s="231"/>
      <c r="HE53" s="231"/>
      <c r="HF53" s="231"/>
      <c r="HG53" s="231"/>
      <c r="HH53" s="231"/>
      <c r="HI53" s="231"/>
      <c r="HJ53" s="231"/>
      <c r="HK53" s="231"/>
      <c r="HL53" s="231"/>
      <c r="HM53" s="231"/>
      <c r="HN53" s="231"/>
      <c r="HO53" s="231"/>
      <c r="HP53" s="231"/>
      <c r="HQ53" s="231"/>
      <c r="HR53" s="231"/>
      <c r="HS53" s="231"/>
      <c r="HT53" s="231"/>
      <c r="HU53" s="231"/>
      <c r="HV53" s="231"/>
      <c r="HW53" s="231"/>
      <c r="HX53" s="231"/>
      <c r="HY53" s="231"/>
      <c r="HZ53" s="231"/>
      <c r="IA53" s="231"/>
      <c r="IB53" s="232"/>
    </row>
    <row r="54" spans="1:236" s="233" customFormat="1" ht="13.15" customHeight="1">
      <c r="A54" s="223"/>
      <c r="B54" s="254">
        <v>38</v>
      </c>
      <c r="C54" s="684"/>
      <c r="D54" s="266" t="s">
        <v>190</v>
      </c>
      <c r="E54" s="114" t="s">
        <v>29</v>
      </c>
      <c r="F54" s="260">
        <v>3080.5239999999999</v>
      </c>
      <c r="G54" s="261"/>
      <c r="H54" s="260">
        <f t="shared" si="6"/>
        <v>3080.5239999999999</v>
      </c>
      <c r="I54" s="262">
        <v>2083.9470000000001</v>
      </c>
      <c r="J54" s="262">
        <v>0</v>
      </c>
      <c r="K54" s="258">
        <v>0</v>
      </c>
      <c r="L54" s="114">
        <f t="shared" si="3"/>
        <v>996.57699999999977</v>
      </c>
      <c r="M54" s="227">
        <f t="shared" si="1"/>
        <v>0.67649107749201121</v>
      </c>
      <c r="N54" s="228" t="str">
        <f>+'IC ANCH-SARC VIII'!O41</f>
        <v>-</v>
      </c>
      <c r="O54" s="578"/>
      <c r="P54" s="578"/>
      <c r="Q54" s="578"/>
      <c r="R54" s="578"/>
      <c r="S54" s="578"/>
      <c r="T54" s="229"/>
      <c r="U54" s="229"/>
      <c r="V54" s="229"/>
      <c r="W54" s="229"/>
      <c r="X54" s="229"/>
      <c r="Y54" s="229"/>
      <c r="Z54" s="229"/>
      <c r="AA54" s="229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  <c r="EH54" s="231"/>
      <c r="EI54" s="231"/>
      <c r="EJ54" s="231"/>
      <c r="EK54" s="231"/>
      <c r="EL54" s="231"/>
      <c r="EM54" s="231"/>
      <c r="EN54" s="231"/>
      <c r="EO54" s="231"/>
      <c r="EP54" s="231"/>
      <c r="EQ54" s="231"/>
      <c r="ER54" s="231"/>
      <c r="ES54" s="231"/>
      <c r="ET54" s="231"/>
      <c r="EU54" s="231"/>
      <c r="EV54" s="231"/>
      <c r="EW54" s="231"/>
      <c r="EX54" s="231"/>
      <c r="EY54" s="231"/>
      <c r="EZ54" s="231"/>
      <c r="FA54" s="231"/>
      <c r="FB54" s="231"/>
      <c r="FC54" s="231"/>
      <c r="FD54" s="231"/>
      <c r="FE54" s="231"/>
      <c r="FF54" s="231"/>
      <c r="FG54" s="231"/>
      <c r="FH54" s="231"/>
      <c r="FI54" s="231"/>
      <c r="FJ54" s="231"/>
      <c r="FK54" s="231"/>
      <c r="FL54" s="231"/>
      <c r="FM54" s="231"/>
      <c r="FN54" s="231"/>
      <c r="FO54" s="231"/>
      <c r="FP54" s="231"/>
      <c r="FQ54" s="231"/>
      <c r="FR54" s="231"/>
      <c r="FS54" s="231"/>
      <c r="FT54" s="231"/>
      <c r="FU54" s="231"/>
      <c r="FV54" s="231"/>
      <c r="FW54" s="231"/>
      <c r="FX54" s="231"/>
      <c r="FY54" s="231"/>
      <c r="FZ54" s="231"/>
      <c r="GA54" s="231"/>
      <c r="GB54" s="231"/>
      <c r="GC54" s="231"/>
      <c r="GD54" s="231"/>
      <c r="GE54" s="231"/>
      <c r="GF54" s="231"/>
      <c r="GG54" s="231"/>
      <c r="GH54" s="231"/>
      <c r="GI54" s="231"/>
      <c r="GJ54" s="231"/>
      <c r="GK54" s="231"/>
      <c r="GL54" s="231"/>
      <c r="GM54" s="231"/>
      <c r="GN54" s="231"/>
      <c r="GO54" s="231"/>
      <c r="GP54" s="231"/>
      <c r="GQ54" s="231"/>
      <c r="GR54" s="231"/>
      <c r="GS54" s="231"/>
      <c r="GT54" s="231"/>
      <c r="GU54" s="231"/>
      <c r="GV54" s="231"/>
      <c r="GW54" s="231"/>
      <c r="GX54" s="231"/>
      <c r="GY54" s="231"/>
      <c r="GZ54" s="231"/>
      <c r="HA54" s="231"/>
      <c r="HB54" s="231"/>
      <c r="HC54" s="231"/>
      <c r="HD54" s="231"/>
      <c r="HE54" s="231"/>
      <c r="HF54" s="231"/>
      <c r="HG54" s="231"/>
      <c r="HH54" s="231"/>
      <c r="HI54" s="231"/>
      <c r="HJ54" s="231"/>
      <c r="HK54" s="231"/>
      <c r="HL54" s="231"/>
      <c r="HM54" s="231"/>
      <c r="HN54" s="231"/>
      <c r="HO54" s="231"/>
      <c r="HP54" s="231"/>
      <c r="HQ54" s="231"/>
      <c r="HR54" s="231"/>
      <c r="HS54" s="231"/>
      <c r="HT54" s="231"/>
      <c r="HU54" s="231"/>
      <c r="HV54" s="231"/>
      <c r="HW54" s="231"/>
      <c r="HX54" s="231"/>
      <c r="HY54" s="231"/>
      <c r="HZ54" s="231"/>
      <c r="IA54" s="231"/>
      <c r="IB54" s="232"/>
    </row>
    <row r="55" spans="1:236" s="233" customFormat="1" ht="13.15" customHeight="1">
      <c r="A55" s="223"/>
      <c r="B55" s="254">
        <v>39</v>
      </c>
      <c r="C55" s="684"/>
      <c r="D55" s="266" t="s">
        <v>191</v>
      </c>
      <c r="E55" s="114" t="s">
        <v>29</v>
      </c>
      <c r="F55" s="260">
        <v>396.42500000000001</v>
      </c>
      <c r="G55" s="159">
        <v>-75</v>
      </c>
      <c r="H55" s="260">
        <f t="shared" si="6"/>
        <v>321.42500000000001</v>
      </c>
      <c r="I55" s="262">
        <v>267.26900000000001</v>
      </c>
      <c r="J55" s="262">
        <v>0</v>
      </c>
      <c r="K55" s="258">
        <v>0</v>
      </c>
      <c r="L55" s="114">
        <f t="shared" si="3"/>
        <v>54.156000000000006</v>
      </c>
      <c r="M55" s="227">
        <f t="shared" si="1"/>
        <v>0.83151279458660654</v>
      </c>
      <c r="N55" s="228" t="str">
        <f>+'IC ANCH-SARC VIII'!O42</f>
        <v>-</v>
      </c>
      <c r="O55" s="578"/>
      <c r="P55" s="578"/>
      <c r="Q55" s="578"/>
      <c r="R55" s="578"/>
      <c r="S55" s="578"/>
      <c r="T55" s="229"/>
      <c r="U55" s="229"/>
      <c r="V55" s="229"/>
      <c r="W55" s="229"/>
      <c r="X55" s="229"/>
      <c r="Y55" s="229"/>
      <c r="Z55" s="229"/>
      <c r="AA55" s="229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  <c r="EG55" s="231"/>
      <c r="EH55" s="231"/>
      <c r="EI55" s="231"/>
      <c r="EJ55" s="231"/>
      <c r="EK55" s="231"/>
      <c r="EL55" s="231"/>
      <c r="EM55" s="231"/>
      <c r="EN55" s="231"/>
      <c r="EO55" s="231"/>
      <c r="EP55" s="231"/>
      <c r="EQ55" s="231"/>
      <c r="ER55" s="231"/>
      <c r="ES55" s="231"/>
      <c r="ET55" s="231"/>
      <c r="EU55" s="231"/>
      <c r="EV55" s="231"/>
      <c r="EW55" s="231"/>
      <c r="EX55" s="231"/>
      <c r="EY55" s="231"/>
      <c r="EZ55" s="231"/>
      <c r="FA55" s="231"/>
      <c r="FB55" s="231"/>
      <c r="FC55" s="231"/>
      <c r="FD55" s="231"/>
      <c r="FE55" s="231"/>
      <c r="FF55" s="231"/>
      <c r="FG55" s="231"/>
      <c r="FH55" s="231"/>
      <c r="FI55" s="231"/>
      <c r="FJ55" s="231"/>
      <c r="FK55" s="231"/>
      <c r="FL55" s="231"/>
      <c r="FM55" s="231"/>
      <c r="FN55" s="231"/>
      <c r="FO55" s="231"/>
      <c r="FP55" s="231"/>
      <c r="FQ55" s="231"/>
      <c r="FR55" s="231"/>
      <c r="FS55" s="231"/>
      <c r="FT55" s="231"/>
      <c r="FU55" s="231"/>
      <c r="FV55" s="231"/>
      <c r="FW55" s="231"/>
      <c r="FX55" s="231"/>
      <c r="FY55" s="231"/>
      <c r="FZ55" s="231"/>
      <c r="GA55" s="231"/>
      <c r="GB55" s="231"/>
      <c r="GC55" s="231"/>
      <c r="GD55" s="231"/>
      <c r="GE55" s="231"/>
      <c r="GF55" s="231"/>
      <c r="GG55" s="231"/>
      <c r="GH55" s="231"/>
      <c r="GI55" s="231"/>
      <c r="GJ55" s="231"/>
      <c r="GK55" s="231"/>
      <c r="GL55" s="231"/>
      <c r="GM55" s="231"/>
      <c r="GN55" s="231"/>
      <c r="GO55" s="231"/>
      <c r="GP55" s="231"/>
      <c r="GQ55" s="231"/>
      <c r="GR55" s="231"/>
      <c r="GS55" s="231"/>
      <c r="GT55" s="231"/>
      <c r="GU55" s="231"/>
      <c r="GV55" s="231"/>
      <c r="GW55" s="231"/>
      <c r="GX55" s="231"/>
      <c r="GY55" s="231"/>
      <c r="GZ55" s="231"/>
      <c r="HA55" s="231"/>
      <c r="HB55" s="231"/>
      <c r="HC55" s="231"/>
      <c r="HD55" s="231"/>
      <c r="HE55" s="231"/>
      <c r="HF55" s="231"/>
      <c r="HG55" s="231"/>
      <c r="HH55" s="231"/>
      <c r="HI55" s="231"/>
      <c r="HJ55" s="231"/>
      <c r="HK55" s="231"/>
      <c r="HL55" s="231"/>
      <c r="HM55" s="231"/>
      <c r="HN55" s="231"/>
      <c r="HO55" s="231"/>
      <c r="HP55" s="231"/>
      <c r="HQ55" s="231"/>
      <c r="HR55" s="231"/>
      <c r="HS55" s="231"/>
      <c r="HT55" s="231"/>
      <c r="HU55" s="231"/>
      <c r="HV55" s="231"/>
      <c r="HW55" s="231"/>
      <c r="HX55" s="231"/>
      <c r="HY55" s="231"/>
      <c r="HZ55" s="231"/>
      <c r="IA55" s="231"/>
      <c r="IB55" s="232"/>
    </row>
    <row r="56" spans="1:236" s="233" customFormat="1" ht="13.15" customHeight="1">
      <c r="A56" s="223"/>
      <c r="B56" s="254">
        <v>40</v>
      </c>
      <c r="C56" s="684"/>
      <c r="D56" s="266" t="s">
        <v>192</v>
      </c>
      <c r="E56" s="114" t="s">
        <v>29</v>
      </c>
      <c r="F56" s="260">
        <v>1419.9269999999999</v>
      </c>
      <c r="G56" s="261"/>
      <c r="H56" s="260">
        <f t="shared" si="6"/>
        <v>1419.9269999999999</v>
      </c>
      <c r="I56" s="262">
        <v>656.85599999999999</v>
      </c>
      <c r="J56" s="262">
        <v>0</v>
      </c>
      <c r="K56" s="258">
        <v>0</v>
      </c>
      <c r="L56" s="114">
        <f t="shared" si="3"/>
        <v>763.07099999999991</v>
      </c>
      <c r="M56" s="227">
        <f t="shared" si="1"/>
        <v>0.46259842935587536</v>
      </c>
      <c r="N56" s="228" t="str">
        <f>+'IC ANCH-SARC VIII'!O43</f>
        <v>-</v>
      </c>
      <c r="O56" s="578"/>
      <c r="P56" s="578"/>
      <c r="Q56" s="578"/>
      <c r="R56" s="578"/>
      <c r="S56" s="578"/>
      <c r="T56" s="229"/>
      <c r="U56" s="229"/>
      <c r="V56" s="229"/>
      <c r="W56" s="229"/>
      <c r="X56" s="229"/>
      <c r="Y56" s="229"/>
      <c r="Z56" s="229"/>
      <c r="AA56" s="229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1"/>
      <c r="EC56" s="231"/>
      <c r="ED56" s="231"/>
      <c r="EE56" s="231"/>
      <c r="EF56" s="231"/>
      <c r="EG56" s="231"/>
      <c r="EH56" s="231"/>
      <c r="EI56" s="231"/>
      <c r="EJ56" s="231"/>
      <c r="EK56" s="231"/>
      <c r="EL56" s="231"/>
      <c r="EM56" s="231"/>
      <c r="EN56" s="231"/>
      <c r="EO56" s="231"/>
      <c r="EP56" s="231"/>
      <c r="EQ56" s="231"/>
      <c r="ER56" s="231"/>
      <c r="ES56" s="231"/>
      <c r="ET56" s="231"/>
      <c r="EU56" s="231"/>
      <c r="EV56" s="231"/>
      <c r="EW56" s="231"/>
      <c r="EX56" s="231"/>
      <c r="EY56" s="231"/>
      <c r="EZ56" s="231"/>
      <c r="FA56" s="231"/>
      <c r="FB56" s="231"/>
      <c r="FC56" s="231"/>
      <c r="FD56" s="231"/>
      <c r="FE56" s="231"/>
      <c r="FF56" s="231"/>
      <c r="FG56" s="231"/>
      <c r="FH56" s="231"/>
      <c r="FI56" s="231"/>
      <c r="FJ56" s="231"/>
      <c r="FK56" s="231"/>
      <c r="FL56" s="231"/>
      <c r="FM56" s="231"/>
      <c r="FN56" s="231"/>
      <c r="FO56" s="231"/>
      <c r="FP56" s="231"/>
      <c r="FQ56" s="231"/>
      <c r="FR56" s="231"/>
      <c r="FS56" s="231"/>
      <c r="FT56" s="231"/>
      <c r="FU56" s="231"/>
      <c r="FV56" s="231"/>
      <c r="FW56" s="231"/>
      <c r="FX56" s="231"/>
      <c r="FY56" s="231"/>
      <c r="FZ56" s="231"/>
      <c r="GA56" s="231"/>
      <c r="GB56" s="231"/>
      <c r="GC56" s="231"/>
      <c r="GD56" s="231"/>
      <c r="GE56" s="231"/>
      <c r="GF56" s="231"/>
      <c r="GG56" s="231"/>
      <c r="GH56" s="231"/>
      <c r="GI56" s="231"/>
      <c r="GJ56" s="231"/>
      <c r="GK56" s="231"/>
      <c r="GL56" s="231"/>
      <c r="GM56" s="231"/>
      <c r="GN56" s="231"/>
      <c r="GO56" s="231"/>
      <c r="GP56" s="231"/>
      <c r="GQ56" s="231"/>
      <c r="GR56" s="231"/>
      <c r="GS56" s="231"/>
      <c r="GT56" s="231"/>
      <c r="GU56" s="231"/>
      <c r="GV56" s="231"/>
      <c r="GW56" s="231"/>
      <c r="GX56" s="231"/>
      <c r="GY56" s="231"/>
      <c r="GZ56" s="231"/>
      <c r="HA56" s="231"/>
      <c r="HB56" s="231"/>
      <c r="HC56" s="231"/>
      <c r="HD56" s="231"/>
      <c r="HE56" s="231"/>
      <c r="HF56" s="231"/>
      <c r="HG56" s="231"/>
      <c r="HH56" s="231"/>
      <c r="HI56" s="231"/>
      <c r="HJ56" s="231"/>
      <c r="HK56" s="231"/>
      <c r="HL56" s="231"/>
      <c r="HM56" s="231"/>
      <c r="HN56" s="231"/>
      <c r="HO56" s="231"/>
      <c r="HP56" s="231"/>
      <c r="HQ56" s="231"/>
      <c r="HR56" s="231"/>
      <c r="HS56" s="231"/>
      <c r="HT56" s="231"/>
      <c r="HU56" s="231"/>
      <c r="HV56" s="231"/>
      <c r="HW56" s="231"/>
      <c r="HX56" s="231"/>
      <c r="HY56" s="231"/>
      <c r="HZ56" s="231"/>
      <c r="IA56" s="231"/>
      <c r="IB56" s="232"/>
    </row>
    <row r="57" spans="1:236" s="233" customFormat="1" ht="13.15" customHeight="1">
      <c r="A57" s="223"/>
      <c r="B57" s="254">
        <v>41</v>
      </c>
      <c r="C57" s="684"/>
      <c r="D57" s="266" t="s">
        <v>193</v>
      </c>
      <c r="E57" s="114" t="s">
        <v>29</v>
      </c>
      <c r="F57" s="260">
        <v>2986.1779999999999</v>
      </c>
      <c r="G57" s="265"/>
      <c r="H57" s="260">
        <f t="shared" si="6"/>
        <v>2986.1779999999999</v>
      </c>
      <c r="I57" s="262">
        <v>1587.287</v>
      </c>
      <c r="J57" s="262">
        <v>0</v>
      </c>
      <c r="K57" s="258">
        <v>0</v>
      </c>
      <c r="L57" s="114">
        <f t="shared" si="3"/>
        <v>1398.8909999999998</v>
      </c>
      <c r="M57" s="227">
        <f t="shared" si="1"/>
        <v>0.53154467014357487</v>
      </c>
      <c r="N57" s="228" t="str">
        <f>+'IC ANCH-SARC VIII'!O44</f>
        <v>-</v>
      </c>
      <c r="O57" s="578"/>
      <c r="P57" s="578"/>
      <c r="Q57" s="578"/>
      <c r="R57" s="578"/>
      <c r="S57" s="578"/>
      <c r="T57" s="229"/>
      <c r="U57" s="229"/>
      <c r="V57" s="229"/>
      <c r="W57" s="229"/>
      <c r="X57" s="229"/>
      <c r="Y57" s="229"/>
      <c r="Z57" s="229"/>
      <c r="AA57" s="229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1"/>
      <c r="EJ57" s="231"/>
      <c r="EK57" s="231"/>
      <c r="EL57" s="231"/>
      <c r="EM57" s="231"/>
      <c r="EN57" s="231"/>
      <c r="EO57" s="231"/>
      <c r="EP57" s="231"/>
      <c r="EQ57" s="231"/>
      <c r="ER57" s="231"/>
      <c r="ES57" s="231"/>
      <c r="ET57" s="231"/>
      <c r="EU57" s="231"/>
      <c r="EV57" s="231"/>
      <c r="EW57" s="231"/>
      <c r="EX57" s="231"/>
      <c r="EY57" s="231"/>
      <c r="EZ57" s="231"/>
      <c r="FA57" s="231"/>
      <c r="FB57" s="231"/>
      <c r="FC57" s="231"/>
      <c r="FD57" s="231"/>
      <c r="FE57" s="231"/>
      <c r="FF57" s="231"/>
      <c r="FG57" s="231"/>
      <c r="FH57" s="231"/>
      <c r="FI57" s="231"/>
      <c r="FJ57" s="231"/>
      <c r="FK57" s="231"/>
      <c r="FL57" s="231"/>
      <c r="FM57" s="231"/>
      <c r="FN57" s="231"/>
      <c r="FO57" s="231"/>
      <c r="FP57" s="231"/>
      <c r="FQ57" s="231"/>
      <c r="FR57" s="231"/>
      <c r="FS57" s="231"/>
      <c r="FT57" s="231"/>
      <c r="FU57" s="231"/>
      <c r="FV57" s="231"/>
      <c r="FW57" s="231"/>
      <c r="FX57" s="231"/>
      <c r="FY57" s="231"/>
      <c r="FZ57" s="231"/>
      <c r="GA57" s="231"/>
      <c r="GB57" s="231"/>
      <c r="GC57" s="231"/>
      <c r="GD57" s="231"/>
      <c r="GE57" s="231"/>
      <c r="GF57" s="231"/>
      <c r="GG57" s="231"/>
      <c r="GH57" s="231"/>
      <c r="GI57" s="231"/>
      <c r="GJ57" s="231"/>
      <c r="GK57" s="231"/>
      <c r="GL57" s="231"/>
      <c r="GM57" s="231"/>
      <c r="GN57" s="231"/>
      <c r="GO57" s="231"/>
      <c r="GP57" s="231"/>
      <c r="GQ57" s="231"/>
      <c r="GR57" s="231"/>
      <c r="GS57" s="231"/>
      <c r="GT57" s="231"/>
      <c r="GU57" s="231"/>
      <c r="GV57" s="231"/>
      <c r="GW57" s="231"/>
      <c r="GX57" s="231"/>
      <c r="GY57" s="231"/>
      <c r="GZ57" s="231"/>
      <c r="HA57" s="231"/>
      <c r="HB57" s="231"/>
      <c r="HC57" s="231"/>
      <c r="HD57" s="231"/>
      <c r="HE57" s="231"/>
      <c r="HF57" s="231"/>
      <c r="HG57" s="231"/>
      <c r="HH57" s="231"/>
      <c r="HI57" s="231"/>
      <c r="HJ57" s="231"/>
      <c r="HK57" s="231"/>
      <c r="HL57" s="231"/>
      <c r="HM57" s="231"/>
      <c r="HN57" s="231"/>
      <c r="HO57" s="231"/>
      <c r="HP57" s="231"/>
      <c r="HQ57" s="231"/>
      <c r="HR57" s="231"/>
      <c r="HS57" s="231"/>
      <c r="HT57" s="231"/>
      <c r="HU57" s="231"/>
      <c r="HV57" s="231"/>
      <c r="HW57" s="231"/>
      <c r="HX57" s="231"/>
      <c r="HY57" s="231"/>
      <c r="HZ57" s="231"/>
      <c r="IA57" s="231"/>
      <c r="IB57" s="232"/>
    </row>
    <row r="58" spans="1:236" s="233" customFormat="1" ht="13.15" customHeight="1">
      <c r="A58" s="223"/>
      <c r="B58" s="254">
        <v>42</v>
      </c>
      <c r="C58" s="684"/>
      <c r="D58" s="266" t="s">
        <v>194</v>
      </c>
      <c r="E58" s="114" t="s">
        <v>29</v>
      </c>
      <c r="F58" s="260">
        <v>1102.5889999999999</v>
      </c>
      <c r="G58" s="261">
        <f>-54.56+100</f>
        <v>45.44</v>
      </c>
      <c r="H58" s="260">
        <f t="shared" si="6"/>
        <v>1148.029</v>
      </c>
      <c r="I58" s="262">
        <v>950.51900000000001</v>
      </c>
      <c r="J58" s="262">
        <v>115.05500000000001</v>
      </c>
      <c r="K58" s="258">
        <v>35.6</v>
      </c>
      <c r="L58" s="114">
        <f t="shared" si="3"/>
        <v>46.855000000000018</v>
      </c>
      <c r="M58" s="227">
        <f t="shared" si="1"/>
        <v>0.95918657107093985</v>
      </c>
      <c r="N58" s="228" t="str">
        <f>+'IC ANCH-SARC VIII'!O45</f>
        <v>-</v>
      </c>
      <c r="O58" s="578"/>
      <c r="P58" s="578"/>
      <c r="Q58" s="578"/>
      <c r="R58" s="578"/>
      <c r="S58" s="578"/>
      <c r="T58" s="229"/>
      <c r="U58" s="229"/>
      <c r="V58" s="229"/>
      <c r="W58" s="229"/>
      <c r="X58" s="229"/>
      <c r="Y58" s="229"/>
      <c r="Z58" s="229"/>
      <c r="AA58" s="229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  <c r="EG58" s="231"/>
      <c r="EH58" s="231"/>
      <c r="EI58" s="231"/>
      <c r="EJ58" s="231"/>
      <c r="EK58" s="231"/>
      <c r="EL58" s="231"/>
      <c r="EM58" s="231"/>
      <c r="EN58" s="231"/>
      <c r="EO58" s="231"/>
      <c r="EP58" s="231"/>
      <c r="EQ58" s="231"/>
      <c r="ER58" s="231"/>
      <c r="ES58" s="231"/>
      <c r="ET58" s="231"/>
      <c r="EU58" s="231"/>
      <c r="EV58" s="231"/>
      <c r="EW58" s="231"/>
      <c r="EX58" s="231"/>
      <c r="EY58" s="231"/>
      <c r="EZ58" s="231"/>
      <c r="FA58" s="231"/>
      <c r="FB58" s="231"/>
      <c r="FC58" s="231"/>
      <c r="FD58" s="231"/>
      <c r="FE58" s="231"/>
      <c r="FF58" s="231"/>
      <c r="FG58" s="231"/>
      <c r="FH58" s="231"/>
      <c r="FI58" s="231"/>
      <c r="FJ58" s="231"/>
      <c r="FK58" s="231"/>
      <c r="FL58" s="231"/>
      <c r="FM58" s="231"/>
      <c r="FN58" s="231"/>
      <c r="FO58" s="231"/>
      <c r="FP58" s="231"/>
      <c r="FQ58" s="231"/>
      <c r="FR58" s="231"/>
      <c r="FS58" s="231"/>
      <c r="FT58" s="231"/>
      <c r="FU58" s="231"/>
      <c r="FV58" s="231"/>
      <c r="FW58" s="231"/>
      <c r="FX58" s="231"/>
      <c r="FY58" s="231"/>
      <c r="FZ58" s="231"/>
      <c r="GA58" s="231"/>
      <c r="GB58" s="231"/>
      <c r="GC58" s="231"/>
      <c r="GD58" s="231"/>
      <c r="GE58" s="231"/>
      <c r="GF58" s="231"/>
      <c r="GG58" s="231"/>
      <c r="GH58" s="231"/>
      <c r="GI58" s="231"/>
      <c r="GJ58" s="231"/>
      <c r="GK58" s="231"/>
      <c r="GL58" s="231"/>
      <c r="GM58" s="231"/>
      <c r="GN58" s="231"/>
      <c r="GO58" s="231"/>
      <c r="GP58" s="231"/>
      <c r="GQ58" s="231"/>
      <c r="GR58" s="231"/>
      <c r="GS58" s="231"/>
      <c r="GT58" s="231"/>
      <c r="GU58" s="231"/>
      <c r="GV58" s="231"/>
      <c r="GW58" s="231"/>
      <c r="GX58" s="231"/>
      <c r="GY58" s="231"/>
      <c r="GZ58" s="231"/>
      <c r="HA58" s="231"/>
      <c r="HB58" s="231"/>
      <c r="HC58" s="231"/>
      <c r="HD58" s="231"/>
      <c r="HE58" s="231"/>
      <c r="HF58" s="231"/>
      <c r="HG58" s="231"/>
      <c r="HH58" s="231"/>
      <c r="HI58" s="231"/>
      <c r="HJ58" s="231"/>
      <c r="HK58" s="231"/>
      <c r="HL58" s="231"/>
      <c r="HM58" s="231"/>
      <c r="HN58" s="231"/>
      <c r="HO58" s="231"/>
      <c r="HP58" s="231"/>
      <c r="HQ58" s="231"/>
      <c r="HR58" s="231"/>
      <c r="HS58" s="231"/>
      <c r="HT58" s="231"/>
      <c r="HU58" s="231"/>
      <c r="HV58" s="231"/>
      <c r="HW58" s="231"/>
      <c r="HX58" s="231"/>
      <c r="HY58" s="231"/>
      <c r="HZ58" s="231"/>
      <c r="IA58" s="231"/>
      <c r="IB58" s="232"/>
    </row>
    <row r="59" spans="1:236" s="233" customFormat="1" ht="13.15" customHeight="1">
      <c r="A59" s="223"/>
      <c r="B59" s="254">
        <v>43</v>
      </c>
      <c r="C59" s="684"/>
      <c r="D59" s="266" t="s">
        <v>195</v>
      </c>
      <c r="E59" s="114" t="s">
        <v>29</v>
      </c>
      <c r="F59" s="260">
        <v>3704.319</v>
      </c>
      <c r="G59" s="581">
        <v>-53</v>
      </c>
      <c r="H59" s="260">
        <f t="shared" si="6"/>
        <v>3651.319</v>
      </c>
      <c r="I59" s="262">
        <v>3273.9110000000001</v>
      </c>
      <c r="J59" s="262">
        <v>0</v>
      </c>
      <c r="K59" s="258">
        <v>0</v>
      </c>
      <c r="L59" s="114">
        <f t="shared" si="3"/>
        <v>377.4079999999999</v>
      </c>
      <c r="M59" s="227">
        <f t="shared" si="1"/>
        <v>0.89663789989316189</v>
      </c>
      <c r="N59" s="228" t="str">
        <f>+'IC ANCH-SARC VIII'!O46</f>
        <v>-</v>
      </c>
      <c r="O59" s="578"/>
      <c r="P59" s="578"/>
      <c r="Q59" s="578"/>
      <c r="R59" s="578"/>
      <c r="S59" s="578"/>
      <c r="T59" s="229"/>
      <c r="U59" s="229"/>
      <c r="V59" s="229"/>
      <c r="W59" s="229"/>
      <c r="X59" s="229"/>
      <c r="Y59" s="229"/>
      <c r="Z59" s="229"/>
      <c r="AA59" s="229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1"/>
      <c r="DM59" s="231"/>
      <c r="DN59" s="231"/>
      <c r="DO59" s="231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  <c r="EG59" s="231"/>
      <c r="EH59" s="231"/>
      <c r="EI59" s="231"/>
      <c r="EJ59" s="231"/>
      <c r="EK59" s="231"/>
      <c r="EL59" s="231"/>
      <c r="EM59" s="231"/>
      <c r="EN59" s="231"/>
      <c r="EO59" s="231"/>
      <c r="EP59" s="231"/>
      <c r="EQ59" s="231"/>
      <c r="ER59" s="231"/>
      <c r="ES59" s="231"/>
      <c r="ET59" s="231"/>
      <c r="EU59" s="231"/>
      <c r="EV59" s="231"/>
      <c r="EW59" s="231"/>
      <c r="EX59" s="231"/>
      <c r="EY59" s="231"/>
      <c r="EZ59" s="231"/>
      <c r="FA59" s="231"/>
      <c r="FB59" s="231"/>
      <c r="FC59" s="231"/>
      <c r="FD59" s="231"/>
      <c r="FE59" s="231"/>
      <c r="FF59" s="231"/>
      <c r="FG59" s="231"/>
      <c r="FH59" s="231"/>
      <c r="FI59" s="231"/>
      <c r="FJ59" s="231"/>
      <c r="FK59" s="231"/>
      <c r="FL59" s="231"/>
      <c r="FM59" s="231"/>
      <c r="FN59" s="231"/>
      <c r="FO59" s="231"/>
      <c r="FP59" s="231"/>
      <c r="FQ59" s="231"/>
      <c r="FR59" s="231"/>
      <c r="FS59" s="231"/>
      <c r="FT59" s="231"/>
      <c r="FU59" s="231"/>
      <c r="FV59" s="231"/>
      <c r="FW59" s="231"/>
      <c r="FX59" s="231"/>
      <c r="FY59" s="231"/>
      <c r="FZ59" s="231"/>
      <c r="GA59" s="231"/>
      <c r="GB59" s="231"/>
      <c r="GC59" s="231"/>
      <c r="GD59" s="231"/>
      <c r="GE59" s="231"/>
      <c r="GF59" s="231"/>
      <c r="GG59" s="231"/>
      <c r="GH59" s="231"/>
      <c r="GI59" s="231"/>
      <c r="GJ59" s="231"/>
      <c r="GK59" s="231"/>
      <c r="GL59" s="231"/>
      <c r="GM59" s="231"/>
      <c r="GN59" s="231"/>
      <c r="GO59" s="231"/>
      <c r="GP59" s="231"/>
      <c r="GQ59" s="231"/>
      <c r="GR59" s="231"/>
      <c r="GS59" s="231"/>
      <c r="GT59" s="231"/>
      <c r="GU59" s="231"/>
      <c r="GV59" s="231"/>
      <c r="GW59" s="231"/>
      <c r="GX59" s="231"/>
      <c r="GY59" s="231"/>
      <c r="GZ59" s="231"/>
      <c r="HA59" s="231"/>
      <c r="HB59" s="231"/>
      <c r="HC59" s="231"/>
      <c r="HD59" s="231"/>
      <c r="HE59" s="231"/>
      <c r="HF59" s="231"/>
      <c r="HG59" s="231"/>
      <c r="HH59" s="231"/>
      <c r="HI59" s="231"/>
      <c r="HJ59" s="231"/>
      <c r="HK59" s="231"/>
      <c r="HL59" s="231"/>
      <c r="HM59" s="231"/>
      <c r="HN59" s="231"/>
      <c r="HO59" s="231"/>
      <c r="HP59" s="231"/>
      <c r="HQ59" s="231"/>
      <c r="HR59" s="231"/>
      <c r="HS59" s="231"/>
      <c r="HT59" s="231"/>
      <c r="HU59" s="231"/>
      <c r="HV59" s="231"/>
      <c r="HW59" s="231"/>
      <c r="HX59" s="231"/>
      <c r="HY59" s="231"/>
      <c r="HZ59" s="231"/>
      <c r="IA59" s="231"/>
      <c r="IB59" s="232"/>
    </row>
    <row r="60" spans="1:236" s="233" customFormat="1" ht="13.15" customHeight="1">
      <c r="A60" s="223"/>
      <c r="B60" s="254">
        <v>44</v>
      </c>
      <c r="C60" s="684"/>
      <c r="D60" s="266" t="s">
        <v>196</v>
      </c>
      <c r="E60" s="114" t="s">
        <v>29</v>
      </c>
      <c r="F60" s="260">
        <v>22.984999999999999</v>
      </c>
      <c r="G60" s="261">
        <v>-18.46</v>
      </c>
      <c r="H60" s="260">
        <f t="shared" si="6"/>
        <v>4.5249999999999986</v>
      </c>
      <c r="I60" s="262">
        <v>0</v>
      </c>
      <c r="J60" s="262">
        <v>0</v>
      </c>
      <c r="K60" s="258">
        <v>0</v>
      </c>
      <c r="L60" s="114">
        <f t="shared" si="3"/>
        <v>4.5249999999999986</v>
      </c>
      <c r="M60" s="227">
        <f t="shared" si="1"/>
        <v>0</v>
      </c>
      <c r="N60" s="269">
        <f>+'IC ANCH-SARC VIII'!O47</f>
        <v>43532</v>
      </c>
      <c r="O60" s="578"/>
      <c r="P60" s="578"/>
      <c r="Q60" s="578"/>
      <c r="R60" s="578"/>
      <c r="S60" s="578"/>
      <c r="T60" s="229"/>
      <c r="U60" s="229"/>
      <c r="V60" s="229"/>
      <c r="W60" s="229"/>
      <c r="X60" s="229"/>
      <c r="Y60" s="229"/>
      <c r="Z60" s="229"/>
      <c r="AA60" s="229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231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  <c r="EH60" s="231"/>
      <c r="EI60" s="231"/>
      <c r="EJ60" s="231"/>
      <c r="EK60" s="231"/>
      <c r="EL60" s="231"/>
      <c r="EM60" s="231"/>
      <c r="EN60" s="231"/>
      <c r="EO60" s="231"/>
      <c r="EP60" s="231"/>
      <c r="EQ60" s="231"/>
      <c r="ER60" s="231"/>
      <c r="ES60" s="231"/>
      <c r="ET60" s="231"/>
      <c r="EU60" s="231"/>
      <c r="EV60" s="231"/>
      <c r="EW60" s="231"/>
      <c r="EX60" s="231"/>
      <c r="EY60" s="231"/>
      <c r="EZ60" s="231"/>
      <c r="FA60" s="231"/>
      <c r="FB60" s="231"/>
      <c r="FC60" s="231"/>
      <c r="FD60" s="231"/>
      <c r="FE60" s="231"/>
      <c r="FF60" s="231"/>
      <c r="FG60" s="231"/>
      <c r="FH60" s="231"/>
      <c r="FI60" s="231"/>
      <c r="FJ60" s="231"/>
      <c r="FK60" s="231"/>
      <c r="FL60" s="231"/>
      <c r="FM60" s="231"/>
      <c r="FN60" s="231"/>
      <c r="FO60" s="231"/>
      <c r="FP60" s="231"/>
      <c r="FQ60" s="231"/>
      <c r="FR60" s="231"/>
      <c r="FS60" s="231"/>
      <c r="FT60" s="231"/>
      <c r="FU60" s="231"/>
      <c r="FV60" s="231"/>
      <c r="FW60" s="231"/>
      <c r="FX60" s="231"/>
      <c r="FY60" s="231"/>
      <c r="FZ60" s="231"/>
      <c r="GA60" s="231"/>
      <c r="GB60" s="231"/>
      <c r="GC60" s="231"/>
      <c r="GD60" s="231"/>
      <c r="GE60" s="231"/>
      <c r="GF60" s="231"/>
      <c r="GG60" s="231"/>
      <c r="GH60" s="231"/>
      <c r="GI60" s="231"/>
      <c r="GJ60" s="231"/>
      <c r="GK60" s="231"/>
      <c r="GL60" s="231"/>
      <c r="GM60" s="231"/>
      <c r="GN60" s="231"/>
      <c r="GO60" s="231"/>
      <c r="GP60" s="231"/>
      <c r="GQ60" s="231"/>
      <c r="GR60" s="231"/>
      <c r="GS60" s="231"/>
      <c r="GT60" s="231"/>
      <c r="GU60" s="231"/>
      <c r="GV60" s="231"/>
      <c r="GW60" s="231"/>
      <c r="GX60" s="231"/>
      <c r="GY60" s="231"/>
      <c r="GZ60" s="231"/>
      <c r="HA60" s="231"/>
      <c r="HB60" s="231"/>
      <c r="HC60" s="231"/>
      <c r="HD60" s="231"/>
      <c r="HE60" s="231"/>
      <c r="HF60" s="231"/>
      <c r="HG60" s="231"/>
      <c r="HH60" s="231"/>
      <c r="HI60" s="231"/>
      <c r="HJ60" s="231"/>
      <c r="HK60" s="231"/>
      <c r="HL60" s="231"/>
      <c r="HM60" s="231"/>
      <c r="HN60" s="231"/>
      <c r="HO60" s="231"/>
      <c r="HP60" s="231"/>
      <c r="HQ60" s="231"/>
      <c r="HR60" s="231"/>
      <c r="HS60" s="231"/>
      <c r="HT60" s="231"/>
      <c r="HU60" s="231"/>
      <c r="HV60" s="231"/>
      <c r="HW60" s="231"/>
      <c r="HX60" s="231"/>
      <c r="HY60" s="231"/>
      <c r="HZ60" s="231"/>
      <c r="IA60" s="231"/>
      <c r="IB60" s="232"/>
    </row>
    <row r="61" spans="1:236" s="233" customFormat="1" ht="13.15" customHeight="1">
      <c r="A61" s="223"/>
      <c r="B61" s="254">
        <v>45</v>
      </c>
      <c r="C61" s="684"/>
      <c r="D61" s="266" t="s">
        <v>197</v>
      </c>
      <c r="E61" s="114" t="s">
        <v>29</v>
      </c>
      <c r="F61" s="260">
        <v>5526.4960000000001</v>
      </c>
      <c r="G61" s="261"/>
      <c r="H61" s="260">
        <f t="shared" si="6"/>
        <v>5526.4960000000001</v>
      </c>
      <c r="I61" s="262">
        <v>3024.6840000000002</v>
      </c>
      <c r="J61" s="262">
        <v>0</v>
      </c>
      <c r="K61" s="258">
        <v>0</v>
      </c>
      <c r="L61" s="114">
        <f t="shared" si="3"/>
        <v>2501.8119999999999</v>
      </c>
      <c r="M61" s="227">
        <f t="shared" si="1"/>
        <v>0.54730592404301026</v>
      </c>
      <c r="N61" s="228" t="str">
        <f>+'IC ANCH-SARC VIII'!O48</f>
        <v>-</v>
      </c>
      <c r="O61" s="578"/>
      <c r="P61" s="578"/>
      <c r="Q61" s="578"/>
      <c r="R61" s="578"/>
      <c r="S61" s="578"/>
      <c r="T61" s="229"/>
      <c r="U61" s="229"/>
      <c r="V61" s="229"/>
      <c r="W61" s="229"/>
      <c r="X61" s="229"/>
      <c r="Y61" s="229"/>
      <c r="Z61" s="229"/>
      <c r="AA61" s="229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1"/>
      <c r="DJ61" s="231"/>
      <c r="DK61" s="231"/>
      <c r="DL61" s="231"/>
      <c r="DM61" s="231"/>
      <c r="DN61" s="231"/>
      <c r="DO61" s="231"/>
      <c r="DP61" s="231"/>
      <c r="DQ61" s="231"/>
      <c r="DR61" s="231"/>
      <c r="DS61" s="231"/>
      <c r="DT61" s="231"/>
      <c r="DU61" s="231"/>
      <c r="DV61" s="231"/>
      <c r="DW61" s="231"/>
      <c r="DX61" s="231"/>
      <c r="DY61" s="231"/>
      <c r="DZ61" s="231"/>
      <c r="EA61" s="231"/>
      <c r="EB61" s="231"/>
      <c r="EC61" s="231"/>
      <c r="ED61" s="231"/>
      <c r="EE61" s="231"/>
      <c r="EF61" s="231"/>
      <c r="EG61" s="231"/>
      <c r="EH61" s="231"/>
      <c r="EI61" s="231"/>
      <c r="EJ61" s="231"/>
      <c r="EK61" s="231"/>
      <c r="EL61" s="231"/>
      <c r="EM61" s="231"/>
      <c r="EN61" s="231"/>
      <c r="EO61" s="231"/>
      <c r="EP61" s="231"/>
      <c r="EQ61" s="231"/>
      <c r="ER61" s="231"/>
      <c r="ES61" s="231"/>
      <c r="ET61" s="231"/>
      <c r="EU61" s="231"/>
      <c r="EV61" s="231"/>
      <c r="EW61" s="231"/>
      <c r="EX61" s="231"/>
      <c r="EY61" s="231"/>
      <c r="EZ61" s="231"/>
      <c r="FA61" s="231"/>
      <c r="FB61" s="231"/>
      <c r="FC61" s="231"/>
      <c r="FD61" s="231"/>
      <c r="FE61" s="231"/>
      <c r="FF61" s="231"/>
      <c r="FG61" s="231"/>
      <c r="FH61" s="231"/>
      <c r="FI61" s="231"/>
      <c r="FJ61" s="231"/>
      <c r="FK61" s="231"/>
      <c r="FL61" s="231"/>
      <c r="FM61" s="231"/>
      <c r="FN61" s="231"/>
      <c r="FO61" s="231"/>
      <c r="FP61" s="231"/>
      <c r="FQ61" s="231"/>
      <c r="FR61" s="231"/>
      <c r="FS61" s="231"/>
      <c r="FT61" s="231"/>
      <c r="FU61" s="231"/>
      <c r="FV61" s="231"/>
      <c r="FW61" s="231"/>
      <c r="FX61" s="231"/>
      <c r="FY61" s="231"/>
      <c r="FZ61" s="231"/>
      <c r="GA61" s="231"/>
      <c r="GB61" s="231"/>
      <c r="GC61" s="231"/>
      <c r="GD61" s="231"/>
      <c r="GE61" s="231"/>
      <c r="GF61" s="231"/>
      <c r="GG61" s="231"/>
      <c r="GH61" s="231"/>
      <c r="GI61" s="231"/>
      <c r="GJ61" s="231"/>
      <c r="GK61" s="231"/>
      <c r="GL61" s="231"/>
      <c r="GM61" s="231"/>
      <c r="GN61" s="231"/>
      <c r="GO61" s="231"/>
      <c r="GP61" s="231"/>
      <c r="GQ61" s="231"/>
      <c r="GR61" s="231"/>
      <c r="GS61" s="231"/>
      <c r="GT61" s="231"/>
      <c r="GU61" s="231"/>
      <c r="GV61" s="231"/>
      <c r="GW61" s="231"/>
      <c r="GX61" s="231"/>
      <c r="GY61" s="231"/>
      <c r="GZ61" s="231"/>
      <c r="HA61" s="231"/>
      <c r="HB61" s="231"/>
      <c r="HC61" s="231"/>
      <c r="HD61" s="231"/>
      <c r="HE61" s="231"/>
      <c r="HF61" s="231"/>
      <c r="HG61" s="231"/>
      <c r="HH61" s="231"/>
      <c r="HI61" s="231"/>
      <c r="HJ61" s="231"/>
      <c r="HK61" s="231"/>
      <c r="HL61" s="231"/>
      <c r="HM61" s="231"/>
      <c r="HN61" s="231"/>
      <c r="HO61" s="231"/>
      <c r="HP61" s="231"/>
      <c r="HQ61" s="231"/>
      <c r="HR61" s="231"/>
      <c r="HS61" s="231"/>
      <c r="HT61" s="231"/>
      <c r="HU61" s="231"/>
      <c r="HV61" s="231"/>
      <c r="HW61" s="231"/>
      <c r="HX61" s="231"/>
      <c r="HY61" s="231"/>
      <c r="HZ61" s="231"/>
      <c r="IA61" s="231"/>
      <c r="IB61" s="232"/>
    </row>
    <row r="62" spans="1:236" s="233" customFormat="1" ht="13.15" customHeight="1">
      <c r="A62" s="223"/>
      <c r="B62" s="254">
        <v>46</v>
      </c>
      <c r="C62" s="684"/>
      <c r="D62" s="266" t="s">
        <v>198</v>
      </c>
      <c r="E62" s="114" t="s">
        <v>29</v>
      </c>
      <c r="F62" s="260">
        <v>1339.057</v>
      </c>
      <c r="G62" s="261"/>
      <c r="H62" s="260">
        <f t="shared" si="6"/>
        <v>1339.057</v>
      </c>
      <c r="I62" s="262">
        <v>496.54300000000001</v>
      </c>
      <c r="J62" s="262">
        <v>0</v>
      </c>
      <c r="K62" s="258">
        <v>0</v>
      </c>
      <c r="L62" s="114">
        <f t="shared" si="3"/>
        <v>842.51400000000001</v>
      </c>
      <c r="M62" s="227">
        <f t="shared" si="1"/>
        <v>0.37081543205404999</v>
      </c>
      <c r="N62" s="228" t="str">
        <f>+'IC ANCH-SARC VIII'!O49</f>
        <v>-</v>
      </c>
      <c r="O62" s="578"/>
      <c r="P62" s="578"/>
      <c r="Q62" s="578"/>
      <c r="R62" s="578"/>
      <c r="S62" s="578"/>
      <c r="T62" s="229"/>
      <c r="U62" s="229"/>
      <c r="V62" s="229"/>
      <c r="W62" s="229"/>
      <c r="X62" s="229"/>
      <c r="Y62" s="229"/>
      <c r="Z62" s="229"/>
      <c r="AA62" s="229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231"/>
      <c r="DK62" s="231"/>
      <c r="DL62" s="231"/>
      <c r="DM62" s="231"/>
      <c r="DN62" s="231"/>
      <c r="DO62" s="231"/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  <c r="EH62" s="231"/>
      <c r="EI62" s="231"/>
      <c r="EJ62" s="231"/>
      <c r="EK62" s="231"/>
      <c r="EL62" s="231"/>
      <c r="EM62" s="231"/>
      <c r="EN62" s="231"/>
      <c r="EO62" s="231"/>
      <c r="EP62" s="231"/>
      <c r="EQ62" s="231"/>
      <c r="ER62" s="231"/>
      <c r="ES62" s="231"/>
      <c r="ET62" s="231"/>
      <c r="EU62" s="231"/>
      <c r="EV62" s="231"/>
      <c r="EW62" s="231"/>
      <c r="EX62" s="231"/>
      <c r="EY62" s="231"/>
      <c r="EZ62" s="231"/>
      <c r="FA62" s="231"/>
      <c r="FB62" s="231"/>
      <c r="FC62" s="231"/>
      <c r="FD62" s="231"/>
      <c r="FE62" s="231"/>
      <c r="FF62" s="231"/>
      <c r="FG62" s="231"/>
      <c r="FH62" s="231"/>
      <c r="FI62" s="231"/>
      <c r="FJ62" s="231"/>
      <c r="FK62" s="231"/>
      <c r="FL62" s="231"/>
      <c r="FM62" s="231"/>
      <c r="FN62" s="231"/>
      <c r="FO62" s="231"/>
      <c r="FP62" s="231"/>
      <c r="FQ62" s="231"/>
      <c r="FR62" s="231"/>
      <c r="FS62" s="231"/>
      <c r="FT62" s="231"/>
      <c r="FU62" s="231"/>
      <c r="FV62" s="231"/>
      <c r="FW62" s="231"/>
      <c r="FX62" s="231"/>
      <c r="FY62" s="231"/>
      <c r="FZ62" s="231"/>
      <c r="GA62" s="231"/>
      <c r="GB62" s="231"/>
      <c r="GC62" s="231"/>
      <c r="GD62" s="231"/>
      <c r="GE62" s="231"/>
      <c r="GF62" s="231"/>
      <c r="GG62" s="231"/>
      <c r="GH62" s="231"/>
      <c r="GI62" s="231"/>
      <c r="GJ62" s="231"/>
      <c r="GK62" s="231"/>
      <c r="GL62" s="231"/>
      <c r="GM62" s="231"/>
      <c r="GN62" s="231"/>
      <c r="GO62" s="231"/>
      <c r="GP62" s="231"/>
      <c r="GQ62" s="231"/>
      <c r="GR62" s="231"/>
      <c r="GS62" s="231"/>
      <c r="GT62" s="231"/>
      <c r="GU62" s="231"/>
      <c r="GV62" s="231"/>
      <c r="GW62" s="231"/>
      <c r="GX62" s="231"/>
      <c r="GY62" s="231"/>
      <c r="GZ62" s="231"/>
      <c r="HA62" s="231"/>
      <c r="HB62" s="231"/>
      <c r="HC62" s="231"/>
      <c r="HD62" s="231"/>
      <c r="HE62" s="231"/>
      <c r="HF62" s="231"/>
      <c r="HG62" s="231"/>
      <c r="HH62" s="231"/>
      <c r="HI62" s="231"/>
      <c r="HJ62" s="231"/>
      <c r="HK62" s="231"/>
      <c r="HL62" s="231"/>
      <c r="HM62" s="231"/>
      <c r="HN62" s="231"/>
      <c r="HO62" s="231"/>
      <c r="HP62" s="231"/>
      <c r="HQ62" s="231"/>
      <c r="HR62" s="231"/>
      <c r="HS62" s="231"/>
      <c r="HT62" s="231"/>
      <c r="HU62" s="231"/>
      <c r="HV62" s="231"/>
      <c r="HW62" s="231"/>
      <c r="HX62" s="231"/>
      <c r="HY62" s="231"/>
      <c r="HZ62" s="231"/>
      <c r="IA62" s="231"/>
      <c r="IB62" s="232"/>
    </row>
    <row r="63" spans="1:236" s="233" customFormat="1" ht="13.15" customHeight="1">
      <c r="A63" s="223"/>
      <c r="B63" s="254">
        <v>47</v>
      </c>
      <c r="C63" s="684"/>
      <c r="D63" s="266" t="s">
        <v>199</v>
      </c>
      <c r="E63" s="114" t="s">
        <v>29</v>
      </c>
      <c r="F63" s="260">
        <v>6355.0870000000004</v>
      </c>
      <c r="G63" s="265">
        <v>-228</v>
      </c>
      <c r="H63" s="260">
        <f t="shared" si="6"/>
        <v>6127.0870000000004</v>
      </c>
      <c r="I63" s="262">
        <v>3426.3580000000002</v>
      </c>
      <c r="J63" s="262">
        <v>0</v>
      </c>
      <c r="K63" s="258">
        <v>0</v>
      </c>
      <c r="L63" s="114">
        <f t="shared" si="3"/>
        <v>2700.7290000000003</v>
      </c>
      <c r="M63" s="227">
        <f t="shared" si="1"/>
        <v>0.5592148438564688</v>
      </c>
      <c r="N63" s="228" t="str">
        <f>+'IC ANCH-SARC VIII'!O50</f>
        <v>-</v>
      </c>
      <c r="O63" s="578"/>
      <c r="P63" s="578"/>
      <c r="Q63" s="578"/>
      <c r="R63" s="578"/>
      <c r="S63" s="578"/>
      <c r="T63" s="229"/>
      <c r="U63" s="229"/>
      <c r="V63" s="229"/>
      <c r="W63" s="229"/>
      <c r="X63" s="229"/>
      <c r="Y63" s="229"/>
      <c r="Z63" s="229"/>
      <c r="AA63" s="229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1"/>
      <c r="DI63" s="231"/>
      <c r="DJ63" s="231"/>
      <c r="DK63" s="231"/>
      <c r="DL63" s="231"/>
      <c r="DM63" s="231"/>
      <c r="DN63" s="231"/>
      <c r="DO63" s="231"/>
      <c r="DP63" s="231"/>
      <c r="DQ63" s="231"/>
      <c r="DR63" s="231"/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1"/>
      <c r="EE63" s="231"/>
      <c r="EF63" s="231"/>
      <c r="EG63" s="231"/>
      <c r="EH63" s="231"/>
      <c r="EI63" s="231"/>
      <c r="EJ63" s="231"/>
      <c r="EK63" s="231"/>
      <c r="EL63" s="231"/>
      <c r="EM63" s="231"/>
      <c r="EN63" s="231"/>
      <c r="EO63" s="231"/>
      <c r="EP63" s="231"/>
      <c r="EQ63" s="231"/>
      <c r="ER63" s="231"/>
      <c r="ES63" s="231"/>
      <c r="ET63" s="231"/>
      <c r="EU63" s="231"/>
      <c r="EV63" s="231"/>
      <c r="EW63" s="231"/>
      <c r="EX63" s="231"/>
      <c r="EY63" s="231"/>
      <c r="EZ63" s="231"/>
      <c r="FA63" s="231"/>
      <c r="FB63" s="231"/>
      <c r="FC63" s="231"/>
      <c r="FD63" s="231"/>
      <c r="FE63" s="231"/>
      <c r="FF63" s="231"/>
      <c r="FG63" s="231"/>
      <c r="FH63" s="231"/>
      <c r="FI63" s="231"/>
      <c r="FJ63" s="231"/>
      <c r="FK63" s="231"/>
      <c r="FL63" s="231"/>
      <c r="FM63" s="231"/>
      <c r="FN63" s="231"/>
      <c r="FO63" s="231"/>
      <c r="FP63" s="231"/>
      <c r="FQ63" s="231"/>
      <c r="FR63" s="231"/>
      <c r="FS63" s="231"/>
      <c r="FT63" s="231"/>
      <c r="FU63" s="231"/>
      <c r="FV63" s="231"/>
      <c r="FW63" s="231"/>
      <c r="FX63" s="231"/>
      <c r="FY63" s="231"/>
      <c r="FZ63" s="231"/>
      <c r="GA63" s="231"/>
      <c r="GB63" s="231"/>
      <c r="GC63" s="231"/>
      <c r="GD63" s="231"/>
      <c r="GE63" s="231"/>
      <c r="GF63" s="231"/>
      <c r="GG63" s="231"/>
      <c r="GH63" s="231"/>
      <c r="GI63" s="231"/>
      <c r="GJ63" s="231"/>
      <c r="GK63" s="231"/>
      <c r="GL63" s="231"/>
      <c r="GM63" s="231"/>
      <c r="GN63" s="231"/>
      <c r="GO63" s="231"/>
      <c r="GP63" s="231"/>
      <c r="GQ63" s="231"/>
      <c r="GR63" s="231"/>
      <c r="GS63" s="231"/>
      <c r="GT63" s="231"/>
      <c r="GU63" s="231"/>
      <c r="GV63" s="231"/>
      <c r="GW63" s="231"/>
      <c r="GX63" s="231"/>
      <c r="GY63" s="231"/>
      <c r="GZ63" s="231"/>
      <c r="HA63" s="231"/>
      <c r="HB63" s="231"/>
      <c r="HC63" s="231"/>
      <c r="HD63" s="231"/>
      <c r="HE63" s="231"/>
      <c r="HF63" s="231"/>
      <c r="HG63" s="231"/>
      <c r="HH63" s="231"/>
      <c r="HI63" s="231"/>
      <c r="HJ63" s="231"/>
      <c r="HK63" s="231"/>
      <c r="HL63" s="231"/>
      <c r="HM63" s="231"/>
      <c r="HN63" s="231"/>
      <c r="HO63" s="231"/>
      <c r="HP63" s="231"/>
      <c r="HQ63" s="231"/>
      <c r="HR63" s="231"/>
      <c r="HS63" s="231"/>
      <c r="HT63" s="231"/>
      <c r="HU63" s="231"/>
      <c r="HV63" s="231"/>
      <c r="HW63" s="231"/>
      <c r="HX63" s="231"/>
      <c r="HY63" s="231"/>
      <c r="HZ63" s="231"/>
      <c r="IA63" s="231"/>
      <c r="IB63" s="232"/>
    </row>
    <row r="64" spans="1:236" s="233" customFormat="1" ht="13.15" customHeight="1">
      <c r="A64" s="223"/>
      <c r="B64" s="254">
        <v>48</v>
      </c>
      <c r="C64" s="684"/>
      <c r="D64" s="266" t="s">
        <v>200</v>
      </c>
      <c r="E64" s="114" t="s">
        <v>29</v>
      </c>
      <c r="F64" s="260">
        <v>1849.6320000000001</v>
      </c>
      <c r="G64" s="581">
        <f>-226-53</f>
        <v>-279</v>
      </c>
      <c r="H64" s="260">
        <f t="shared" si="6"/>
        <v>1570.6320000000001</v>
      </c>
      <c r="I64" s="262">
        <v>798.19</v>
      </c>
      <c r="J64" s="262">
        <v>0</v>
      </c>
      <c r="K64" s="258">
        <v>0</v>
      </c>
      <c r="L64" s="114">
        <f t="shared" si="3"/>
        <v>772.44200000000001</v>
      </c>
      <c r="M64" s="227">
        <f t="shared" si="1"/>
        <v>0.50819670043651222</v>
      </c>
      <c r="N64" s="228" t="str">
        <f>+'IC ANCH-SARC VIII'!O51</f>
        <v>-</v>
      </c>
      <c r="O64" s="578"/>
      <c r="P64" s="578"/>
      <c r="Q64" s="578"/>
      <c r="R64" s="578"/>
      <c r="S64" s="578"/>
      <c r="T64" s="229"/>
      <c r="U64" s="229"/>
      <c r="V64" s="229"/>
      <c r="W64" s="229"/>
      <c r="X64" s="229"/>
      <c r="Y64" s="229"/>
      <c r="Z64" s="229"/>
      <c r="AA64" s="229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231"/>
      <c r="DK64" s="231"/>
      <c r="DL64" s="231"/>
      <c r="DM64" s="231"/>
      <c r="DN64" s="231"/>
      <c r="DO64" s="231"/>
      <c r="DP64" s="231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1"/>
      <c r="EG64" s="231"/>
      <c r="EH64" s="231"/>
      <c r="EI64" s="231"/>
      <c r="EJ64" s="231"/>
      <c r="EK64" s="231"/>
      <c r="EL64" s="231"/>
      <c r="EM64" s="231"/>
      <c r="EN64" s="231"/>
      <c r="EO64" s="231"/>
      <c r="EP64" s="231"/>
      <c r="EQ64" s="231"/>
      <c r="ER64" s="231"/>
      <c r="ES64" s="231"/>
      <c r="ET64" s="231"/>
      <c r="EU64" s="231"/>
      <c r="EV64" s="231"/>
      <c r="EW64" s="231"/>
      <c r="EX64" s="231"/>
      <c r="EY64" s="231"/>
      <c r="EZ64" s="231"/>
      <c r="FA64" s="231"/>
      <c r="FB64" s="231"/>
      <c r="FC64" s="231"/>
      <c r="FD64" s="231"/>
      <c r="FE64" s="231"/>
      <c r="FF64" s="231"/>
      <c r="FG64" s="231"/>
      <c r="FH64" s="231"/>
      <c r="FI64" s="231"/>
      <c r="FJ64" s="231"/>
      <c r="FK64" s="231"/>
      <c r="FL64" s="231"/>
      <c r="FM64" s="231"/>
      <c r="FN64" s="231"/>
      <c r="FO64" s="231"/>
      <c r="FP64" s="231"/>
      <c r="FQ64" s="231"/>
      <c r="FR64" s="231"/>
      <c r="FS64" s="231"/>
      <c r="FT64" s="231"/>
      <c r="FU64" s="231"/>
      <c r="FV64" s="231"/>
      <c r="FW64" s="231"/>
      <c r="FX64" s="231"/>
      <c r="FY64" s="231"/>
      <c r="FZ64" s="231"/>
      <c r="GA64" s="231"/>
      <c r="GB64" s="231"/>
      <c r="GC64" s="231"/>
      <c r="GD64" s="231"/>
      <c r="GE64" s="231"/>
      <c r="GF64" s="231"/>
      <c r="GG64" s="231"/>
      <c r="GH64" s="231"/>
      <c r="GI64" s="231"/>
      <c r="GJ64" s="231"/>
      <c r="GK64" s="231"/>
      <c r="GL64" s="231"/>
      <c r="GM64" s="231"/>
      <c r="GN64" s="231"/>
      <c r="GO64" s="231"/>
      <c r="GP64" s="231"/>
      <c r="GQ64" s="231"/>
      <c r="GR64" s="231"/>
      <c r="GS64" s="231"/>
      <c r="GT64" s="231"/>
      <c r="GU64" s="231"/>
      <c r="GV64" s="231"/>
      <c r="GW64" s="231"/>
      <c r="GX64" s="231"/>
      <c r="GY64" s="231"/>
      <c r="GZ64" s="231"/>
      <c r="HA64" s="231"/>
      <c r="HB64" s="231"/>
      <c r="HC64" s="231"/>
      <c r="HD64" s="231"/>
      <c r="HE64" s="231"/>
      <c r="HF64" s="231"/>
      <c r="HG64" s="231"/>
      <c r="HH64" s="231"/>
      <c r="HI64" s="231"/>
      <c r="HJ64" s="231"/>
      <c r="HK64" s="231"/>
      <c r="HL64" s="231"/>
      <c r="HM64" s="231"/>
      <c r="HN64" s="231"/>
      <c r="HO64" s="231"/>
      <c r="HP64" s="231"/>
      <c r="HQ64" s="231"/>
      <c r="HR64" s="231"/>
      <c r="HS64" s="231"/>
      <c r="HT64" s="231"/>
      <c r="HU64" s="231"/>
      <c r="HV64" s="231"/>
      <c r="HW64" s="231"/>
      <c r="HX64" s="231"/>
      <c r="HY64" s="231"/>
      <c r="HZ64" s="231"/>
      <c r="IA64" s="231"/>
      <c r="IB64" s="232"/>
    </row>
    <row r="65" spans="1:236" s="233" customFormat="1" ht="13.15" customHeight="1">
      <c r="A65" s="223"/>
      <c r="B65" s="254">
        <v>49</v>
      </c>
      <c r="C65" s="684"/>
      <c r="D65" s="266" t="s">
        <v>201</v>
      </c>
      <c r="E65" s="114" t="s">
        <v>29</v>
      </c>
      <c r="F65" s="260">
        <v>3053.0520000000001</v>
      </c>
      <c r="G65" s="261"/>
      <c r="H65" s="260">
        <f t="shared" si="6"/>
        <v>3053.0520000000001</v>
      </c>
      <c r="I65" s="262">
        <v>1940.0119999999999</v>
      </c>
      <c r="J65" s="262">
        <v>0</v>
      </c>
      <c r="K65" s="258">
        <v>0</v>
      </c>
      <c r="L65" s="114">
        <f t="shared" si="3"/>
        <v>1113.0400000000002</v>
      </c>
      <c r="M65" s="227">
        <f t="shared" si="1"/>
        <v>0.63543365786105177</v>
      </c>
      <c r="N65" s="228" t="str">
        <f>+'IC ANCH-SARC VIII'!O52</f>
        <v>-</v>
      </c>
      <c r="O65" s="578"/>
      <c r="P65" s="578"/>
      <c r="Q65" s="578"/>
      <c r="R65" s="578"/>
      <c r="S65" s="578"/>
      <c r="T65" s="229"/>
      <c r="U65" s="229"/>
      <c r="V65" s="229"/>
      <c r="W65" s="229"/>
      <c r="X65" s="229"/>
      <c r="Y65" s="229"/>
      <c r="Z65" s="229"/>
      <c r="AA65" s="229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2"/>
    </row>
    <row r="66" spans="1:236" s="233" customFormat="1" ht="13.15" customHeight="1">
      <c r="A66" s="223"/>
      <c r="B66" s="254">
        <v>50</v>
      </c>
      <c r="C66" s="684"/>
      <c r="D66" s="266" t="s">
        <v>202</v>
      </c>
      <c r="E66" s="114" t="s">
        <v>29</v>
      </c>
      <c r="F66" s="260">
        <v>5004.6499999999996</v>
      </c>
      <c r="G66" s="261">
        <v>-90</v>
      </c>
      <c r="H66" s="260">
        <f t="shared" si="6"/>
        <v>4914.6499999999996</v>
      </c>
      <c r="I66" s="262">
        <v>3766.8719999999998</v>
      </c>
      <c r="J66" s="262">
        <v>0</v>
      </c>
      <c r="K66" s="258">
        <v>0</v>
      </c>
      <c r="L66" s="114">
        <f t="shared" si="3"/>
        <v>1147.7779999999998</v>
      </c>
      <c r="M66" s="227">
        <f t="shared" si="1"/>
        <v>0.76645783524767785</v>
      </c>
      <c r="N66" s="228" t="str">
        <f>+'IC ANCH-SARC VIII'!O53</f>
        <v>-</v>
      </c>
      <c r="O66" s="578"/>
      <c r="P66" s="578"/>
      <c r="Q66" s="578"/>
      <c r="R66" s="578"/>
      <c r="S66" s="578"/>
      <c r="T66" s="229"/>
      <c r="U66" s="229"/>
      <c r="V66" s="229"/>
      <c r="W66" s="229"/>
      <c r="X66" s="229"/>
      <c r="Y66" s="229"/>
      <c r="Z66" s="229"/>
      <c r="AA66" s="229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2"/>
    </row>
    <row r="67" spans="1:236" s="233" customFormat="1" ht="13.15" customHeight="1">
      <c r="A67" s="223"/>
      <c r="B67" s="254">
        <v>51</v>
      </c>
      <c r="C67" s="684"/>
      <c r="D67" s="266" t="s">
        <v>203</v>
      </c>
      <c r="E67" s="114" t="s">
        <v>29</v>
      </c>
      <c r="F67" s="260">
        <v>803.87099999999998</v>
      </c>
      <c r="G67" s="261">
        <f>-40.52-376.14-35.8-44.8-51.3</f>
        <v>-548.55999999999995</v>
      </c>
      <c r="H67" s="260">
        <f t="shared" si="6"/>
        <v>255.31100000000004</v>
      </c>
      <c r="I67" s="262">
        <v>255.33799999999999</v>
      </c>
      <c r="J67" s="262">
        <v>0</v>
      </c>
      <c r="K67" s="258">
        <v>0</v>
      </c>
      <c r="L67" s="114">
        <f t="shared" si="3"/>
        <v>-2.6999999999958391E-2</v>
      </c>
      <c r="M67" s="227">
        <f t="shared" si="1"/>
        <v>1.0001057533752951</v>
      </c>
      <c r="N67" s="269">
        <f>+'IC ANCH-SARC VIII'!O54</f>
        <v>43628</v>
      </c>
      <c r="O67" s="578"/>
      <c r="P67" s="578"/>
      <c r="Q67" s="578"/>
      <c r="R67" s="578"/>
      <c r="S67" s="578"/>
      <c r="T67" s="229"/>
      <c r="U67" s="229"/>
      <c r="V67" s="229"/>
      <c r="W67" s="229"/>
      <c r="X67" s="229"/>
      <c r="Y67" s="229"/>
      <c r="Z67" s="229"/>
      <c r="AA67" s="229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1"/>
      <c r="DP67" s="231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  <c r="EH67" s="231"/>
      <c r="EI67" s="231"/>
      <c r="EJ67" s="231"/>
      <c r="EK67" s="231"/>
      <c r="EL67" s="231"/>
      <c r="EM67" s="231"/>
      <c r="EN67" s="231"/>
      <c r="EO67" s="231"/>
      <c r="EP67" s="231"/>
      <c r="EQ67" s="231"/>
      <c r="ER67" s="231"/>
      <c r="ES67" s="231"/>
      <c r="ET67" s="231"/>
      <c r="EU67" s="231"/>
      <c r="EV67" s="231"/>
      <c r="EW67" s="231"/>
      <c r="EX67" s="231"/>
      <c r="EY67" s="231"/>
      <c r="EZ67" s="231"/>
      <c r="FA67" s="231"/>
      <c r="FB67" s="231"/>
      <c r="FC67" s="231"/>
      <c r="FD67" s="231"/>
      <c r="FE67" s="231"/>
      <c r="FF67" s="231"/>
      <c r="FG67" s="231"/>
      <c r="FH67" s="231"/>
      <c r="FI67" s="231"/>
      <c r="FJ67" s="231"/>
      <c r="FK67" s="231"/>
      <c r="FL67" s="231"/>
      <c r="FM67" s="231"/>
      <c r="FN67" s="231"/>
      <c r="FO67" s="231"/>
      <c r="FP67" s="231"/>
      <c r="FQ67" s="231"/>
      <c r="FR67" s="231"/>
      <c r="FS67" s="231"/>
      <c r="FT67" s="231"/>
      <c r="FU67" s="231"/>
      <c r="FV67" s="231"/>
      <c r="FW67" s="231"/>
      <c r="FX67" s="231"/>
      <c r="FY67" s="231"/>
      <c r="FZ67" s="231"/>
      <c r="GA67" s="231"/>
      <c r="GB67" s="231"/>
      <c r="GC67" s="231"/>
      <c r="GD67" s="231"/>
      <c r="GE67" s="231"/>
      <c r="GF67" s="231"/>
      <c r="GG67" s="231"/>
      <c r="GH67" s="231"/>
      <c r="GI67" s="231"/>
      <c r="GJ67" s="231"/>
      <c r="GK67" s="231"/>
      <c r="GL67" s="231"/>
      <c r="GM67" s="231"/>
      <c r="GN67" s="231"/>
      <c r="GO67" s="231"/>
      <c r="GP67" s="231"/>
      <c r="GQ67" s="231"/>
      <c r="GR67" s="231"/>
      <c r="GS67" s="231"/>
      <c r="GT67" s="231"/>
      <c r="GU67" s="231"/>
      <c r="GV67" s="231"/>
      <c r="GW67" s="231"/>
      <c r="GX67" s="231"/>
      <c r="GY67" s="231"/>
      <c r="GZ67" s="231"/>
      <c r="HA67" s="231"/>
      <c r="HB67" s="231"/>
      <c r="HC67" s="231"/>
      <c r="HD67" s="231"/>
      <c r="HE67" s="231"/>
      <c r="HF67" s="231"/>
      <c r="HG67" s="231"/>
      <c r="HH67" s="231"/>
      <c r="HI67" s="231"/>
      <c r="HJ67" s="231"/>
      <c r="HK67" s="231"/>
      <c r="HL67" s="231"/>
      <c r="HM67" s="231"/>
      <c r="HN67" s="231"/>
      <c r="HO67" s="231"/>
      <c r="HP67" s="231"/>
      <c r="HQ67" s="231"/>
      <c r="HR67" s="231"/>
      <c r="HS67" s="231"/>
      <c r="HT67" s="231"/>
      <c r="HU67" s="231"/>
      <c r="HV67" s="231"/>
      <c r="HW67" s="231"/>
      <c r="HX67" s="231"/>
      <c r="HY67" s="231"/>
      <c r="HZ67" s="231"/>
      <c r="IA67" s="231"/>
      <c r="IB67" s="232"/>
    </row>
    <row r="68" spans="1:236" s="233" customFormat="1" ht="13.15" customHeight="1">
      <c r="A68" s="223"/>
      <c r="B68" s="254">
        <v>52</v>
      </c>
      <c r="C68" s="684"/>
      <c r="D68" s="266" t="s">
        <v>204</v>
      </c>
      <c r="E68" s="114" t="s">
        <v>29</v>
      </c>
      <c r="F68" s="260">
        <v>8207.6200000000008</v>
      </c>
      <c r="G68" s="261">
        <f>1233-194-77.3+35.8-24+150</f>
        <v>1123.5</v>
      </c>
      <c r="H68" s="260">
        <f t="shared" si="6"/>
        <v>9331.1200000000008</v>
      </c>
      <c r="I68" s="262">
        <v>7456.4560000000001</v>
      </c>
      <c r="J68" s="262">
        <v>907.63</v>
      </c>
      <c r="K68" s="258">
        <v>21.175000000000001</v>
      </c>
      <c r="L68" s="114">
        <f t="shared" si="3"/>
        <v>945.8590000000022</v>
      </c>
      <c r="M68" s="227">
        <f t="shared" si="1"/>
        <v>0.89863392604531911</v>
      </c>
      <c r="N68" s="228" t="str">
        <f>+'IC ANCH-SARC VIII'!O55</f>
        <v>-</v>
      </c>
      <c r="O68" s="578"/>
      <c r="P68" s="578"/>
      <c r="Q68" s="578"/>
      <c r="R68" s="578"/>
      <c r="S68" s="578"/>
      <c r="T68" s="229"/>
      <c r="U68" s="229"/>
      <c r="V68" s="229"/>
      <c r="W68" s="229"/>
      <c r="X68" s="229"/>
      <c r="Y68" s="229"/>
      <c r="Z68" s="229"/>
      <c r="AA68" s="229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  <c r="EF68" s="231"/>
      <c r="EG68" s="231"/>
      <c r="EH68" s="231"/>
      <c r="EI68" s="231"/>
      <c r="EJ68" s="231"/>
      <c r="EK68" s="231"/>
      <c r="EL68" s="231"/>
      <c r="EM68" s="231"/>
      <c r="EN68" s="231"/>
      <c r="EO68" s="231"/>
      <c r="EP68" s="231"/>
      <c r="EQ68" s="231"/>
      <c r="ER68" s="231"/>
      <c r="ES68" s="231"/>
      <c r="ET68" s="231"/>
      <c r="EU68" s="231"/>
      <c r="EV68" s="231"/>
      <c r="EW68" s="231"/>
      <c r="EX68" s="231"/>
      <c r="EY68" s="231"/>
      <c r="EZ68" s="231"/>
      <c r="FA68" s="231"/>
      <c r="FB68" s="231"/>
      <c r="FC68" s="231"/>
      <c r="FD68" s="231"/>
      <c r="FE68" s="231"/>
      <c r="FF68" s="231"/>
      <c r="FG68" s="231"/>
      <c r="FH68" s="231"/>
      <c r="FI68" s="231"/>
      <c r="FJ68" s="231"/>
      <c r="FK68" s="231"/>
      <c r="FL68" s="231"/>
      <c r="FM68" s="231"/>
      <c r="FN68" s="231"/>
      <c r="FO68" s="231"/>
      <c r="FP68" s="231"/>
      <c r="FQ68" s="231"/>
      <c r="FR68" s="231"/>
      <c r="FS68" s="231"/>
      <c r="FT68" s="231"/>
      <c r="FU68" s="231"/>
      <c r="FV68" s="231"/>
      <c r="FW68" s="231"/>
      <c r="FX68" s="231"/>
      <c r="FY68" s="231"/>
      <c r="FZ68" s="231"/>
      <c r="GA68" s="231"/>
      <c r="GB68" s="231"/>
      <c r="GC68" s="231"/>
      <c r="GD68" s="231"/>
      <c r="GE68" s="231"/>
      <c r="GF68" s="231"/>
      <c r="GG68" s="231"/>
      <c r="GH68" s="231"/>
      <c r="GI68" s="231"/>
      <c r="GJ68" s="231"/>
      <c r="GK68" s="231"/>
      <c r="GL68" s="231"/>
      <c r="GM68" s="231"/>
      <c r="GN68" s="231"/>
      <c r="GO68" s="231"/>
      <c r="GP68" s="231"/>
      <c r="GQ68" s="231"/>
      <c r="GR68" s="231"/>
      <c r="GS68" s="231"/>
      <c r="GT68" s="231"/>
      <c r="GU68" s="231"/>
      <c r="GV68" s="231"/>
      <c r="GW68" s="231"/>
      <c r="GX68" s="231"/>
      <c r="GY68" s="231"/>
      <c r="GZ68" s="231"/>
      <c r="HA68" s="231"/>
      <c r="HB68" s="231"/>
      <c r="HC68" s="231"/>
      <c r="HD68" s="231"/>
      <c r="HE68" s="231"/>
      <c r="HF68" s="231"/>
      <c r="HG68" s="231"/>
      <c r="HH68" s="231"/>
      <c r="HI68" s="231"/>
      <c r="HJ68" s="231"/>
      <c r="HK68" s="231"/>
      <c r="HL68" s="231"/>
      <c r="HM68" s="231"/>
      <c r="HN68" s="231"/>
      <c r="HO68" s="231"/>
      <c r="HP68" s="231"/>
      <c r="HQ68" s="231"/>
      <c r="HR68" s="231"/>
      <c r="HS68" s="231"/>
      <c r="HT68" s="231"/>
      <c r="HU68" s="231"/>
      <c r="HV68" s="231"/>
      <c r="HW68" s="231"/>
      <c r="HX68" s="231"/>
      <c r="HY68" s="231"/>
      <c r="HZ68" s="231"/>
      <c r="IA68" s="231"/>
      <c r="IB68" s="232"/>
    </row>
    <row r="69" spans="1:236" s="233" customFormat="1" ht="13.15" customHeight="1">
      <c r="A69" s="223"/>
      <c r="B69" s="254">
        <v>53</v>
      </c>
      <c r="C69" s="684"/>
      <c r="D69" s="266" t="s">
        <v>205</v>
      </c>
      <c r="E69" s="114" t="s">
        <v>29</v>
      </c>
      <c r="F69" s="260">
        <v>88.644999999999996</v>
      </c>
      <c r="G69" s="484">
        <f>-15-10-7</f>
        <v>-32</v>
      </c>
      <c r="H69" s="260">
        <f t="shared" si="6"/>
        <v>56.644999999999996</v>
      </c>
      <c r="I69" s="262">
        <v>56.591000000000001</v>
      </c>
      <c r="J69" s="262">
        <v>0</v>
      </c>
      <c r="K69" s="258">
        <v>0</v>
      </c>
      <c r="L69" s="114">
        <f t="shared" si="3"/>
        <v>5.3999999999994941E-2</v>
      </c>
      <c r="M69" s="227">
        <f t="shared" si="1"/>
        <v>0.9990466943243006</v>
      </c>
      <c r="N69" s="228">
        <f>+'IC ANCH-SARC VIII'!O56</f>
        <v>43641</v>
      </c>
      <c r="O69" s="578"/>
      <c r="P69" s="578"/>
      <c r="Q69" s="578"/>
      <c r="R69" s="578"/>
      <c r="S69" s="578"/>
      <c r="T69" s="229"/>
      <c r="U69" s="229"/>
      <c r="V69" s="229"/>
      <c r="W69" s="229"/>
      <c r="X69" s="229"/>
      <c r="Y69" s="229"/>
      <c r="Z69" s="229"/>
      <c r="AA69" s="229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231"/>
      <c r="EK69" s="231"/>
      <c r="EL69" s="231"/>
      <c r="EM69" s="231"/>
      <c r="EN69" s="231"/>
      <c r="EO69" s="231"/>
      <c r="EP69" s="231"/>
      <c r="EQ69" s="231"/>
      <c r="ER69" s="231"/>
      <c r="ES69" s="231"/>
      <c r="ET69" s="231"/>
      <c r="EU69" s="231"/>
      <c r="EV69" s="231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1"/>
      <c r="FI69" s="231"/>
      <c r="FJ69" s="231"/>
      <c r="FK69" s="231"/>
      <c r="FL69" s="231"/>
      <c r="FM69" s="231"/>
      <c r="FN69" s="231"/>
      <c r="FO69" s="231"/>
      <c r="FP69" s="231"/>
      <c r="FQ69" s="231"/>
      <c r="FR69" s="231"/>
      <c r="FS69" s="231"/>
      <c r="FT69" s="231"/>
      <c r="FU69" s="231"/>
      <c r="FV69" s="231"/>
      <c r="FW69" s="231"/>
      <c r="FX69" s="231"/>
      <c r="FY69" s="231"/>
      <c r="FZ69" s="231"/>
      <c r="GA69" s="231"/>
      <c r="GB69" s="231"/>
      <c r="GC69" s="231"/>
      <c r="GD69" s="231"/>
      <c r="GE69" s="231"/>
      <c r="GF69" s="231"/>
      <c r="GG69" s="231"/>
      <c r="GH69" s="231"/>
      <c r="GI69" s="231"/>
      <c r="GJ69" s="231"/>
      <c r="GK69" s="231"/>
      <c r="GL69" s="231"/>
      <c r="GM69" s="231"/>
      <c r="GN69" s="231"/>
      <c r="GO69" s="231"/>
      <c r="GP69" s="231"/>
      <c r="GQ69" s="231"/>
      <c r="GR69" s="231"/>
      <c r="GS69" s="231"/>
      <c r="GT69" s="231"/>
      <c r="GU69" s="231"/>
      <c r="GV69" s="231"/>
      <c r="GW69" s="231"/>
      <c r="GX69" s="231"/>
      <c r="GY69" s="231"/>
      <c r="GZ69" s="231"/>
      <c r="HA69" s="231"/>
      <c r="HB69" s="231"/>
      <c r="HC69" s="231"/>
      <c r="HD69" s="231"/>
      <c r="HE69" s="231"/>
      <c r="HF69" s="231"/>
      <c r="HG69" s="231"/>
      <c r="HH69" s="231"/>
      <c r="HI69" s="231"/>
      <c r="HJ69" s="231"/>
      <c r="HK69" s="231"/>
      <c r="HL69" s="231"/>
      <c r="HM69" s="231"/>
      <c r="HN69" s="231"/>
      <c r="HO69" s="231"/>
      <c r="HP69" s="231"/>
      <c r="HQ69" s="231"/>
      <c r="HR69" s="231"/>
      <c r="HS69" s="231"/>
      <c r="HT69" s="231"/>
      <c r="HU69" s="231"/>
      <c r="HV69" s="231"/>
      <c r="HW69" s="231"/>
      <c r="HX69" s="231"/>
      <c r="HY69" s="231"/>
      <c r="HZ69" s="231"/>
      <c r="IA69" s="231"/>
      <c r="IB69" s="232"/>
    </row>
    <row r="70" spans="1:236" s="233" customFormat="1" ht="13.15" customHeight="1">
      <c r="A70" s="223"/>
      <c r="B70" s="254">
        <v>54</v>
      </c>
      <c r="C70" s="684"/>
      <c r="D70" s="266" t="s">
        <v>206</v>
      </c>
      <c r="E70" s="114" t="s">
        <v>29</v>
      </c>
      <c r="F70" s="260">
        <v>2.774</v>
      </c>
      <c r="G70" s="161">
        <v>-2.7</v>
      </c>
      <c r="H70" s="260">
        <f t="shared" si="6"/>
        <v>7.3999999999999844E-2</v>
      </c>
      <c r="I70" s="262">
        <v>0</v>
      </c>
      <c r="J70" s="262">
        <v>0</v>
      </c>
      <c r="K70" s="258">
        <v>0</v>
      </c>
      <c r="L70" s="114">
        <f t="shared" si="3"/>
        <v>7.3999999999999844E-2</v>
      </c>
      <c r="M70" s="227">
        <f t="shared" si="1"/>
        <v>0</v>
      </c>
      <c r="N70" s="228">
        <f>+'IC ANCH-SARC VIII'!O57</f>
        <v>43641</v>
      </c>
      <c r="O70" s="578"/>
      <c r="P70" s="578"/>
      <c r="Q70" s="578"/>
      <c r="R70" s="578"/>
      <c r="S70" s="578"/>
      <c r="T70" s="229"/>
      <c r="U70" s="229"/>
      <c r="V70" s="229"/>
      <c r="W70" s="229"/>
      <c r="X70" s="229"/>
      <c r="Y70" s="229"/>
      <c r="Z70" s="229"/>
      <c r="AA70" s="229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231"/>
      <c r="DK70" s="231"/>
      <c r="DL70" s="231"/>
      <c r="DM70" s="231"/>
      <c r="DN70" s="231"/>
      <c r="DO70" s="231"/>
      <c r="DP70" s="231"/>
      <c r="DQ70" s="231"/>
      <c r="DR70" s="231"/>
      <c r="DS70" s="231"/>
      <c r="DT70" s="231"/>
      <c r="DU70" s="231"/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  <c r="EG70" s="231"/>
      <c r="EH70" s="231"/>
      <c r="EI70" s="231"/>
      <c r="EJ70" s="231"/>
      <c r="EK70" s="231"/>
      <c r="EL70" s="231"/>
      <c r="EM70" s="231"/>
      <c r="EN70" s="231"/>
      <c r="EO70" s="231"/>
      <c r="EP70" s="231"/>
      <c r="EQ70" s="231"/>
      <c r="ER70" s="231"/>
      <c r="ES70" s="231"/>
      <c r="ET70" s="231"/>
      <c r="EU70" s="231"/>
      <c r="EV70" s="231"/>
      <c r="EW70" s="231"/>
      <c r="EX70" s="231"/>
      <c r="EY70" s="231"/>
      <c r="EZ70" s="231"/>
      <c r="FA70" s="231"/>
      <c r="FB70" s="231"/>
      <c r="FC70" s="231"/>
      <c r="FD70" s="231"/>
      <c r="FE70" s="231"/>
      <c r="FF70" s="231"/>
      <c r="FG70" s="231"/>
      <c r="FH70" s="231"/>
      <c r="FI70" s="231"/>
      <c r="FJ70" s="231"/>
      <c r="FK70" s="231"/>
      <c r="FL70" s="231"/>
      <c r="FM70" s="231"/>
      <c r="FN70" s="231"/>
      <c r="FO70" s="231"/>
      <c r="FP70" s="231"/>
      <c r="FQ70" s="231"/>
      <c r="FR70" s="231"/>
      <c r="FS70" s="231"/>
      <c r="FT70" s="231"/>
      <c r="FU70" s="231"/>
      <c r="FV70" s="231"/>
      <c r="FW70" s="231"/>
      <c r="FX70" s="231"/>
      <c r="FY70" s="231"/>
      <c r="FZ70" s="231"/>
      <c r="GA70" s="231"/>
      <c r="GB70" s="231"/>
      <c r="GC70" s="231"/>
      <c r="GD70" s="231"/>
      <c r="GE70" s="231"/>
      <c r="GF70" s="231"/>
      <c r="GG70" s="231"/>
      <c r="GH70" s="231"/>
      <c r="GI70" s="231"/>
      <c r="GJ70" s="231"/>
      <c r="GK70" s="231"/>
      <c r="GL70" s="231"/>
      <c r="GM70" s="231"/>
      <c r="GN70" s="231"/>
      <c r="GO70" s="231"/>
      <c r="GP70" s="231"/>
      <c r="GQ70" s="231"/>
      <c r="GR70" s="231"/>
      <c r="GS70" s="231"/>
      <c r="GT70" s="231"/>
      <c r="GU70" s="231"/>
      <c r="GV70" s="231"/>
      <c r="GW70" s="231"/>
      <c r="GX70" s="231"/>
      <c r="GY70" s="231"/>
      <c r="GZ70" s="231"/>
      <c r="HA70" s="231"/>
      <c r="HB70" s="231"/>
      <c r="HC70" s="231"/>
      <c r="HD70" s="231"/>
      <c r="HE70" s="231"/>
      <c r="HF70" s="231"/>
      <c r="HG70" s="231"/>
      <c r="HH70" s="231"/>
      <c r="HI70" s="231"/>
      <c r="HJ70" s="231"/>
      <c r="HK70" s="231"/>
      <c r="HL70" s="231"/>
      <c r="HM70" s="231"/>
      <c r="HN70" s="231"/>
      <c r="HO70" s="231"/>
      <c r="HP70" s="231"/>
      <c r="HQ70" s="231"/>
      <c r="HR70" s="231"/>
      <c r="HS70" s="231"/>
      <c r="HT70" s="231"/>
      <c r="HU70" s="231"/>
      <c r="HV70" s="231"/>
      <c r="HW70" s="231"/>
      <c r="HX70" s="231"/>
      <c r="HY70" s="231"/>
      <c r="HZ70" s="231"/>
      <c r="IA70" s="231"/>
      <c r="IB70" s="232"/>
    </row>
    <row r="71" spans="1:236" s="233" customFormat="1" ht="13.15" customHeight="1">
      <c r="A71" s="223"/>
      <c r="B71" s="254">
        <v>55</v>
      </c>
      <c r="C71" s="684"/>
      <c r="D71" s="266" t="s">
        <v>207</v>
      </c>
      <c r="E71" s="114" t="s">
        <v>29</v>
      </c>
      <c r="F71" s="260">
        <v>8959.26</v>
      </c>
      <c r="G71" s="261">
        <f>-299-204</f>
        <v>-503</v>
      </c>
      <c r="H71" s="260">
        <f t="shared" si="6"/>
        <v>8456.26</v>
      </c>
      <c r="I71" s="262">
        <v>5222.3379999999997</v>
      </c>
      <c r="J71" s="262">
        <v>0</v>
      </c>
      <c r="K71" s="258">
        <v>0</v>
      </c>
      <c r="L71" s="114">
        <f t="shared" si="3"/>
        <v>3233.9220000000005</v>
      </c>
      <c r="M71" s="227">
        <f t="shared" ref="M71:M117" si="7">+(I71+J71+K71)/H71</f>
        <v>0.61757065180115078</v>
      </c>
      <c r="N71" s="228" t="str">
        <f>+'IC ANCH-SARC VIII'!O58</f>
        <v>-</v>
      </c>
      <c r="O71" s="578"/>
      <c r="P71" s="578"/>
      <c r="Q71" s="578"/>
      <c r="R71" s="578"/>
      <c r="S71" s="578"/>
      <c r="T71" s="229"/>
      <c r="U71" s="229"/>
      <c r="V71" s="229"/>
      <c r="W71" s="229"/>
      <c r="X71" s="229"/>
      <c r="Y71" s="229"/>
      <c r="Z71" s="229"/>
      <c r="AA71" s="229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231"/>
      <c r="DK71" s="231"/>
      <c r="DL71" s="231"/>
      <c r="DM71" s="231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31"/>
      <c r="EI71" s="231"/>
      <c r="EJ71" s="231"/>
      <c r="EK71" s="231"/>
      <c r="EL71" s="231"/>
      <c r="EM71" s="231"/>
      <c r="EN71" s="231"/>
      <c r="EO71" s="231"/>
      <c r="EP71" s="231"/>
      <c r="EQ71" s="231"/>
      <c r="ER71" s="231"/>
      <c r="ES71" s="231"/>
      <c r="ET71" s="231"/>
      <c r="EU71" s="231"/>
      <c r="EV71" s="231"/>
      <c r="EW71" s="231"/>
      <c r="EX71" s="231"/>
      <c r="EY71" s="231"/>
      <c r="EZ71" s="231"/>
      <c r="FA71" s="231"/>
      <c r="FB71" s="231"/>
      <c r="FC71" s="231"/>
      <c r="FD71" s="231"/>
      <c r="FE71" s="231"/>
      <c r="FF71" s="231"/>
      <c r="FG71" s="231"/>
      <c r="FH71" s="231"/>
      <c r="FI71" s="231"/>
      <c r="FJ71" s="231"/>
      <c r="FK71" s="231"/>
      <c r="FL71" s="231"/>
      <c r="FM71" s="231"/>
      <c r="FN71" s="231"/>
      <c r="FO71" s="231"/>
      <c r="FP71" s="231"/>
      <c r="FQ71" s="231"/>
      <c r="FR71" s="231"/>
      <c r="FS71" s="231"/>
      <c r="FT71" s="231"/>
      <c r="FU71" s="231"/>
      <c r="FV71" s="231"/>
      <c r="FW71" s="231"/>
      <c r="FX71" s="231"/>
      <c r="FY71" s="231"/>
      <c r="FZ71" s="231"/>
      <c r="GA71" s="231"/>
      <c r="GB71" s="231"/>
      <c r="GC71" s="231"/>
      <c r="GD71" s="231"/>
      <c r="GE71" s="231"/>
      <c r="GF71" s="231"/>
      <c r="GG71" s="231"/>
      <c r="GH71" s="231"/>
      <c r="GI71" s="231"/>
      <c r="GJ71" s="231"/>
      <c r="GK71" s="231"/>
      <c r="GL71" s="231"/>
      <c r="GM71" s="231"/>
      <c r="GN71" s="231"/>
      <c r="GO71" s="231"/>
      <c r="GP71" s="231"/>
      <c r="GQ71" s="231"/>
      <c r="GR71" s="231"/>
      <c r="GS71" s="231"/>
      <c r="GT71" s="231"/>
      <c r="GU71" s="231"/>
      <c r="GV71" s="231"/>
      <c r="GW71" s="231"/>
      <c r="GX71" s="231"/>
      <c r="GY71" s="231"/>
      <c r="GZ71" s="231"/>
      <c r="HA71" s="231"/>
      <c r="HB71" s="231"/>
      <c r="HC71" s="231"/>
      <c r="HD71" s="231"/>
      <c r="HE71" s="231"/>
      <c r="HF71" s="231"/>
      <c r="HG71" s="231"/>
      <c r="HH71" s="231"/>
      <c r="HI71" s="231"/>
      <c r="HJ71" s="231"/>
      <c r="HK71" s="231"/>
      <c r="HL71" s="231"/>
      <c r="HM71" s="231"/>
      <c r="HN71" s="231"/>
      <c r="HO71" s="231"/>
      <c r="HP71" s="231"/>
      <c r="HQ71" s="231"/>
      <c r="HR71" s="231"/>
      <c r="HS71" s="231"/>
      <c r="HT71" s="231"/>
      <c r="HU71" s="231"/>
      <c r="HV71" s="231"/>
      <c r="HW71" s="231"/>
      <c r="HX71" s="231"/>
      <c r="HY71" s="231"/>
      <c r="HZ71" s="231"/>
      <c r="IA71" s="231"/>
      <c r="IB71" s="232"/>
    </row>
    <row r="72" spans="1:236" s="233" customFormat="1" ht="13.15" customHeight="1">
      <c r="A72" s="223"/>
      <c r="B72" s="254">
        <v>56</v>
      </c>
      <c r="C72" s="684"/>
      <c r="D72" s="266" t="s">
        <v>208</v>
      </c>
      <c r="E72" s="114" t="s">
        <v>29</v>
      </c>
      <c r="F72" s="260">
        <v>2493.7660000000001</v>
      </c>
      <c r="G72" s="261">
        <f>200+130</f>
        <v>330</v>
      </c>
      <c r="H72" s="260">
        <f t="shared" si="6"/>
        <v>2823.7660000000001</v>
      </c>
      <c r="I72" s="262">
        <v>2320.962</v>
      </c>
      <c r="J72" s="262">
        <v>264.03199999999998</v>
      </c>
      <c r="K72" s="258">
        <v>1.135</v>
      </c>
      <c r="L72" s="114">
        <f t="shared" si="3"/>
        <v>237.63699999999972</v>
      </c>
      <c r="M72" s="227">
        <f t="shared" si="7"/>
        <v>0.91584394740924013</v>
      </c>
      <c r="N72" s="269" t="str">
        <f>+'IC ANCH-SARC VIII'!O59</f>
        <v>-</v>
      </c>
      <c r="O72" s="578"/>
      <c r="P72" s="578"/>
      <c r="Q72" s="578"/>
      <c r="R72" s="578"/>
      <c r="S72" s="578"/>
      <c r="T72" s="229"/>
      <c r="U72" s="229"/>
      <c r="V72" s="229"/>
      <c r="W72" s="229"/>
      <c r="X72" s="229"/>
      <c r="Y72" s="229"/>
      <c r="Z72" s="229"/>
      <c r="AA72" s="229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  <c r="CM72" s="230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231"/>
      <c r="DK72" s="231"/>
      <c r="DL72" s="231"/>
      <c r="DM72" s="231"/>
      <c r="DN72" s="231"/>
      <c r="DO72" s="231"/>
      <c r="DP72" s="231"/>
      <c r="DQ72" s="231"/>
      <c r="DR72" s="231"/>
      <c r="DS72" s="231"/>
      <c r="DT72" s="231"/>
      <c r="DU72" s="231"/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  <c r="EG72" s="231"/>
      <c r="EH72" s="231"/>
      <c r="EI72" s="231"/>
      <c r="EJ72" s="231"/>
      <c r="EK72" s="231"/>
      <c r="EL72" s="231"/>
      <c r="EM72" s="231"/>
      <c r="EN72" s="231"/>
      <c r="EO72" s="231"/>
      <c r="EP72" s="231"/>
      <c r="EQ72" s="231"/>
      <c r="ER72" s="231"/>
      <c r="ES72" s="231"/>
      <c r="ET72" s="231"/>
      <c r="EU72" s="231"/>
      <c r="EV72" s="231"/>
      <c r="EW72" s="231"/>
      <c r="EX72" s="231"/>
      <c r="EY72" s="231"/>
      <c r="EZ72" s="231"/>
      <c r="FA72" s="231"/>
      <c r="FB72" s="231"/>
      <c r="FC72" s="231"/>
      <c r="FD72" s="231"/>
      <c r="FE72" s="231"/>
      <c r="FF72" s="231"/>
      <c r="FG72" s="231"/>
      <c r="FH72" s="231"/>
      <c r="FI72" s="231"/>
      <c r="FJ72" s="231"/>
      <c r="FK72" s="231"/>
      <c r="FL72" s="231"/>
      <c r="FM72" s="231"/>
      <c r="FN72" s="231"/>
      <c r="FO72" s="231"/>
      <c r="FP72" s="231"/>
      <c r="FQ72" s="231"/>
      <c r="FR72" s="231"/>
      <c r="FS72" s="231"/>
      <c r="FT72" s="231"/>
      <c r="FU72" s="231"/>
      <c r="FV72" s="231"/>
      <c r="FW72" s="231"/>
      <c r="FX72" s="231"/>
      <c r="FY72" s="231"/>
      <c r="FZ72" s="231"/>
      <c r="GA72" s="231"/>
      <c r="GB72" s="231"/>
      <c r="GC72" s="231"/>
      <c r="GD72" s="231"/>
      <c r="GE72" s="231"/>
      <c r="GF72" s="231"/>
      <c r="GG72" s="231"/>
      <c r="GH72" s="231"/>
      <c r="GI72" s="231"/>
      <c r="GJ72" s="231"/>
      <c r="GK72" s="231"/>
      <c r="GL72" s="231"/>
      <c r="GM72" s="231"/>
      <c r="GN72" s="231"/>
      <c r="GO72" s="231"/>
      <c r="GP72" s="231"/>
      <c r="GQ72" s="231"/>
      <c r="GR72" s="231"/>
      <c r="GS72" s="231"/>
      <c r="GT72" s="231"/>
      <c r="GU72" s="231"/>
      <c r="GV72" s="231"/>
      <c r="GW72" s="231"/>
      <c r="GX72" s="231"/>
      <c r="GY72" s="231"/>
      <c r="GZ72" s="231"/>
      <c r="HA72" s="231"/>
      <c r="HB72" s="231"/>
      <c r="HC72" s="231"/>
      <c r="HD72" s="231"/>
      <c r="HE72" s="231"/>
      <c r="HF72" s="231"/>
      <c r="HG72" s="231"/>
      <c r="HH72" s="231"/>
      <c r="HI72" s="231"/>
      <c r="HJ72" s="231"/>
      <c r="HK72" s="231"/>
      <c r="HL72" s="231"/>
      <c r="HM72" s="231"/>
      <c r="HN72" s="231"/>
      <c r="HO72" s="231"/>
      <c r="HP72" s="231"/>
      <c r="HQ72" s="231"/>
      <c r="HR72" s="231"/>
      <c r="HS72" s="231"/>
      <c r="HT72" s="231"/>
      <c r="HU72" s="231"/>
      <c r="HV72" s="231"/>
      <c r="HW72" s="231"/>
      <c r="HX72" s="231"/>
      <c r="HY72" s="231"/>
      <c r="HZ72" s="231"/>
      <c r="IA72" s="231"/>
      <c r="IB72" s="232"/>
    </row>
    <row r="73" spans="1:236" s="233" customFormat="1" ht="13.15" customHeight="1">
      <c r="A73" s="223"/>
      <c r="B73" s="254">
        <v>57</v>
      </c>
      <c r="C73" s="684"/>
      <c r="D73" s="266" t="s">
        <v>209</v>
      </c>
      <c r="E73" s="114" t="s">
        <v>29</v>
      </c>
      <c r="F73" s="260">
        <v>2450.7649999999999</v>
      </c>
      <c r="G73" s="261"/>
      <c r="H73" s="260">
        <f t="shared" si="6"/>
        <v>2450.7649999999999</v>
      </c>
      <c r="I73" s="262">
        <v>2284.35</v>
      </c>
      <c r="J73" s="262">
        <v>0</v>
      </c>
      <c r="K73" s="258">
        <v>19.652000000000001</v>
      </c>
      <c r="L73" s="114">
        <f t="shared" si="3"/>
        <v>146.76299999999992</v>
      </c>
      <c r="M73" s="227">
        <f t="shared" si="7"/>
        <v>0.94011543334428227</v>
      </c>
      <c r="N73" s="228" t="str">
        <f>+'IC ANCH-SARC VIII'!O60</f>
        <v>-</v>
      </c>
      <c r="O73" s="578"/>
      <c r="P73" s="578"/>
      <c r="Q73" s="578"/>
      <c r="R73" s="578"/>
      <c r="S73" s="578"/>
      <c r="T73" s="229"/>
      <c r="U73" s="229"/>
      <c r="V73" s="229"/>
      <c r="W73" s="229"/>
      <c r="X73" s="229"/>
      <c r="Y73" s="229"/>
      <c r="Z73" s="229"/>
      <c r="AA73" s="229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  <c r="EN73" s="231"/>
      <c r="EO73" s="231"/>
      <c r="EP73" s="231"/>
      <c r="EQ73" s="231"/>
      <c r="ER73" s="231"/>
      <c r="ES73" s="231"/>
      <c r="ET73" s="231"/>
      <c r="EU73" s="231"/>
      <c r="EV73" s="231"/>
      <c r="EW73" s="231"/>
      <c r="EX73" s="231"/>
      <c r="EY73" s="231"/>
      <c r="EZ73" s="231"/>
      <c r="FA73" s="231"/>
      <c r="FB73" s="231"/>
      <c r="FC73" s="231"/>
      <c r="FD73" s="231"/>
      <c r="FE73" s="231"/>
      <c r="FF73" s="231"/>
      <c r="FG73" s="231"/>
      <c r="FH73" s="231"/>
      <c r="FI73" s="231"/>
      <c r="FJ73" s="231"/>
      <c r="FK73" s="231"/>
      <c r="FL73" s="231"/>
      <c r="FM73" s="231"/>
      <c r="FN73" s="231"/>
      <c r="FO73" s="231"/>
      <c r="FP73" s="231"/>
      <c r="FQ73" s="231"/>
      <c r="FR73" s="231"/>
      <c r="FS73" s="231"/>
      <c r="FT73" s="231"/>
      <c r="FU73" s="231"/>
      <c r="FV73" s="231"/>
      <c r="FW73" s="231"/>
      <c r="FX73" s="231"/>
      <c r="FY73" s="231"/>
      <c r="FZ73" s="231"/>
      <c r="GA73" s="231"/>
      <c r="GB73" s="231"/>
      <c r="GC73" s="231"/>
      <c r="GD73" s="231"/>
      <c r="GE73" s="231"/>
      <c r="GF73" s="231"/>
      <c r="GG73" s="231"/>
      <c r="GH73" s="231"/>
      <c r="GI73" s="231"/>
      <c r="GJ73" s="231"/>
      <c r="GK73" s="231"/>
      <c r="GL73" s="231"/>
      <c r="GM73" s="231"/>
      <c r="GN73" s="231"/>
      <c r="GO73" s="231"/>
      <c r="GP73" s="231"/>
      <c r="GQ73" s="231"/>
      <c r="GR73" s="231"/>
      <c r="GS73" s="231"/>
      <c r="GT73" s="231"/>
      <c r="GU73" s="231"/>
      <c r="GV73" s="231"/>
      <c r="GW73" s="231"/>
      <c r="GX73" s="231"/>
      <c r="GY73" s="231"/>
      <c r="GZ73" s="231"/>
      <c r="HA73" s="231"/>
      <c r="HB73" s="231"/>
      <c r="HC73" s="231"/>
      <c r="HD73" s="231"/>
      <c r="HE73" s="231"/>
      <c r="HF73" s="231"/>
      <c r="HG73" s="231"/>
      <c r="HH73" s="231"/>
      <c r="HI73" s="231"/>
      <c r="HJ73" s="231"/>
      <c r="HK73" s="231"/>
      <c r="HL73" s="231"/>
      <c r="HM73" s="231"/>
      <c r="HN73" s="231"/>
      <c r="HO73" s="231"/>
      <c r="HP73" s="231"/>
      <c r="HQ73" s="231"/>
      <c r="HR73" s="231"/>
      <c r="HS73" s="231"/>
      <c r="HT73" s="231"/>
      <c r="HU73" s="231"/>
      <c r="HV73" s="231"/>
      <c r="HW73" s="231"/>
      <c r="HX73" s="231"/>
      <c r="HY73" s="231"/>
      <c r="HZ73" s="231"/>
      <c r="IA73" s="231"/>
      <c r="IB73" s="232"/>
    </row>
    <row r="74" spans="1:236" s="233" customFormat="1" ht="13.15" customHeight="1">
      <c r="A74" s="223"/>
      <c r="B74" s="254">
        <v>58</v>
      </c>
      <c r="C74" s="684"/>
      <c r="D74" s="266" t="s">
        <v>210</v>
      </c>
      <c r="E74" s="114" t="s">
        <v>29</v>
      </c>
      <c r="F74" s="260">
        <v>1354.9870000000001</v>
      </c>
      <c r="G74" s="261">
        <v>-320</v>
      </c>
      <c r="H74" s="260">
        <f t="shared" si="6"/>
        <v>1034.9870000000001</v>
      </c>
      <c r="I74" s="262">
        <v>619.46199999999999</v>
      </c>
      <c r="J74" s="262">
        <v>0</v>
      </c>
      <c r="K74" s="258">
        <v>11.058999999999999</v>
      </c>
      <c r="L74" s="114">
        <f t="shared" ref="L74:L91" si="8">H74-(I74+J74+K74)</f>
        <v>404.46600000000012</v>
      </c>
      <c r="M74" s="227">
        <f>+(I74+J74+K74)/H74</f>
        <v>0.60920668568783942</v>
      </c>
      <c r="N74" s="228" t="str">
        <f>+'IC ANCH-SARC VIII'!O61</f>
        <v>-</v>
      </c>
      <c r="O74" s="578"/>
      <c r="P74" s="578"/>
      <c r="Q74" s="578"/>
      <c r="R74" s="578"/>
      <c r="S74" s="578"/>
      <c r="T74" s="229"/>
      <c r="U74" s="229"/>
      <c r="V74" s="229"/>
      <c r="W74" s="229"/>
      <c r="X74" s="229"/>
      <c r="Y74" s="229"/>
      <c r="Z74" s="229"/>
      <c r="AA74" s="229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/>
      <c r="CM74" s="230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/>
      <c r="EQ74" s="231"/>
      <c r="ER74" s="231"/>
      <c r="ES74" s="231"/>
      <c r="ET74" s="231"/>
      <c r="EU74" s="231"/>
      <c r="EV74" s="231"/>
      <c r="EW74" s="231"/>
      <c r="EX74" s="231"/>
      <c r="EY74" s="231"/>
      <c r="EZ74" s="231"/>
      <c r="FA74" s="231"/>
      <c r="FB74" s="231"/>
      <c r="FC74" s="231"/>
      <c r="FD74" s="231"/>
      <c r="FE74" s="231"/>
      <c r="FF74" s="231"/>
      <c r="FG74" s="231"/>
      <c r="FH74" s="231"/>
      <c r="FI74" s="231"/>
      <c r="FJ74" s="231"/>
      <c r="FK74" s="231"/>
      <c r="FL74" s="231"/>
      <c r="FM74" s="231"/>
      <c r="FN74" s="231"/>
      <c r="FO74" s="231"/>
      <c r="FP74" s="231"/>
      <c r="FQ74" s="231"/>
      <c r="FR74" s="231"/>
      <c r="FS74" s="231"/>
      <c r="FT74" s="231"/>
      <c r="FU74" s="231"/>
      <c r="FV74" s="231"/>
      <c r="FW74" s="231"/>
      <c r="FX74" s="231"/>
      <c r="FY74" s="231"/>
      <c r="FZ74" s="231"/>
      <c r="GA74" s="231"/>
      <c r="GB74" s="231"/>
      <c r="GC74" s="231"/>
      <c r="GD74" s="231"/>
      <c r="GE74" s="231"/>
      <c r="GF74" s="231"/>
      <c r="GG74" s="231"/>
      <c r="GH74" s="231"/>
      <c r="GI74" s="231"/>
      <c r="GJ74" s="231"/>
      <c r="GK74" s="231"/>
      <c r="GL74" s="231"/>
      <c r="GM74" s="231"/>
      <c r="GN74" s="231"/>
      <c r="GO74" s="231"/>
      <c r="GP74" s="231"/>
      <c r="GQ74" s="231"/>
      <c r="GR74" s="231"/>
      <c r="GS74" s="231"/>
      <c r="GT74" s="231"/>
      <c r="GU74" s="231"/>
      <c r="GV74" s="231"/>
      <c r="GW74" s="231"/>
      <c r="GX74" s="231"/>
      <c r="GY74" s="231"/>
      <c r="GZ74" s="231"/>
      <c r="HA74" s="231"/>
      <c r="HB74" s="231"/>
      <c r="HC74" s="231"/>
      <c r="HD74" s="231"/>
      <c r="HE74" s="231"/>
      <c r="HF74" s="231"/>
      <c r="HG74" s="231"/>
      <c r="HH74" s="231"/>
      <c r="HI74" s="231"/>
      <c r="HJ74" s="231"/>
      <c r="HK74" s="231"/>
      <c r="HL74" s="231"/>
      <c r="HM74" s="231"/>
      <c r="HN74" s="231"/>
      <c r="HO74" s="231"/>
      <c r="HP74" s="231"/>
      <c r="HQ74" s="231"/>
      <c r="HR74" s="231"/>
      <c r="HS74" s="231"/>
      <c r="HT74" s="231"/>
      <c r="HU74" s="231"/>
      <c r="HV74" s="231"/>
      <c r="HW74" s="231"/>
      <c r="HX74" s="231"/>
      <c r="HY74" s="231"/>
      <c r="HZ74" s="231"/>
      <c r="IA74" s="231"/>
      <c r="IB74" s="232"/>
    </row>
    <row r="75" spans="1:236" s="233" customFormat="1" ht="13.15" customHeight="1">
      <c r="A75" s="223"/>
      <c r="B75" s="254">
        <v>59</v>
      </c>
      <c r="C75" s="684"/>
      <c r="D75" s="259" t="s">
        <v>211</v>
      </c>
      <c r="E75" s="114" t="s">
        <v>29</v>
      </c>
      <c r="F75" s="260">
        <v>707.09400000000005</v>
      </c>
      <c r="G75" s="265"/>
      <c r="H75" s="260">
        <f t="shared" si="6"/>
        <v>707.09400000000005</v>
      </c>
      <c r="I75" s="262">
        <v>732.88499999999999</v>
      </c>
      <c r="J75" s="262">
        <v>0</v>
      </c>
      <c r="K75" s="258">
        <v>0</v>
      </c>
      <c r="L75" s="114">
        <f t="shared" si="8"/>
        <v>-25.79099999999994</v>
      </c>
      <c r="M75" s="486">
        <f t="shared" si="7"/>
        <v>1.0364746412782457</v>
      </c>
      <c r="N75" s="228" t="str">
        <f>+'IC ANCH-SARC VIII'!O62</f>
        <v>-</v>
      </c>
      <c r="O75" s="578"/>
      <c r="P75" s="578"/>
      <c r="Q75" s="578"/>
      <c r="R75" s="578"/>
      <c r="S75" s="578"/>
      <c r="T75" s="229"/>
      <c r="U75" s="229"/>
      <c r="V75" s="229"/>
      <c r="W75" s="229"/>
      <c r="X75" s="229"/>
      <c r="Y75" s="229"/>
      <c r="Z75" s="229"/>
      <c r="AA75" s="229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1"/>
      <c r="DE75" s="231"/>
      <c r="DF75" s="231"/>
      <c r="DG75" s="231"/>
      <c r="DH75" s="231"/>
      <c r="DI75" s="231"/>
      <c r="DJ75" s="231"/>
      <c r="DK75" s="231"/>
      <c r="DL75" s="231"/>
      <c r="DM75" s="231"/>
      <c r="DN75" s="231"/>
      <c r="DO75" s="231"/>
      <c r="DP75" s="231"/>
      <c r="DQ75" s="231"/>
      <c r="DR75" s="231"/>
      <c r="DS75" s="231"/>
      <c r="DT75" s="231"/>
      <c r="DU75" s="231"/>
      <c r="DV75" s="231"/>
      <c r="DW75" s="231"/>
      <c r="DX75" s="231"/>
      <c r="DY75" s="231"/>
      <c r="DZ75" s="231"/>
      <c r="EA75" s="231"/>
      <c r="EB75" s="231"/>
      <c r="EC75" s="231"/>
      <c r="ED75" s="231"/>
      <c r="EE75" s="231"/>
      <c r="EF75" s="231"/>
      <c r="EG75" s="231"/>
      <c r="EH75" s="231"/>
      <c r="EI75" s="231"/>
      <c r="EJ75" s="231"/>
      <c r="EK75" s="231"/>
      <c r="EL75" s="231"/>
      <c r="EM75" s="231"/>
      <c r="EN75" s="231"/>
      <c r="EO75" s="231"/>
      <c r="EP75" s="231"/>
      <c r="EQ75" s="231"/>
      <c r="ER75" s="231"/>
      <c r="ES75" s="231"/>
      <c r="ET75" s="231"/>
      <c r="EU75" s="231"/>
      <c r="EV75" s="231"/>
      <c r="EW75" s="231"/>
      <c r="EX75" s="231"/>
      <c r="EY75" s="231"/>
      <c r="EZ75" s="231"/>
      <c r="FA75" s="231"/>
      <c r="FB75" s="231"/>
      <c r="FC75" s="231"/>
      <c r="FD75" s="231"/>
      <c r="FE75" s="231"/>
      <c r="FF75" s="231"/>
      <c r="FG75" s="231"/>
      <c r="FH75" s="231"/>
      <c r="FI75" s="231"/>
      <c r="FJ75" s="231"/>
      <c r="FK75" s="231"/>
      <c r="FL75" s="231"/>
      <c r="FM75" s="231"/>
      <c r="FN75" s="231"/>
      <c r="FO75" s="231"/>
      <c r="FP75" s="231"/>
      <c r="FQ75" s="231"/>
      <c r="FR75" s="231"/>
      <c r="FS75" s="231"/>
      <c r="FT75" s="231"/>
      <c r="FU75" s="231"/>
      <c r="FV75" s="231"/>
      <c r="FW75" s="231"/>
      <c r="FX75" s="231"/>
      <c r="FY75" s="231"/>
      <c r="FZ75" s="231"/>
      <c r="GA75" s="231"/>
      <c r="GB75" s="231"/>
      <c r="GC75" s="231"/>
      <c r="GD75" s="231"/>
      <c r="GE75" s="231"/>
      <c r="GF75" s="231"/>
      <c r="GG75" s="231"/>
      <c r="GH75" s="231"/>
      <c r="GI75" s="231"/>
      <c r="GJ75" s="231"/>
      <c r="GK75" s="231"/>
      <c r="GL75" s="231"/>
      <c r="GM75" s="231"/>
      <c r="GN75" s="231"/>
      <c r="GO75" s="231"/>
      <c r="GP75" s="231"/>
      <c r="GQ75" s="231"/>
      <c r="GR75" s="231"/>
      <c r="GS75" s="231"/>
      <c r="GT75" s="231"/>
      <c r="GU75" s="231"/>
      <c r="GV75" s="231"/>
      <c r="GW75" s="231"/>
      <c r="GX75" s="231"/>
      <c r="GY75" s="231"/>
      <c r="GZ75" s="231"/>
      <c r="HA75" s="231"/>
      <c r="HB75" s="231"/>
      <c r="HC75" s="231"/>
      <c r="HD75" s="231"/>
      <c r="HE75" s="231"/>
      <c r="HF75" s="231"/>
      <c r="HG75" s="231"/>
      <c r="HH75" s="231"/>
      <c r="HI75" s="231"/>
      <c r="HJ75" s="231"/>
      <c r="HK75" s="231"/>
      <c r="HL75" s="231"/>
      <c r="HM75" s="231"/>
      <c r="HN75" s="231"/>
      <c r="HO75" s="231"/>
      <c r="HP75" s="231"/>
      <c r="HQ75" s="231"/>
      <c r="HR75" s="231"/>
      <c r="HS75" s="231"/>
      <c r="HT75" s="231"/>
      <c r="HU75" s="231"/>
      <c r="HV75" s="231"/>
      <c r="HW75" s="231"/>
      <c r="HX75" s="231"/>
      <c r="HY75" s="231"/>
      <c r="HZ75" s="231"/>
      <c r="IA75" s="231"/>
      <c r="IB75" s="232"/>
    </row>
    <row r="76" spans="1:236" s="233" customFormat="1" ht="13.15" customHeight="1">
      <c r="A76" s="223"/>
      <c r="B76" s="254">
        <v>60</v>
      </c>
      <c r="C76" s="684"/>
      <c r="D76" s="259" t="s">
        <v>212</v>
      </c>
      <c r="E76" s="114" t="s">
        <v>29</v>
      </c>
      <c r="F76" s="260">
        <v>3513.2910000000002</v>
      </c>
      <c r="G76" s="261"/>
      <c r="H76" s="260">
        <f t="shared" si="6"/>
        <v>3513.2910000000002</v>
      </c>
      <c r="I76" s="262">
        <v>2651.3539999999998</v>
      </c>
      <c r="J76" s="262">
        <v>0</v>
      </c>
      <c r="K76" s="258">
        <v>0</v>
      </c>
      <c r="L76" s="114">
        <f t="shared" si="8"/>
        <v>861.93700000000035</v>
      </c>
      <c r="M76" s="227">
        <f t="shared" si="7"/>
        <v>0.75466393190885683</v>
      </c>
      <c r="N76" s="228" t="str">
        <f>+'IC ANCH-SARC VIII'!O63</f>
        <v>-</v>
      </c>
      <c r="O76" s="578"/>
      <c r="P76" s="578"/>
      <c r="Q76" s="578"/>
      <c r="R76" s="578"/>
      <c r="S76" s="578"/>
      <c r="T76" s="229"/>
      <c r="U76" s="229"/>
      <c r="V76" s="229"/>
      <c r="W76" s="229"/>
      <c r="X76" s="229"/>
      <c r="Y76" s="229"/>
      <c r="Z76" s="229"/>
      <c r="AA76" s="229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  <c r="DJ76" s="231"/>
      <c r="DK76" s="231"/>
      <c r="DL76" s="231"/>
      <c r="DM76" s="231"/>
      <c r="DN76" s="231"/>
      <c r="DO76" s="231"/>
      <c r="DP76" s="231"/>
      <c r="DQ76" s="231"/>
      <c r="DR76" s="231"/>
      <c r="DS76" s="231"/>
      <c r="DT76" s="231"/>
      <c r="DU76" s="231"/>
      <c r="DV76" s="231"/>
      <c r="DW76" s="231"/>
      <c r="DX76" s="231"/>
      <c r="DY76" s="231"/>
      <c r="DZ76" s="231"/>
      <c r="EA76" s="231"/>
      <c r="EB76" s="231"/>
      <c r="EC76" s="231"/>
      <c r="ED76" s="231"/>
      <c r="EE76" s="231"/>
      <c r="EF76" s="231"/>
      <c r="EG76" s="231"/>
      <c r="EH76" s="231"/>
      <c r="EI76" s="231"/>
      <c r="EJ76" s="231"/>
      <c r="EK76" s="231"/>
      <c r="EL76" s="231"/>
      <c r="EM76" s="231"/>
      <c r="EN76" s="231"/>
      <c r="EO76" s="231"/>
      <c r="EP76" s="231"/>
      <c r="EQ76" s="231"/>
      <c r="ER76" s="231"/>
      <c r="ES76" s="231"/>
      <c r="ET76" s="231"/>
      <c r="EU76" s="231"/>
      <c r="EV76" s="231"/>
      <c r="EW76" s="231"/>
      <c r="EX76" s="231"/>
      <c r="EY76" s="231"/>
      <c r="EZ76" s="231"/>
      <c r="FA76" s="231"/>
      <c r="FB76" s="231"/>
      <c r="FC76" s="231"/>
      <c r="FD76" s="231"/>
      <c r="FE76" s="231"/>
      <c r="FF76" s="231"/>
      <c r="FG76" s="231"/>
      <c r="FH76" s="231"/>
      <c r="FI76" s="231"/>
      <c r="FJ76" s="231"/>
      <c r="FK76" s="231"/>
      <c r="FL76" s="231"/>
      <c r="FM76" s="231"/>
      <c r="FN76" s="231"/>
      <c r="FO76" s="231"/>
      <c r="FP76" s="231"/>
      <c r="FQ76" s="231"/>
      <c r="FR76" s="231"/>
      <c r="FS76" s="231"/>
      <c r="FT76" s="231"/>
      <c r="FU76" s="231"/>
      <c r="FV76" s="231"/>
      <c r="FW76" s="231"/>
      <c r="FX76" s="231"/>
      <c r="FY76" s="231"/>
      <c r="FZ76" s="231"/>
      <c r="GA76" s="231"/>
      <c r="GB76" s="231"/>
      <c r="GC76" s="231"/>
      <c r="GD76" s="231"/>
      <c r="GE76" s="231"/>
      <c r="GF76" s="231"/>
      <c r="GG76" s="231"/>
      <c r="GH76" s="231"/>
      <c r="GI76" s="231"/>
      <c r="GJ76" s="231"/>
      <c r="GK76" s="231"/>
      <c r="GL76" s="231"/>
      <c r="GM76" s="231"/>
      <c r="GN76" s="231"/>
      <c r="GO76" s="231"/>
      <c r="GP76" s="231"/>
      <c r="GQ76" s="231"/>
      <c r="GR76" s="231"/>
      <c r="GS76" s="231"/>
      <c r="GT76" s="231"/>
      <c r="GU76" s="231"/>
      <c r="GV76" s="231"/>
      <c r="GW76" s="231"/>
      <c r="GX76" s="231"/>
      <c r="GY76" s="231"/>
      <c r="GZ76" s="231"/>
      <c r="HA76" s="231"/>
      <c r="HB76" s="231"/>
      <c r="HC76" s="231"/>
      <c r="HD76" s="231"/>
      <c r="HE76" s="231"/>
      <c r="HF76" s="231"/>
      <c r="HG76" s="231"/>
      <c r="HH76" s="231"/>
      <c r="HI76" s="231"/>
      <c r="HJ76" s="231"/>
      <c r="HK76" s="231"/>
      <c r="HL76" s="231"/>
      <c r="HM76" s="231"/>
      <c r="HN76" s="231"/>
      <c r="HO76" s="231"/>
      <c r="HP76" s="231"/>
      <c r="HQ76" s="231"/>
      <c r="HR76" s="231"/>
      <c r="HS76" s="231"/>
      <c r="HT76" s="231"/>
      <c r="HU76" s="231"/>
      <c r="HV76" s="231"/>
      <c r="HW76" s="231"/>
      <c r="HX76" s="231"/>
      <c r="HY76" s="231"/>
      <c r="HZ76" s="231"/>
      <c r="IA76" s="231"/>
      <c r="IB76" s="232"/>
    </row>
    <row r="77" spans="1:236" s="233" customFormat="1" ht="13.15" customHeight="1">
      <c r="A77" s="223"/>
      <c r="B77" s="254">
        <v>61</v>
      </c>
      <c r="C77" s="684"/>
      <c r="D77" s="259" t="s">
        <v>213</v>
      </c>
      <c r="E77" s="114" t="s">
        <v>29</v>
      </c>
      <c r="F77" s="260">
        <v>4179.1189999999997</v>
      </c>
      <c r="G77" s="261">
        <f>-98</f>
        <v>-98</v>
      </c>
      <c r="H77" s="260">
        <f t="shared" si="6"/>
        <v>4081.1189999999997</v>
      </c>
      <c r="I77" s="262">
        <v>3249.5619999999999</v>
      </c>
      <c r="J77" s="262">
        <v>0</v>
      </c>
      <c r="K77" s="258">
        <v>0</v>
      </c>
      <c r="L77" s="114">
        <f t="shared" si="8"/>
        <v>831.55699999999979</v>
      </c>
      <c r="M77" s="227">
        <f t="shared" si="7"/>
        <v>0.79624289318689312</v>
      </c>
      <c r="N77" s="274" t="str">
        <f>+'IC ANCH-SARC VIII'!O64</f>
        <v>-</v>
      </c>
      <c r="O77" s="578"/>
      <c r="P77" s="578"/>
      <c r="Q77" s="578"/>
      <c r="R77" s="578"/>
      <c r="S77" s="578"/>
      <c r="T77" s="229"/>
      <c r="U77" s="229"/>
      <c r="V77" s="229"/>
      <c r="W77" s="229"/>
      <c r="X77" s="229"/>
      <c r="Y77" s="229"/>
      <c r="Z77" s="229"/>
      <c r="AA77" s="229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  <c r="DF77" s="231"/>
      <c r="DG77" s="231"/>
      <c r="DH77" s="231"/>
      <c r="DI77" s="231"/>
      <c r="DJ77" s="231"/>
      <c r="DK77" s="231"/>
      <c r="DL77" s="231"/>
      <c r="DM77" s="231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  <c r="EH77" s="231"/>
      <c r="EI77" s="231"/>
      <c r="EJ77" s="231"/>
      <c r="EK77" s="231"/>
      <c r="EL77" s="231"/>
      <c r="EM77" s="231"/>
      <c r="EN77" s="231"/>
      <c r="EO77" s="231"/>
      <c r="EP77" s="231"/>
      <c r="EQ77" s="231"/>
      <c r="ER77" s="231"/>
      <c r="ES77" s="231"/>
      <c r="ET77" s="231"/>
      <c r="EU77" s="231"/>
      <c r="EV77" s="231"/>
      <c r="EW77" s="231"/>
      <c r="EX77" s="231"/>
      <c r="EY77" s="231"/>
      <c r="EZ77" s="231"/>
      <c r="FA77" s="231"/>
      <c r="FB77" s="231"/>
      <c r="FC77" s="231"/>
      <c r="FD77" s="231"/>
      <c r="FE77" s="231"/>
      <c r="FF77" s="231"/>
      <c r="FG77" s="231"/>
      <c r="FH77" s="231"/>
      <c r="FI77" s="231"/>
      <c r="FJ77" s="231"/>
      <c r="FK77" s="231"/>
      <c r="FL77" s="231"/>
      <c r="FM77" s="231"/>
      <c r="FN77" s="231"/>
      <c r="FO77" s="231"/>
      <c r="FP77" s="231"/>
      <c r="FQ77" s="231"/>
      <c r="FR77" s="231"/>
      <c r="FS77" s="231"/>
      <c r="FT77" s="231"/>
      <c r="FU77" s="231"/>
      <c r="FV77" s="231"/>
      <c r="FW77" s="231"/>
      <c r="FX77" s="231"/>
      <c r="FY77" s="231"/>
      <c r="FZ77" s="231"/>
      <c r="GA77" s="231"/>
      <c r="GB77" s="231"/>
      <c r="GC77" s="231"/>
      <c r="GD77" s="231"/>
      <c r="GE77" s="231"/>
      <c r="GF77" s="231"/>
      <c r="GG77" s="231"/>
      <c r="GH77" s="231"/>
      <c r="GI77" s="231"/>
      <c r="GJ77" s="231"/>
      <c r="GK77" s="231"/>
      <c r="GL77" s="231"/>
      <c r="GM77" s="231"/>
      <c r="GN77" s="231"/>
      <c r="GO77" s="231"/>
      <c r="GP77" s="231"/>
      <c r="GQ77" s="231"/>
      <c r="GR77" s="231"/>
      <c r="GS77" s="231"/>
      <c r="GT77" s="231"/>
      <c r="GU77" s="231"/>
      <c r="GV77" s="231"/>
      <c r="GW77" s="231"/>
      <c r="GX77" s="231"/>
      <c r="GY77" s="231"/>
      <c r="GZ77" s="231"/>
      <c r="HA77" s="231"/>
      <c r="HB77" s="231"/>
      <c r="HC77" s="231"/>
      <c r="HD77" s="231"/>
      <c r="HE77" s="231"/>
      <c r="HF77" s="231"/>
      <c r="HG77" s="231"/>
      <c r="HH77" s="231"/>
      <c r="HI77" s="231"/>
      <c r="HJ77" s="231"/>
      <c r="HK77" s="231"/>
      <c r="HL77" s="231"/>
      <c r="HM77" s="231"/>
      <c r="HN77" s="231"/>
      <c r="HO77" s="231"/>
      <c r="HP77" s="231"/>
      <c r="HQ77" s="231"/>
      <c r="HR77" s="231"/>
      <c r="HS77" s="231"/>
      <c r="HT77" s="231"/>
      <c r="HU77" s="231"/>
      <c r="HV77" s="231"/>
      <c r="HW77" s="231"/>
      <c r="HX77" s="231"/>
      <c r="HY77" s="231"/>
      <c r="HZ77" s="231"/>
      <c r="IA77" s="231"/>
      <c r="IB77" s="232"/>
    </row>
    <row r="78" spans="1:236" s="233" customFormat="1" ht="13.15" customHeight="1">
      <c r="A78" s="223"/>
      <c r="B78" s="254">
        <v>62</v>
      </c>
      <c r="C78" s="684"/>
      <c r="D78" s="259" t="s">
        <v>214</v>
      </c>
      <c r="E78" s="114" t="s">
        <v>29</v>
      </c>
      <c r="F78" s="260">
        <v>1056.894</v>
      </c>
      <c r="G78" s="261"/>
      <c r="H78" s="260">
        <f t="shared" si="6"/>
        <v>1056.894</v>
      </c>
      <c r="I78" s="262">
        <v>1045.508</v>
      </c>
      <c r="J78" s="262">
        <v>0</v>
      </c>
      <c r="K78" s="258">
        <v>0</v>
      </c>
      <c r="L78" s="114">
        <f t="shared" si="8"/>
        <v>11.385999999999967</v>
      </c>
      <c r="M78" s="227">
        <f t="shared" si="7"/>
        <v>0.98922692341899943</v>
      </c>
      <c r="N78" s="228" t="str">
        <f>+'IC ANCH-SARC VIII'!O65</f>
        <v>-</v>
      </c>
      <c r="O78" s="578"/>
      <c r="P78" s="578"/>
      <c r="Q78" s="578"/>
      <c r="R78" s="578"/>
      <c r="S78" s="578"/>
      <c r="T78" s="229"/>
      <c r="U78" s="229"/>
      <c r="V78" s="229"/>
      <c r="W78" s="229"/>
      <c r="X78" s="229"/>
      <c r="Y78" s="229"/>
      <c r="Z78" s="229"/>
      <c r="AA78" s="229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  <c r="CM78" s="230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1"/>
      <c r="DJ78" s="231"/>
      <c r="DK78" s="231"/>
      <c r="DL78" s="231"/>
      <c r="DM78" s="231"/>
      <c r="DN78" s="231"/>
      <c r="DO78" s="231"/>
      <c r="DP78" s="231"/>
      <c r="DQ78" s="231"/>
      <c r="DR78" s="231"/>
      <c r="DS78" s="231"/>
      <c r="DT78" s="231"/>
      <c r="DU78" s="231"/>
      <c r="DV78" s="231"/>
      <c r="DW78" s="231"/>
      <c r="DX78" s="231"/>
      <c r="DY78" s="231"/>
      <c r="DZ78" s="231"/>
      <c r="EA78" s="231"/>
      <c r="EB78" s="231"/>
      <c r="EC78" s="231"/>
      <c r="ED78" s="231"/>
      <c r="EE78" s="231"/>
      <c r="EF78" s="231"/>
      <c r="EG78" s="231"/>
      <c r="EH78" s="231"/>
      <c r="EI78" s="231"/>
      <c r="EJ78" s="231"/>
      <c r="EK78" s="231"/>
      <c r="EL78" s="231"/>
      <c r="EM78" s="231"/>
      <c r="EN78" s="231"/>
      <c r="EO78" s="231"/>
      <c r="EP78" s="231"/>
      <c r="EQ78" s="231"/>
      <c r="ER78" s="231"/>
      <c r="ES78" s="231"/>
      <c r="ET78" s="231"/>
      <c r="EU78" s="231"/>
      <c r="EV78" s="231"/>
      <c r="EW78" s="231"/>
      <c r="EX78" s="231"/>
      <c r="EY78" s="231"/>
      <c r="EZ78" s="231"/>
      <c r="FA78" s="231"/>
      <c r="FB78" s="231"/>
      <c r="FC78" s="231"/>
      <c r="FD78" s="231"/>
      <c r="FE78" s="231"/>
      <c r="FF78" s="231"/>
      <c r="FG78" s="231"/>
      <c r="FH78" s="231"/>
      <c r="FI78" s="231"/>
      <c r="FJ78" s="231"/>
      <c r="FK78" s="231"/>
      <c r="FL78" s="231"/>
      <c r="FM78" s="231"/>
      <c r="FN78" s="231"/>
      <c r="FO78" s="231"/>
      <c r="FP78" s="231"/>
      <c r="FQ78" s="231"/>
      <c r="FR78" s="231"/>
      <c r="FS78" s="231"/>
      <c r="FT78" s="231"/>
      <c r="FU78" s="231"/>
      <c r="FV78" s="231"/>
      <c r="FW78" s="231"/>
      <c r="FX78" s="231"/>
      <c r="FY78" s="231"/>
      <c r="FZ78" s="231"/>
      <c r="GA78" s="231"/>
      <c r="GB78" s="231"/>
      <c r="GC78" s="231"/>
      <c r="GD78" s="231"/>
      <c r="GE78" s="231"/>
      <c r="GF78" s="231"/>
      <c r="GG78" s="231"/>
      <c r="GH78" s="231"/>
      <c r="GI78" s="231"/>
      <c r="GJ78" s="231"/>
      <c r="GK78" s="231"/>
      <c r="GL78" s="231"/>
      <c r="GM78" s="231"/>
      <c r="GN78" s="231"/>
      <c r="GO78" s="231"/>
      <c r="GP78" s="231"/>
      <c r="GQ78" s="231"/>
      <c r="GR78" s="231"/>
      <c r="GS78" s="231"/>
      <c r="GT78" s="231"/>
      <c r="GU78" s="231"/>
      <c r="GV78" s="231"/>
      <c r="GW78" s="231"/>
      <c r="GX78" s="231"/>
      <c r="GY78" s="231"/>
      <c r="GZ78" s="231"/>
      <c r="HA78" s="231"/>
      <c r="HB78" s="231"/>
      <c r="HC78" s="231"/>
      <c r="HD78" s="231"/>
      <c r="HE78" s="231"/>
      <c r="HF78" s="231"/>
      <c r="HG78" s="231"/>
      <c r="HH78" s="231"/>
      <c r="HI78" s="231"/>
      <c r="HJ78" s="231"/>
      <c r="HK78" s="231"/>
      <c r="HL78" s="231"/>
      <c r="HM78" s="231"/>
      <c r="HN78" s="231"/>
      <c r="HO78" s="231"/>
      <c r="HP78" s="231"/>
      <c r="HQ78" s="231"/>
      <c r="HR78" s="231"/>
      <c r="HS78" s="231"/>
      <c r="HT78" s="231"/>
      <c r="HU78" s="231"/>
      <c r="HV78" s="231"/>
      <c r="HW78" s="231"/>
      <c r="HX78" s="231"/>
      <c r="HY78" s="231"/>
      <c r="HZ78" s="231"/>
      <c r="IA78" s="231"/>
      <c r="IB78" s="232"/>
    </row>
    <row r="79" spans="1:236" s="233" customFormat="1" ht="13.15" customHeight="1">
      <c r="A79" s="223"/>
      <c r="B79" s="254">
        <v>63</v>
      </c>
      <c r="C79" s="684"/>
      <c r="D79" s="259" t="s">
        <v>215</v>
      </c>
      <c r="E79" s="114" t="s">
        <v>29</v>
      </c>
      <c r="F79" s="260">
        <v>3186.2</v>
      </c>
      <c r="G79" s="261">
        <f>-352-205-205-791-62-70-60-222</f>
        <v>-1967</v>
      </c>
      <c r="H79" s="260">
        <f t="shared" si="6"/>
        <v>1219.1999999999998</v>
      </c>
      <c r="I79" s="262">
        <v>419.42099999999999</v>
      </c>
      <c r="J79" s="262">
        <v>0</v>
      </c>
      <c r="K79" s="258">
        <v>0</v>
      </c>
      <c r="L79" s="114">
        <f t="shared" si="8"/>
        <v>799.77899999999977</v>
      </c>
      <c r="M79" s="227">
        <f t="shared" si="7"/>
        <v>0.34401328740157483</v>
      </c>
      <c r="N79" s="228" t="str">
        <f>+'IC ANCH-SARC VIII'!O66</f>
        <v>-</v>
      </c>
      <c r="O79" s="578"/>
      <c r="P79" s="578"/>
      <c r="Q79" s="578"/>
      <c r="R79" s="578"/>
      <c r="S79" s="578"/>
      <c r="T79" s="229"/>
      <c r="U79" s="229"/>
      <c r="V79" s="229"/>
      <c r="W79" s="229"/>
      <c r="X79" s="229"/>
      <c r="Y79" s="229"/>
      <c r="Z79" s="229"/>
      <c r="AA79" s="229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I79" s="230"/>
      <c r="CJ79" s="230"/>
      <c r="CK79" s="230"/>
      <c r="CL79" s="230"/>
      <c r="CM79" s="230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1"/>
      <c r="DE79" s="231"/>
      <c r="DF79" s="231"/>
      <c r="DG79" s="231"/>
      <c r="DH79" s="231"/>
      <c r="DI79" s="231"/>
      <c r="DJ79" s="231"/>
      <c r="DK79" s="231"/>
      <c r="DL79" s="231"/>
      <c r="DM79" s="231"/>
      <c r="DN79" s="231"/>
      <c r="DO79" s="231"/>
      <c r="DP79" s="231"/>
      <c r="DQ79" s="231"/>
      <c r="DR79" s="231"/>
      <c r="DS79" s="231"/>
      <c r="DT79" s="231"/>
      <c r="DU79" s="231"/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  <c r="EF79" s="231"/>
      <c r="EG79" s="231"/>
      <c r="EH79" s="231"/>
      <c r="EI79" s="231"/>
      <c r="EJ79" s="231"/>
      <c r="EK79" s="231"/>
      <c r="EL79" s="231"/>
      <c r="EM79" s="231"/>
      <c r="EN79" s="231"/>
      <c r="EO79" s="231"/>
      <c r="EP79" s="231"/>
      <c r="EQ79" s="231"/>
      <c r="ER79" s="231"/>
      <c r="ES79" s="231"/>
      <c r="ET79" s="231"/>
      <c r="EU79" s="231"/>
      <c r="EV79" s="231"/>
      <c r="EW79" s="231"/>
      <c r="EX79" s="231"/>
      <c r="EY79" s="231"/>
      <c r="EZ79" s="231"/>
      <c r="FA79" s="231"/>
      <c r="FB79" s="231"/>
      <c r="FC79" s="231"/>
      <c r="FD79" s="231"/>
      <c r="FE79" s="231"/>
      <c r="FF79" s="231"/>
      <c r="FG79" s="231"/>
      <c r="FH79" s="231"/>
      <c r="FI79" s="231"/>
      <c r="FJ79" s="231"/>
      <c r="FK79" s="231"/>
      <c r="FL79" s="231"/>
      <c r="FM79" s="231"/>
      <c r="FN79" s="231"/>
      <c r="FO79" s="231"/>
      <c r="FP79" s="231"/>
      <c r="FQ79" s="231"/>
      <c r="FR79" s="231"/>
      <c r="FS79" s="231"/>
      <c r="FT79" s="231"/>
      <c r="FU79" s="231"/>
      <c r="FV79" s="231"/>
      <c r="FW79" s="231"/>
      <c r="FX79" s="231"/>
      <c r="FY79" s="231"/>
      <c r="FZ79" s="231"/>
      <c r="GA79" s="231"/>
      <c r="GB79" s="231"/>
      <c r="GC79" s="231"/>
      <c r="GD79" s="231"/>
      <c r="GE79" s="231"/>
      <c r="GF79" s="231"/>
      <c r="GG79" s="231"/>
      <c r="GH79" s="231"/>
      <c r="GI79" s="231"/>
      <c r="GJ79" s="231"/>
      <c r="GK79" s="231"/>
      <c r="GL79" s="231"/>
      <c r="GM79" s="231"/>
      <c r="GN79" s="231"/>
      <c r="GO79" s="231"/>
      <c r="GP79" s="231"/>
      <c r="GQ79" s="231"/>
      <c r="GR79" s="231"/>
      <c r="GS79" s="231"/>
      <c r="GT79" s="231"/>
      <c r="GU79" s="231"/>
      <c r="GV79" s="231"/>
      <c r="GW79" s="231"/>
      <c r="GX79" s="231"/>
      <c r="GY79" s="231"/>
      <c r="GZ79" s="231"/>
      <c r="HA79" s="231"/>
      <c r="HB79" s="231"/>
      <c r="HC79" s="231"/>
      <c r="HD79" s="231"/>
      <c r="HE79" s="231"/>
      <c r="HF79" s="231"/>
      <c r="HG79" s="231"/>
      <c r="HH79" s="231"/>
      <c r="HI79" s="231"/>
      <c r="HJ79" s="231"/>
      <c r="HK79" s="231"/>
      <c r="HL79" s="231"/>
      <c r="HM79" s="231"/>
      <c r="HN79" s="231"/>
      <c r="HO79" s="231"/>
      <c r="HP79" s="231"/>
      <c r="HQ79" s="231"/>
      <c r="HR79" s="231"/>
      <c r="HS79" s="231"/>
      <c r="HT79" s="231"/>
      <c r="HU79" s="231"/>
      <c r="HV79" s="231"/>
      <c r="HW79" s="231"/>
      <c r="HX79" s="231"/>
      <c r="HY79" s="231"/>
      <c r="HZ79" s="231"/>
      <c r="IA79" s="231"/>
      <c r="IB79" s="232"/>
    </row>
    <row r="80" spans="1:236" s="233" customFormat="1" ht="13.15" customHeight="1">
      <c r="A80" s="223"/>
      <c r="B80" s="254">
        <v>64</v>
      </c>
      <c r="C80" s="684"/>
      <c r="D80" s="259" t="s">
        <v>216</v>
      </c>
      <c r="E80" s="114" t="s">
        <v>29</v>
      </c>
      <c r="F80" s="260">
        <v>578.07299999999998</v>
      </c>
      <c r="G80" s="261"/>
      <c r="H80" s="260">
        <f t="shared" si="6"/>
        <v>578.07299999999998</v>
      </c>
      <c r="I80" s="262">
        <v>485.97800000000001</v>
      </c>
      <c r="J80" s="262">
        <v>0</v>
      </c>
      <c r="K80" s="258">
        <v>0</v>
      </c>
      <c r="L80" s="114">
        <f t="shared" si="8"/>
        <v>92.09499999999997</v>
      </c>
      <c r="M80" s="227">
        <f t="shared" si="7"/>
        <v>0.84068621091107876</v>
      </c>
      <c r="N80" s="228" t="str">
        <f>+'IC ANCH-SARC VIII'!O67</f>
        <v>-</v>
      </c>
      <c r="O80" s="578"/>
      <c r="P80" s="578"/>
      <c r="Q80" s="578"/>
      <c r="R80" s="578"/>
      <c r="S80" s="578"/>
      <c r="T80" s="229"/>
      <c r="U80" s="229"/>
      <c r="V80" s="229"/>
      <c r="W80" s="229"/>
      <c r="X80" s="229"/>
      <c r="Y80" s="229"/>
      <c r="Z80" s="229"/>
      <c r="AA80" s="229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1"/>
      <c r="DE80" s="231"/>
      <c r="DF80" s="231"/>
      <c r="DG80" s="231"/>
      <c r="DH80" s="231"/>
      <c r="DI80" s="231"/>
      <c r="DJ80" s="231"/>
      <c r="DK80" s="231"/>
      <c r="DL80" s="231"/>
      <c r="DM80" s="231"/>
      <c r="DN80" s="231"/>
      <c r="DO80" s="231"/>
      <c r="DP80" s="231"/>
      <c r="DQ80" s="231"/>
      <c r="DR80" s="231"/>
      <c r="DS80" s="231"/>
      <c r="DT80" s="231"/>
      <c r="DU80" s="231"/>
      <c r="DV80" s="231"/>
      <c r="DW80" s="231"/>
      <c r="DX80" s="231"/>
      <c r="DY80" s="231"/>
      <c r="DZ80" s="231"/>
      <c r="EA80" s="231"/>
      <c r="EB80" s="231"/>
      <c r="EC80" s="231"/>
      <c r="ED80" s="231"/>
      <c r="EE80" s="231"/>
      <c r="EF80" s="231"/>
      <c r="EG80" s="231"/>
      <c r="EH80" s="231"/>
      <c r="EI80" s="231"/>
      <c r="EJ80" s="231"/>
      <c r="EK80" s="231"/>
      <c r="EL80" s="231"/>
      <c r="EM80" s="231"/>
      <c r="EN80" s="231"/>
      <c r="EO80" s="231"/>
      <c r="EP80" s="231"/>
      <c r="EQ80" s="231"/>
      <c r="ER80" s="231"/>
      <c r="ES80" s="231"/>
      <c r="ET80" s="231"/>
      <c r="EU80" s="231"/>
      <c r="EV80" s="231"/>
      <c r="EW80" s="231"/>
      <c r="EX80" s="231"/>
      <c r="EY80" s="231"/>
      <c r="EZ80" s="231"/>
      <c r="FA80" s="231"/>
      <c r="FB80" s="231"/>
      <c r="FC80" s="231"/>
      <c r="FD80" s="231"/>
      <c r="FE80" s="231"/>
      <c r="FF80" s="231"/>
      <c r="FG80" s="231"/>
      <c r="FH80" s="231"/>
      <c r="FI80" s="231"/>
      <c r="FJ80" s="231"/>
      <c r="FK80" s="231"/>
      <c r="FL80" s="231"/>
      <c r="FM80" s="231"/>
      <c r="FN80" s="231"/>
      <c r="FO80" s="231"/>
      <c r="FP80" s="231"/>
      <c r="FQ80" s="231"/>
      <c r="FR80" s="231"/>
      <c r="FS80" s="231"/>
      <c r="FT80" s="231"/>
      <c r="FU80" s="231"/>
      <c r="FV80" s="231"/>
      <c r="FW80" s="231"/>
      <c r="FX80" s="231"/>
      <c r="FY80" s="231"/>
      <c r="FZ80" s="231"/>
      <c r="GA80" s="231"/>
      <c r="GB80" s="231"/>
      <c r="GC80" s="231"/>
      <c r="GD80" s="231"/>
      <c r="GE80" s="231"/>
      <c r="GF80" s="231"/>
      <c r="GG80" s="231"/>
      <c r="GH80" s="231"/>
      <c r="GI80" s="231"/>
      <c r="GJ80" s="231"/>
      <c r="GK80" s="231"/>
      <c r="GL80" s="231"/>
      <c r="GM80" s="231"/>
      <c r="GN80" s="231"/>
      <c r="GO80" s="231"/>
      <c r="GP80" s="231"/>
      <c r="GQ80" s="231"/>
      <c r="GR80" s="231"/>
      <c r="GS80" s="231"/>
      <c r="GT80" s="231"/>
      <c r="GU80" s="231"/>
      <c r="GV80" s="231"/>
      <c r="GW80" s="231"/>
      <c r="GX80" s="231"/>
      <c r="GY80" s="231"/>
      <c r="GZ80" s="231"/>
      <c r="HA80" s="231"/>
      <c r="HB80" s="231"/>
      <c r="HC80" s="231"/>
      <c r="HD80" s="231"/>
      <c r="HE80" s="231"/>
      <c r="HF80" s="231"/>
      <c r="HG80" s="231"/>
      <c r="HH80" s="231"/>
      <c r="HI80" s="231"/>
      <c r="HJ80" s="231"/>
      <c r="HK80" s="231"/>
      <c r="HL80" s="231"/>
      <c r="HM80" s="231"/>
      <c r="HN80" s="231"/>
      <c r="HO80" s="231"/>
      <c r="HP80" s="231"/>
      <c r="HQ80" s="231"/>
      <c r="HR80" s="231"/>
      <c r="HS80" s="231"/>
      <c r="HT80" s="231"/>
      <c r="HU80" s="231"/>
      <c r="HV80" s="231"/>
      <c r="HW80" s="231"/>
      <c r="HX80" s="231"/>
      <c r="HY80" s="231"/>
      <c r="HZ80" s="231"/>
      <c r="IA80" s="231"/>
      <c r="IB80" s="232"/>
    </row>
    <row r="81" spans="1:236" s="233" customFormat="1" ht="13.15" customHeight="1">
      <c r="A81" s="223"/>
      <c r="B81" s="254">
        <v>65</v>
      </c>
      <c r="C81" s="684"/>
      <c r="D81" s="259" t="s">
        <v>217</v>
      </c>
      <c r="E81" s="114" t="s">
        <v>29</v>
      </c>
      <c r="F81" s="260">
        <v>1972.9839999999999</v>
      </c>
      <c r="G81" s="265"/>
      <c r="H81" s="260">
        <f t="shared" si="6"/>
        <v>1972.9839999999999</v>
      </c>
      <c r="I81" s="262">
        <v>635.90099999999995</v>
      </c>
      <c r="J81" s="262">
        <v>0</v>
      </c>
      <c r="K81" s="258">
        <v>0</v>
      </c>
      <c r="L81" s="114">
        <f t="shared" si="8"/>
        <v>1337.0830000000001</v>
      </c>
      <c r="M81" s="227">
        <f t="shared" si="7"/>
        <v>0.32230418493003488</v>
      </c>
      <c r="N81" s="228" t="str">
        <f>+'IC ANCH-SARC VIII'!O68</f>
        <v>-</v>
      </c>
      <c r="O81" s="578"/>
      <c r="P81" s="578"/>
      <c r="Q81" s="578"/>
      <c r="R81" s="578"/>
      <c r="S81" s="578"/>
      <c r="T81" s="229"/>
      <c r="U81" s="229"/>
      <c r="V81" s="229"/>
      <c r="W81" s="229"/>
      <c r="X81" s="229"/>
      <c r="Y81" s="229"/>
      <c r="Z81" s="229"/>
      <c r="AA81" s="229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1"/>
      <c r="CO81" s="231"/>
      <c r="CP81" s="231"/>
      <c r="CQ81" s="231"/>
      <c r="CR81" s="231"/>
      <c r="CS81" s="231"/>
      <c r="CT81" s="231"/>
      <c r="CU81" s="231"/>
      <c r="CV81" s="231"/>
      <c r="CW81" s="231"/>
      <c r="CX81" s="231"/>
      <c r="CY81" s="231"/>
      <c r="CZ81" s="231"/>
      <c r="DA81" s="231"/>
      <c r="DB81" s="231"/>
      <c r="DC81" s="231"/>
      <c r="DD81" s="231"/>
      <c r="DE81" s="231"/>
      <c r="DF81" s="231"/>
      <c r="DG81" s="231"/>
      <c r="DH81" s="231"/>
      <c r="DI81" s="231"/>
      <c r="DJ81" s="231"/>
      <c r="DK81" s="231"/>
      <c r="DL81" s="231"/>
      <c r="DM81" s="231"/>
      <c r="DN81" s="231"/>
      <c r="DO81" s="231"/>
      <c r="DP81" s="231"/>
      <c r="DQ81" s="231"/>
      <c r="DR81" s="231"/>
      <c r="DS81" s="231"/>
      <c r="DT81" s="231"/>
      <c r="DU81" s="231"/>
      <c r="DV81" s="231"/>
      <c r="DW81" s="231"/>
      <c r="DX81" s="231"/>
      <c r="DY81" s="231"/>
      <c r="DZ81" s="231"/>
      <c r="EA81" s="231"/>
      <c r="EB81" s="231"/>
      <c r="EC81" s="231"/>
      <c r="ED81" s="231"/>
      <c r="EE81" s="231"/>
      <c r="EF81" s="231"/>
      <c r="EG81" s="231"/>
      <c r="EH81" s="231"/>
      <c r="EI81" s="231"/>
      <c r="EJ81" s="231"/>
      <c r="EK81" s="231"/>
      <c r="EL81" s="231"/>
      <c r="EM81" s="231"/>
      <c r="EN81" s="231"/>
      <c r="EO81" s="231"/>
      <c r="EP81" s="231"/>
      <c r="EQ81" s="231"/>
      <c r="ER81" s="231"/>
      <c r="ES81" s="231"/>
      <c r="ET81" s="231"/>
      <c r="EU81" s="231"/>
      <c r="EV81" s="231"/>
      <c r="EW81" s="231"/>
      <c r="EX81" s="231"/>
      <c r="EY81" s="231"/>
      <c r="EZ81" s="231"/>
      <c r="FA81" s="231"/>
      <c r="FB81" s="231"/>
      <c r="FC81" s="231"/>
      <c r="FD81" s="231"/>
      <c r="FE81" s="231"/>
      <c r="FF81" s="231"/>
      <c r="FG81" s="231"/>
      <c r="FH81" s="231"/>
      <c r="FI81" s="231"/>
      <c r="FJ81" s="231"/>
      <c r="FK81" s="231"/>
      <c r="FL81" s="231"/>
      <c r="FM81" s="231"/>
      <c r="FN81" s="231"/>
      <c r="FO81" s="231"/>
      <c r="FP81" s="231"/>
      <c r="FQ81" s="231"/>
      <c r="FR81" s="231"/>
      <c r="FS81" s="231"/>
      <c r="FT81" s="231"/>
      <c r="FU81" s="231"/>
      <c r="FV81" s="231"/>
      <c r="FW81" s="231"/>
      <c r="FX81" s="231"/>
      <c r="FY81" s="231"/>
      <c r="FZ81" s="231"/>
      <c r="GA81" s="231"/>
      <c r="GB81" s="231"/>
      <c r="GC81" s="231"/>
      <c r="GD81" s="231"/>
      <c r="GE81" s="231"/>
      <c r="GF81" s="231"/>
      <c r="GG81" s="231"/>
      <c r="GH81" s="231"/>
      <c r="GI81" s="231"/>
      <c r="GJ81" s="231"/>
      <c r="GK81" s="231"/>
      <c r="GL81" s="231"/>
      <c r="GM81" s="231"/>
      <c r="GN81" s="231"/>
      <c r="GO81" s="231"/>
      <c r="GP81" s="231"/>
      <c r="GQ81" s="231"/>
      <c r="GR81" s="231"/>
      <c r="GS81" s="231"/>
      <c r="GT81" s="231"/>
      <c r="GU81" s="231"/>
      <c r="GV81" s="231"/>
      <c r="GW81" s="231"/>
      <c r="GX81" s="231"/>
      <c r="GY81" s="231"/>
      <c r="GZ81" s="231"/>
      <c r="HA81" s="231"/>
      <c r="HB81" s="231"/>
      <c r="HC81" s="231"/>
      <c r="HD81" s="231"/>
      <c r="HE81" s="231"/>
      <c r="HF81" s="231"/>
      <c r="HG81" s="231"/>
      <c r="HH81" s="231"/>
      <c r="HI81" s="231"/>
      <c r="HJ81" s="231"/>
      <c r="HK81" s="231"/>
      <c r="HL81" s="231"/>
      <c r="HM81" s="231"/>
      <c r="HN81" s="231"/>
      <c r="HO81" s="231"/>
      <c r="HP81" s="231"/>
      <c r="HQ81" s="231"/>
      <c r="HR81" s="231"/>
      <c r="HS81" s="231"/>
      <c r="HT81" s="231"/>
      <c r="HU81" s="231"/>
      <c r="HV81" s="231"/>
      <c r="HW81" s="231"/>
      <c r="HX81" s="231"/>
      <c r="HY81" s="231"/>
      <c r="HZ81" s="231"/>
      <c r="IA81" s="231"/>
      <c r="IB81" s="232"/>
    </row>
    <row r="82" spans="1:236" s="233" customFormat="1" ht="13.15" customHeight="1">
      <c r="A82" s="223"/>
      <c r="B82" s="254">
        <v>66</v>
      </c>
      <c r="C82" s="684"/>
      <c r="D82" s="546" t="s">
        <v>218</v>
      </c>
      <c r="E82" s="114" t="s">
        <v>29</v>
      </c>
      <c r="F82" s="260">
        <v>3158.9180000000001</v>
      </c>
      <c r="G82" s="582">
        <f>53+204</f>
        <v>257</v>
      </c>
      <c r="H82" s="260">
        <f t="shared" ref="H82:H92" si="9">+F82+G82</f>
        <v>3415.9180000000001</v>
      </c>
      <c r="I82" s="262">
        <v>1595.3689999999999</v>
      </c>
      <c r="J82" s="262">
        <v>55.832999999999998</v>
      </c>
      <c r="K82" s="258">
        <v>0</v>
      </c>
      <c r="L82" s="114">
        <f t="shared" si="8"/>
        <v>1764.7160000000001</v>
      </c>
      <c r="M82" s="227">
        <f t="shared" si="7"/>
        <v>0.48338455431307192</v>
      </c>
      <c r="N82" s="228" t="str">
        <f>+'IC ANCH-SARC VIII'!O69</f>
        <v>-</v>
      </c>
      <c r="O82" s="578"/>
      <c r="P82" s="578"/>
      <c r="Q82" s="578"/>
      <c r="R82" s="578"/>
      <c r="S82" s="578"/>
      <c r="T82" s="229"/>
      <c r="U82" s="229"/>
      <c r="V82" s="229"/>
      <c r="W82" s="229"/>
      <c r="X82" s="229"/>
      <c r="Y82" s="229"/>
      <c r="Z82" s="229"/>
      <c r="AA82" s="229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  <c r="EK82" s="231"/>
      <c r="EL82" s="231"/>
      <c r="EM82" s="231"/>
      <c r="EN82" s="231"/>
      <c r="EO82" s="231"/>
      <c r="EP82" s="231"/>
      <c r="EQ82" s="231"/>
      <c r="ER82" s="231"/>
      <c r="ES82" s="231"/>
      <c r="ET82" s="231"/>
      <c r="EU82" s="231"/>
      <c r="EV82" s="231"/>
      <c r="EW82" s="231"/>
      <c r="EX82" s="231"/>
      <c r="EY82" s="231"/>
      <c r="EZ82" s="231"/>
      <c r="FA82" s="231"/>
      <c r="FB82" s="231"/>
      <c r="FC82" s="231"/>
      <c r="FD82" s="231"/>
      <c r="FE82" s="231"/>
      <c r="FF82" s="231"/>
      <c r="FG82" s="231"/>
      <c r="FH82" s="231"/>
      <c r="FI82" s="231"/>
      <c r="FJ82" s="231"/>
      <c r="FK82" s="231"/>
      <c r="FL82" s="231"/>
      <c r="FM82" s="231"/>
      <c r="FN82" s="231"/>
      <c r="FO82" s="231"/>
      <c r="FP82" s="231"/>
      <c r="FQ82" s="231"/>
      <c r="FR82" s="231"/>
      <c r="FS82" s="231"/>
      <c r="FT82" s="231"/>
      <c r="FU82" s="231"/>
      <c r="FV82" s="231"/>
      <c r="FW82" s="231"/>
      <c r="FX82" s="231"/>
      <c r="FY82" s="231"/>
      <c r="FZ82" s="231"/>
      <c r="GA82" s="231"/>
      <c r="GB82" s="231"/>
      <c r="GC82" s="231"/>
      <c r="GD82" s="231"/>
      <c r="GE82" s="231"/>
      <c r="GF82" s="231"/>
      <c r="GG82" s="231"/>
      <c r="GH82" s="231"/>
      <c r="GI82" s="231"/>
      <c r="GJ82" s="231"/>
      <c r="GK82" s="231"/>
      <c r="GL82" s="231"/>
      <c r="GM82" s="231"/>
      <c r="GN82" s="231"/>
      <c r="GO82" s="231"/>
      <c r="GP82" s="231"/>
      <c r="GQ82" s="231"/>
      <c r="GR82" s="231"/>
      <c r="GS82" s="231"/>
      <c r="GT82" s="231"/>
      <c r="GU82" s="231"/>
      <c r="GV82" s="231"/>
      <c r="GW82" s="231"/>
      <c r="GX82" s="231"/>
      <c r="GY82" s="231"/>
      <c r="GZ82" s="231"/>
      <c r="HA82" s="231"/>
      <c r="HB82" s="231"/>
      <c r="HC82" s="231"/>
      <c r="HD82" s="231"/>
      <c r="HE82" s="231"/>
      <c r="HF82" s="231"/>
      <c r="HG82" s="231"/>
      <c r="HH82" s="231"/>
      <c r="HI82" s="231"/>
      <c r="HJ82" s="231"/>
      <c r="HK82" s="231"/>
      <c r="HL82" s="231"/>
      <c r="HM82" s="231"/>
      <c r="HN82" s="231"/>
      <c r="HO82" s="231"/>
      <c r="HP82" s="231"/>
      <c r="HQ82" s="231"/>
      <c r="HR82" s="231"/>
      <c r="HS82" s="231"/>
      <c r="HT82" s="231"/>
      <c r="HU82" s="231"/>
      <c r="HV82" s="231"/>
      <c r="HW82" s="231"/>
      <c r="HX82" s="231"/>
      <c r="HY82" s="231"/>
      <c r="HZ82" s="231"/>
      <c r="IA82" s="231"/>
      <c r="IB82" s="232"/>
    </row>
    <row r="83" spans="1:236" s="233" customFormat="1" ht="13.15" customHeight="1">
      <c r="A83" s="223"/>
      <c r="B83" s="254">
        <v>67</v>
      </c>
      <c r="C83" s="684"/>
      <c r="D83" s="259" t="s">
        <v>219</v>
      </c>
      <c r="E83" s="114" t="s">
        <v>29</v>
      </c>
      <c r="F83" s="260">
        <v>3523.77</v>
      </c>
      <c r="G83" s="261"/>
      <c r="H83" s="260">
        <f t="shared" si="9"/>
        <v>3523.77</v>
      </c>
      <c r="I83" s="262">
        <v>2604.3780000000002</v>
      </c>
      <c r="J83" s="262">
        <v>0</v>
      </c>
      <c r="K83" s="258">
        <v>0</v>
      </c>
      <c r="L83" s="114">
        <f t="shared" si="8"/>
        <v>919.39199999999983</v>
      </c>
      <c r="M83" s="227">
        <f t="shared" si="7"/>
        <v>0.73908853302003252</v>
      </c>
      <c r="N83" s="228" t="str">
        <f>+'IC ANCH-SARC VIII'!O70</f>
        <v>-</v>
      </c>
      <c r="O83" s="578"/>
      <c r="P83" s="578"/>
      <c r="Q83" s="578"/>
      <c r="R83" s="578"/>
      <c r="S83" s="578"/>
      <c r="T83" s="229"/>
      <c r="U83" s="229"/>
      <c r="V83" s="229"/>
      <c r="W83" s="229"/>
      <c r="X83" s="229"/>
      <c r="Y83" s="229"/>
      <c r="Z83" s="229"/>
      <c r="AA83" s="229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1"/>
      <c r="CY83" s="231"/>
      <c r="CZ83" s="231"/>
      <c r="DA83" s="231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  <c r="EK83" s="231"/>
      <c r="EL83" s="231"/>
      <c r="EM83" s="231"/>
      <c r="EN83" s="231"/>
      <c r="EO83" s="231"/>
      <c r="EP83" s="231"/>
      <c r="EQ83" s="231"/>
      <c r="ER83" s="231"/>
      <c r="ES83" s="231"/>
      <c r="ET83" s="231"/>
      <c r="EU83" s="231"/>
      <c r="EV83" s="231"/>
      <c r="EW83" s="231"/>
      <c r="EX83" s="231"/>
      <c r="EY83" s="231"/>
      <c r="EZ83" s="231"/>
      <c r="FA83" s="231"/>
      <c r="FB83" s="231"/>
      <c r="FC83" s="231"/>
      <c r="FD83" s="231"/>
      <c r="FE83" s="231"/>
      <c r="FF83" s="231"/>
      <c r="FG83" s="231"/>
      <c r="FH83" s="231"/>
      <c r="FI83" s="231"/>
      <c r="FJ83" s="231"/>
      <c r="FK83" s="231"/>
      <c r="FL83" s="231"/>
      <c r="FM83" s="231"/>
      <c r="FN83" s="231"/>
      <c r="FO83" s="231"/>
      <c r="FP83" s="231"/>
      <c r="FQ83" s="231"/>
      <c r="FR83" s="231"/>
      <c r="FS83" s="231"/>
      <c r="FT83" s="231"/>
      <c r="FU83" s="231"/>
      <c r="FV83" s="231"/>
      <c r="FW83" s="231"/>
      <c r="FX83" s="231"/>
      <c r="FY83" s="231"/>
      <c r="FZ83" s="231"/>
      <c r="GA83" s="231"/>
      <c r="GB83" s="231"/>
      <c r="GC83" s="231"/>
      <c r="GD83" s="231"/>
      <c r="GE83" s="231"/>
      <c r="GF83" s="231"/>
      <c r="GG83" s="231"/>
      <c r="GH83" s="231"/>
      <c r="GI83" s="231"/>
      <c r="GJ83" s="231"/>
      <c r="GK83" s="231"/>
      <c r="GL83" s="231"/>
      <c r="GM83" s="231"/>
      <c r="GN83" s="231"/>
      <c r="GO83" s="231"/>
      <c r="GP83" s="231"/>
      <c r="GQ83" s="231"/>
      <c r="GR83" s="231"/>
      <c r="GS83" s="231"/>
      <c r="GT83" s="231"/>
      <c r="GU83" s="231"/>
      <c r="GV83" s="231"/>
      <c r="GW83" s="231"/>
      <c r="GX83" s="231"/>
      <c r="GY83" s="231"/>
      <c r="GZ83" s="231"/>
      <c r="HA83" s="231"/>
      <c r="HB83" s="231"/>
      <c r="HC83" s="231"/>
      <c r="HD83" s="231"/>
      <c r="HE83" s="231"/>
      <c r="HF83" s="231"/>
      <c r="HG83" s="231"/>
      <c r="HH83" s="231"/>
      <c r="HI83" s="231"/>
      <c r="HJ83" s="231"/>
      <c r="HK83" s="231"/>
      <c r="HL83" s="231"/>
      <c r="HM83" s="231"/>
      <c r="HN83" s="231"/>
      <c r="HO83" s="231"/>
      <c r="HP83" s="231"/>
      <c r="HQ83" s="231"/>
      <c r="HR83" s="231"/>
      <c r="HS83" s="231"/>
      <c r="HT83" s="231"/>
      <c r="HU83" s="231"/>
      <c r="HV83" s="231"/>
      <c r="HW83" s="231"/>
      <c r="HX83" s="231"/>
      <c r="HY83" s="231"/>
      <c r="HZ83" s="231"/>
      <c r="IA83" s="231"/>
      <c r="IB83" s="232"/>
    </row>
    <row r="84" spans="1:236" s="233" customFormat="1" ht="13.15" customHeight="1">
      <c r="A84" s="223"/>
      <c r="B84" s="254">
        <v>68</v>
      </c>
      <c r="C84" s="684"/>
      <c r="D84" s="259" t="s">
        <v>220</v>
      </c>
      <c r="E84" s="114" t="s">
        <v>29</v>
      </c>
      <c r="F84" s="260">
        <v>5240.6790000000001</v>
      </c>
      <c r="G84" s="261">
        <f>791+155+222</f>
        <v>1168</v>
      </c>
      <c r="H84" s="260">
        <f t="shared" si="9"/>
        <v>6408.6790000000001</v>
      </c>
      <c r="I84" s="262">
        <v>4635.6329999999998</v>
      </c>
      <c r="J84" s="262">
        <v>732.21299999999997</v>
      </c>
      <c r="K84" s="258">
        <v>2.0019999999999998</v>
      </c>
      <c r="L84" s="114">
        <f t="shared" si="8"/>
        <v>1038.8310000000001</v>
      </c>
      <c r="M84" s="227">
        <f t="shared" si="7"/>
        <v>0.83790247568960774</v>
      </c>
      <c r="N84" s="228" t="str">
        <f>+'IC ANCH-SARC VIII'!O71</f>
        <v>-</v>
      </c>
      <c r="O84" s="578"/>
      <c r="P84" s="578"/>
      <c r="Q84" s="578"/>
      <c r="R84" s="578"/>
      <c r="S84" s="578"/>
      <c r="T84" s="229"/>
      <c r="U84" s="229"/>
      <c r="V84" s="229"/>
      <c r="W84" s="229"/>
      <c r="X84" s="229"/>
      <c r="Y84" s="229"/>
      <c r="Z84" s="229"/>
      <c r="AA84" s="229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1"/>
      <c r="DE84" s="231"/>
      <c r="DF84" s="231"/>
      <c r="DG84" s="231"/>
      <c r="DH84" s="231"/>
      <c r="DI84" s="231"/>
      <c r="DJ84" s="231"/>
      <c r="DK84" s="231"/>
      <c r="DL84" s="231"/>
      <c r="DM84" s="231"/>
      <c r="DN84" s="231"/>
      <c r="DO84" s="231"/>
      <c r="DP84" s="231"/>
      <c r="DQ84" s="231"/>
      <c r="DR84" s="231"/>
      <c r="DS84" s="231"/>
      <c r="DT84" s="231"/>
      <c r="DU84" s="231"/>
      <c r="DV84" s="231"/>
      <c r="DW84" s="231"/>
      <c r="DX84" s="231"/>
      <c r="DY84" s="231"/>
      <c r="DZ84" s="231"/>
      <c r="EA84" s="231"/>
      <c r="EB84" s="231"/>
      <c r="EC84" s="231"/>
      <c r="ED84" s="231"/>
      <c r="EE84" s="231"/>
      <c r="EF84" s="231"/>
      <c r="EG84" s="231"/>
      <c r="EH84" s="231"/>
      <c r="EI84" s="231"/>
      <c r="EJ84" s="231"/>
      <c r="EK84" s="231"/>
      <c r="EL84" s="231"/>
      <c r="EM84" s="231"/>
      <c r="EN84" s="231"/>
      <c r="EO84" s="231"/>
      <c r="EP84" s="231"/>
      <c r="EQ84" s="231"/>
      <c r="ER84" s="231"/>
      <c r="ES84" s="231"/>
      <c r="ET84" s="231"/>
      <c r="EU84" s="231"/>
      <c r="EV84" s="231"/>
      <c r="EW84" s="231"/>
      <c r="EX84" s="231"/>
      <c r="EY84" s="231"/>
      <c r="EZ84" s="231"/>
      <c r="FA84" s="231"/>
      <c r="FB84" s="231"/>
      <c r="FC84" s="231"/>
      <c r="FD84" s="231"/>
      <c r="FE84" s="231"/>
      <c r="FF84" s="231"/>
      <c r="FG84" s="231"/>
      <c r="FH84" s="231"/>
      <c r="FI84" s="231"/>
      <c r="FJ84" s="231"/>
      <c r="FK84" s="231"/>
      <c r="FL84" s="231"/>
      <c r="FM84" s="231"/>
      <c r="FN84" s="231"/>
      <c r="FO84" s="231"/>
      <c r="FP84" s="231"/>
      <c r="FQ84" s="231"/>
      <c r="FR84" s="231"/>
      <c r="FS84" s="231"/>
      <c r="FT84" s="231"/>
      <c r="FU84" s="231"/>
      <c r="FV84" s="231"/>
      <c r="FW84" s="231"/>
      <c r="FX84" s="231"/>
      <c r="FY84" s="231"/>
      <c r="FZ84" s="231"/>
      <c r="GA84" s="231"/>
      <c r="GB84" s="231"/>
      <c r="GC84" s="231"/>
      <c r="GD84" s="231"/>
      <c r="GE84" s="231"/>
      <c r="GF84" s="231"/>
      <c r="GG84" s="231"/>
      <c r="GH84" s="231"/>
      <c r="GI84" s="231"/>
      <c r="GJ84" s="231"/>
      <c r="GK84" s="231"/>
      <c r="GL84" s="231"/>
      <c r="GM84" s="231"/>
      <c r="GN84" s="231"/>
      <c r="GO84" s="231"/>
      <c r="GP84" s="231"/>
      <c r="GQ84" s="231"/>
      <c r="GR84" s="231"/>
      <c r="GS84" s="231"/>
      <c r="GT84" s="231"/>
      <c r="GU84" s="231"/>
      <c r="GV84" s="231"/>
      <c r="GW84" s="231"/>
      <c r="GX84" s="231"/>
      <c r="GY84" s="231"/>
      <c r="GZ84" s="231"/>
      <c r="HA84" s="231"/>
      <c r="HB84" s="231"/>
      <c r="HC84" s="231"/>
      <c r="HD84" s="231"/>
      <c r="HE84" s="231"/>
      <c r="HF84" s="231"/>
      <c r="HG84" s="231"/>
      <c r="HH84" s="231"/>
      <c r="HI84" s="231"/>
      <c r="HJ84" s="231"/>
      <c r="HK84" s="231"/>
      <c r="HL84" s="231"/>
      <c r="HM84" s="231"/>
      <c r="HN84" s="231"/>
      <c r="HO84" s="231"/>
      <c r="HP84" s="231"/>
      <c r="HQ84" s="231"/>
      <c r="HR84" s="231"/>
      <c r="HS84" s="231"/>
      <c r="HT84" s="231"/>
      <c r="HU84" s="231"/>
      <c r="HV84" s="231"/>
      <c r="HW84" s="231"/>
      <c r="HX84" s="231"/>
      <c r="HY84" s="231"/>
      <c r="HZ84" s="231"/>
      <c r="IA84" s="231"/>
      <c r="IB84" s="232"/>
    </row>
    <row r="85" spans="1:236" s="233" customFormat="1" ht="13.15" customHeight="1">
      <c r="A85" s="223"/>
      <c r="B85" s="254">
        <v>69</v>
      </c>
      <c r="C85" s="684"/>
      <c r="D85" s="259" t="s">
        <v>221</v>
      </c>
      <c r="E85" s="114" t="s">
        <v>29</v>
      </c>
      <c r="F85" s="260">
        <v>1150.194</v>
      </c>
      <c r="G85" s="261"/>
      <c r="H85" s="260">
        <f t="shared" si="9"/>
        <v>1150.194</v>
      </c>
      <c r="I85" s="262">
        <v>402.226</v>
      </c>
      <c r="J85" s="262">
        <v>0</v>
      </c>
      <c r="K85" s="258">
        <v>0</v>
      </c>
      <c r="L85" s="114">
        <f t="shared" si="8"/>
        <v>747.96799999999996</v>
      </c>
      <c r="M85" s="227">
        <f t="shared" si="7"/>
        <v>0.34970274579766547</v>
      </c>
      <c r="N85" s="228" t="str">
        <f>+'IC ANCH-SARC VIII'!O72</f>
        <v>-</v>
      </c>
      <c r="O85" s="578"/>
      <c r="P85" s="578"/>
      <c r="Q85" s="578"/>
      <c r="R85" s="578"/>
      <c r="S85" s="578"/>
      <c r="T85" s="229"/>
      <c r="U85" s="229"/>
      <c r="V85" s="229"/>
      <c r="W85" s="229"/>
      <c r="X85" s="229"/>
      <c r="Y85" s="229"/>
      <c r="Z85" s="229"/>
      <c r="AA85" s="229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1"/>
      <c r="CO85" s="231"/>
      <c r="CP85" s="231"/>
      <c r="CQ85" s="231"/>
      <c r="CR85" s="231"/>
      <c r="CS85" s="231"/>
      <c r="CT85" s="231"/>
      <c r="CU85" s="231"/>
      <c r="CV85" s="231"/>
      <c r="CW85" s="231"/>
      <c r="CX85" s="231"/>
      <c r="CY85" s="231"/>
      <c r="CZ85" s="231"/>
      <c r="DA85" s="231"/>
      <c r="DB85" s="231"/>
      <c r="DC85" s="231"/>
      <c r="DD85" s="231"/>
      <c r="DE85" s="231"/>
      <c r="DF85" s="231"/>
      <c r="DG85" s="231"/>
      <c r="DH85" s="231"/>
      <c r="DI85" s="231"/>
      <c r="DJ85" s="231"/>
      <c r="DK85" s="231"/>
      <c r="DL85" s="231"/>
      <c r="DM85" s="231"/>
      <c r="DN85" s="231"/>
      <c r="DO85" s="231"/>
      <c r="DP85" s="231"/>
      <c r="DQ85" s="231"/>
      <c r="DR85" s="231"/>
      <c r="DS85" s="231"/>
      <c r="DT85" s="231"/>
      <c r="DU85" s="231"/>
      <c r="DV85" s="231"/>
      <c r="DW85" s="231"/>
      <c r="DX85" s="231"/>
      <c r="DY85" s="231"/>
      <c r="DZ85" s="231"/>
      <c r="EA85" s="231"/>
      <c r="EB85" s="231"/>
      <c r="EC85" s="231"/>
      <c r="ED85" s="231"/>
      <c r="EE85" s="231"/>
      <c r="EF85" s="231"/>
      <c r="EG85" s="231"/>
      <c r="EH85" s="231"/>
      <c r="EI85" s="231"/>
      <c r="EJ85" s="231"/>
      <c r="EK85" s="231"/>
      <c r="EL85" s="231"/>
      <c r="EM85" s="231"/>
      <c r="EN85" s="231"/>
      <c r="EO85" s="231"/>
      <c r="EP85" s="231"/>
      <c r="EQ85" s="231"/>
      <c r="ER85" s="231"/>
      <c r="ES85" s="231"/>
      <c r="ET85" s="231"/>
      <c r="EU85" s="231"/>
      <c r="EV85" s="231"/>
      <c r="EW85" s="231"/>
      <c r="EX85" s="231"/>
      <c r="EY85" s="231"/>
      <c r="EZ85" s="231"/>
      <c r="FA85" s="231"/>
      <c r="FB85" s="231"/>
      <c r="FC85" s="231"/>
      <c r="FD85" s="231"/>
      <c r="FE85" s="231"/>
      <c r="FF85" s="231"/>
      <c r="FG85" s="231"/>
      <c r="FH85" s="231"/>
      <c r="FI85" s="231"/>
      <c r="FJ85" s="231"/>
      <c r="FK85" s="231"/>
      <c r="FL85" s="231"/>
      <c r="FM85" s="231"/>
      <c r="FN85" s="231"/>
      <c r="FO85" s="231"/>
      <c r="FP85" s="231"/>
      <c r="FQ85" s="231"/>
      <c r="FR85" s="231"/>
      <c r="FS85" s="231"/>
      <c r="FT85" s="231"/>
      <c r="FU85" s="231"/>
      <c r="FV85" s="231"/>
      <c r="FW85" s="231"/>
      <c r="FX85" s="231"/>
      <c r="FY85" s="231"/>
      <c r="FZ85" s="231"/>
      <c r="GA85" s="231"/>
      <c r="GB85" s="231"/>
      <c r="GC85" s="231"/>
      <c r="GD85" s="231"/>
      <c r="GE85" s="231"/>
      <c r="GF85" s="231"/>
      <c r="GG85" s="231"/>
      <c r="GH85" s="231"/>
      <c r="GI85" s="231"/>
      <c r="GJ85" s="231"/>
      <c r="GK85" s="231"/>
      <c r="GL85" s="231"/>
      <c r="GM85" s="231"/>
      <c r="GN85" s="231"/>
      <c r="GO85" s="231"/>
      <c r="GP85" s="231"/>
      <c r="GQ85" s="231"/>
      <c r="GR85" s="231"/>
      <c r="GS85" s="231"/>
      <c r="GT85" s="231"/>
      <c r="GU85" s="231"/>
      <c r="GV85" s="231"/>
      <c r="GW85" s="231"/>
      <c r="GX85" s="231"/>
      <c r="GY85" s="231"/>
      <c r="GZ85" s="231"/>
      <c r="HA85" s="231"/>
      <c r="HB85" s="231"/>
      <c r="HC85" s="231"/>
      <c r="HD85" s="231"/>
      <c r="HE85" s="231"/>
      <c r="HF85" s="231"/>
      <c r="HG85" s="231"/>
      <c r="HH85" s="231"/>
      <c r="HI85" s="231"/>
      <c r="HJ85" s="231"/>
      <c r="HK85" s="231"/>
      <c r="HL85" s="231"/>
      <c r="HM85" s="231"/>
      <c r="HN85" s="231"/>
      <c r="HO85" s="231"/>
      <c r="HP85" s="231"/>
      <c r="HQ85" s="231"/>
      <c r="HR85" s="231"/>
      <c r="HS85" s="231"/>
      <c r="HT85" s="231"/>
      <c r="HU85" s="231"/>
      <c r="HV85" s="231"/>
      <c r="HW85" s="231"/>
      <c r="HX85" s="231"/>
      <c r="HY85" s="231"/>
      <c r="HZ85" s="231"/>
      <c r="IA85" s="231"/>
      <c r="IB85" s="232"/>
    </row>
    <row r="86" spans="1:236" s="232" customFormat="1" ht="13.15" customHeight="1">
      <c r="A86" s="223"/>
      <c r="B86" s="254">
        <v>70</v>
      </c>
      <c r="C86" s="684"/>
      <c r="D86" s="259" t="s">
        <v>222</v>
      </c>
      <c r="E86" s="114" t="s">
        <v>29</v>
      </c>
      <c r="F86" s="260">
        <v>32.655999999999999</v>
      </c>
      <c r="G86" s="261">
        <f>-7-3.2-3.8-3.1</f>
        <v>-17.100000000000001</v>
      </c>
      <c r="H86" s="260">
        <f t="shared" si="9"/>
        <v>15.555999999999997</v>
      </c>
      <c r="I86" s="262">
        <v>1.4</v>
      </c>
      <c r="J86" s="262">
        <v>0</v>
      </c>
      <c r="K86" s="258">
        <v>0</v>
      </c>
      <c r="L86" s="114">
        <f t="shared" si="8"/>
        <v>14.155999999999997</v>
      </c>
      <c r="M86" s="227">
        <f t="shared" si="7"/>
        <v>8.9997428644895863E-2</v>
      </c>
      <c r="N86" s="228" t="str">
        <f>+'IC ANCH-SARC VIII'!O73</f>
        <v>-</v>
      </c>
      <c r="O86" s="578"/>
      <c r="P86" s="578"/>
      <c r="Q86" s="578"/>
      <c r="R86" s="578"/>
      <c r="S86" s="578"/>
      <c r="T86" s="229"/>
      <c r="U86" s="229"/>
      <c r="V86" s="229"/>
      <c r="W86" s="229"/>
      <c r="X86" s="229"/>
      <c r="Y86" s="229"/>
      <c r="Z86" s="229"/>
      <c r="AA86" s="229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1"/>
      <c r="CO86" s="231"/>
      <c r="CP86" s="231"/>
      <c r="CQ86" s="231"/>
      <c r="CR86" s="231"/>
      <c r="CS86" s="231"/>
      <c r="CT86" s="231"/>
      <c r="CU86" s="231"/>
      <c r="CV86" s="231"/>
      <c r="CW86" s="231"/>
      <c r="CX86" s="231"/>
      <c r="CY86" s="231"/>
      <c r="CZ86" s="231"/>
      <c r="DA86" s="231"/>
      <c r="DB86" s="231"/>
      <c r="DC86" s="231"/>
      <c r="DD86" s="231"/>
      <c r="DE86" s="231"/>
      <c r="DF86" s="231"/>
      <c r="DG86" s="231"/>
      <c r="DH86" s="231"/>
      <c r="DI86" s="231"/>
      <c r="DJ86" s="231"/>
      <c r="DK86" s="231"/>
      <c r="DL86" s="231"/>
      <c r="DM86" s="231"/>
      <c r="DN86" s="231"/>
      <c r="DO86" s="231"/>
      <c r="DP86" s="231"/>
      <c r="DQ86" s="231"/>
      <c r="DR86" s="231"/>
      <c r="DS86" s="231"/>
      <c r="DT86" s="231"/>
      <c r="DU86" s="231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  <c r="EF86" s="231"/>
      <c r="EG86" s="231"/>
      <c r="EH86" s="231"/>
      <c r="EI86" s="231"/>
      <c r="EJ86" s="231"/>
      <c r="EK86" s="231"/>
      <c r="EL86" s="231"/>
      <c r="EM86" s="231"/>
      <c r="EN86" s="231"/>
      <c r="EO86" s="231"/>
      <c r="EP86" s="231"/>
      <c r="EQ86" s="231"/>
      <c r="ER86" s="231"/>
      <c r="ES86" s="231"/>
      <c r="ET86" s="231"/>
      <c r="EU86" s="231"/>
      <c r="EV86" s="231"/>
      <c r="EW86" s="231"/>
      <c r="EX86" s="231"/>
      <c r="EY86" s="231"/>
      <c r="EZ86" s="231"/>
      <c r="FA86" s="231"/>
      <c r="FB86" s="231"/>
      <c r="FC86" s="231"/>
      <c r="FD86" s="231"/>
      <c r="FE86" s="231"/>
      <c r="FF86" s="231"/>
      <c r="FG86" s="231"/>
      <c r="FH86" s="231"/>
      <c r="FI86" s="231"/>
      <c r="FJ86" s="231"/>
      <c r="FK86" s="231"/>
      <c r="FL86" s="231"/>
      <c r="FM86" s="231"/>
      <c r="FN86" s="231"/>
      <c r="FO86" s="231"/>
      <c r="FP86" s="231"/>
      <c r="FQ86" s="231"/>
      <c r="FR86" s="231"/>
      <c r="FS86" s="231"/>
      <c r="FT86" s="231"/>
      <c r="FU86" s="231"/>
      <c r="FV86" s="231"/>
      <c r="FW86" s="231"/>
      <c r="FX86" s="231"/>
      <c r="FY86" s="231"/>
      <c r="FZ86" s="231"/>
      <c r="GA86" s="231"/>
      <c r="GB86" s="231"/>
      <c r="GC86" s="231"/>
      <c r="GD86" s="231"/>
      <c r="GE86" s="231"/>
      <c r="GF86" s="231"/>
      <c r="GG86" s="231"/>
      <c r="GH86" s="231"/>
      <c r="GI86" s="231"/>
      <c r="GJ86" s="231"/>
      <c r="GK86" s="231"/>
      <c r="GL86" s="231"/>
      <c r="GM86" s="231"/>
      <c r="GN86" s="231"/>
      <c r="GO86" s="231"/>
      <c r="GP86" s="231"/>
      <c r="GQ86" s="231"/>
      <c r="GR86" s="231"/>
      <c r="GS86" s="231"/>
      <c r="GT86" s="231"/>
      <c r="GU86" s="231"/>
      <c r="GV86" s="231"/>
      <c r="GW86" s="231"/>
      <c r="GX86" s="231"/>
      <c r="GY86" s="231"/>
      <c r="GZ86" s="231"/>
      <c r="HA86" s="231"/>
      <c r="HB86" s="231"/>
      <c r="HC86" s="231"/>
      <c r="HD86" s="231"/>
      <c r="HE86" s="231"/>
      <c r="HF86" s="231"/>
      <c r="HG86" s="231"/>
      <c r="HH86" s="231"/>
      <c r="HI86" s="231"/>
      <c r="HJ86" s="231"/>
      <c r="HK86" s="231"/>
      <c r="HL86" s="231"/>
      <c r="HM86" s="231"/>
      <c r="HN86" s="231"/>
      <c r="HO86" s="231"/>
      <c r="HP86" s="231"/>
      <c r="HQ86" s="231"/>
      <c r="HR86" s="231"/>
      <c r="HS86" s="231"/>
      <c r="HT86" s="231"/>
      <c r="HU86" s="231"/>
      <c r="HV86" s="231"/>
      <c r="HW86" s="231"/>
      <c r="HX86" s="231"/>
      <c r="HY86" s="231"/>
      <c r="HZ86" s="231"/>
      <c r="IA86" s="231"/>
    </row>
    <row r="87" spans="1:236" s="233" customFormat="1" ht="13.15" customHeight="1">
      <c r="A87" s="223"/>
      <c r="B87" s="254">
        <v>71</v>
      </c>
      <c r="C87" s="684"/>
      <c r="D87" s="494" t="s">
        <v>223</v>
      </c>
      <c r="E87" s="114" t="s">
        <v>29</v>
      </c>
      <c r="F87" s="260">
        <v>509.38299999999998</v>
      </c>
      <c r="G87" s="583">
        <f>30-10-10.7-14</f>
        <v>-4.6999999999999993</v>
      </c>
      <c r="H87" s="260">
        <f t="shared" si="9"/>
        <v>504.68299999999999</v>
      </c>
      <c r="I87" s="262">
        <v>465.74299999999999</v>
      </c>
      <c r="J87" s="262">
        <v>0</v>
      </c>
      <c r="K87" s="258">
        <v>0</v>
      </c>
      <c r="L87" s="114">
        <f t="shared" si="8"/>
        <v>38.94</v>
      </c>
      <c r="M87" s="227">
        <f t="shared" si="7"/>
        <v>0.9228426556868371</v>
      </c>
      <c r="N87" s="228" t="str">
        <f>+'IC ANCH-SARC VIII'!O74</f>
        <v>-</v>
      </c>
      <c r="O87" s="578"/>
      <c r="P87" s="578"/>
      <c r="Q87" s="578"/>
      <c r="R87" s="578"/>
      <c r="S87" s="578"/>
      <c r="T87" s="275"/>
      <c r="U87" s="275"/>
      <c r="V87" s="275"/>
      <c r="W87" s="275"/>
      <c r="X87" s="275"/>
      <c r="Y87" s="229"/>
      <c r="Z87" s="229"/>
      <c r="AA87" s="229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1"/>
      <c r="CO87" s="231"/>
      <c r="CP87" s="231"/>
      <c r="CQ87" s="231"/>
      <c r="CR87" s="231"/>
      <c r="CS87" s="231"/>
      <c r="CT87" s="231"/>
      <c r="CU87" s="231"/>
      <c r="CV87" s="231"/>
      <c r="CW87" s="231"/>
      <c r="CX87" s="231"/>
      <c r="CY87" s="231"/>
      <c r="CZ87" s="231"/>
      <c r="DA87" s="231"/>
      <c r="DB87" s="231"/>
      <c r="DC87" s="231"/>
      <c r="DD87" s="231"/>
      <c r="DE87" s="231"/>
      <c r="DF87" s="231"/>
      <c r="DG87" s="231"/>
      <c r="DH87" s="231"/>
      <c r="DI87" s="231"/>
      <c r="DJ87" s="231"/>
      <c r="DK87" s="231"/>
      <c r="DL87" s="231"/>
      <c r="DM87" s="231"/>
      <c r="DN87" s="231"/>
      <c r="DO87" s="231"/>
      <c r="DP87" s="231"/>
      <c r="DQ87" s="231"/>
      <c r="DR87" s="231"/>
      <c r="DS87" s="231"/>
      <c r="DT87" s="231"/>
      <c r="DU87" s="231"/>
      <c r="DV87" s="231"/>
      <c r="DW87" s="231"/>
      <c r="DX87" s="231"/>
      <c r="DY87" s="231"/>
      <c r="DZ87" s="231"/>
      <c r="EA87" s="231"/>
      <c r="EB87" s="231"/>
      <c r="EC87" s="231"/>
      <c r="ED87" s="231"/>
      <c r="EE87" s="231"/>
      <c r="EF87" s="231"/>
      <c r="EG87" s="231"/>
      <c r="EH87" s="231"/>
      <c r="EI87" s="231"/>
      <c r="EJ87" s="231"/>
      <c r="EK87" s="231"/>
      <c r="EL87" s="231"/>
      <c r="EM87" s="231"/>
      <c r="EN87" s="231"/>
      <c r="EO87" s="231"/>
      <c r="EP87" s="231"/>
      <c r="EQ87" s="231"/>
      <c r="ER87" s="231"/>
      <c r="ES87" s="231"/>
      <c r="ET87" s="231"/>
      <c r="EU87" s="231"/>
      <c r="EV87" s="231"/>
      <c r="EW87" s="231"/>
      <c r="EX87" s="231"/>
      <c r="EY87" s="231"/>
      <c r="EZ87" s="231"/>
      <c r="FA87" s="231"/>
      <c r="FB87" s="231"/>
      <c r="FC87" s="231"/>
      <c r="FD87" s="231"/>
      <c r="FE87" s="231"/>
      <c r="FF87" s="231"/>
      <c r="FG87" s="231"/>
      <c r="FH87" s="231"/>
      <c r="FI87" s="231"/>
      <c r="FJ87" s="231"/>
      <c r="FK87" s="231"/>
      <c r="FL87" s="231"/>
      <c r="FM87" s="231"/>
      <c r="FN87" s="231"/>
      <c r="FO87" s="231"/>
      <c r="FP87" s="231"/>
      <c r="FQ87" s="231"/>
      <c r="FR87" s="231"/>
      <c r="FS87" s="231"/>
      <c r="FT87" s="231"/>
      <c r="FU87" s="231"/>
      <c r="FV87" s="231"/>
      <c r="FW87" s="231"/>
      <c r="FX87" s="231"/>
      <c r="FY87" s="231"/>
      <c r="FZ87" s="231"/>
      <c r="GA87" s="231"/>
      <c r="GB87" s="231"/>
      <c r="GC87" s="231"/>
      <c r="GD87" s="231"/>
      <c r="GE87" s="231"/>
      <c r="GF87" s="231"/>
      <c r="GG87" s="231"/>
      <c r="GH87" s="231"/>
      <c r="GI87" s="231"/>
      <c r="GJ87" s="231"/>
      <c r="GK87" s="231"/>
      <c r="GL87" s="231"/>
      <c r="GM87" s="231"/>
      <c r="GN87" s="231"/>
      <c r="GO87" s="231"/>
      <c r="GP87" s="231"/>
      <c r="GQ87" s="231"/>
      <c r="GR87" s="231"/>
      <c r="GS87" s="231"/>
      <c r="GT87" s="231"/>
      <c r="GU87" s="231"/>
      <c r="GV87" s="231"/>
      <c r="GW87" s="231"/>
      <c r="GX87" s="231"/>
      <c r="GY87" s="231"/>
      <c r="GZ87" s="231"/>
      <c r="HA87" s="231"/>
      <c r="HB87" s="231"/>
      <c r="HC87" s="231"/>
      <c r="HD87" s="231"/>
      <c r="HE87" s="231"/>
      <c r="HF87" s="231"/>
      <c r="HG87" s="231"/>
      <c r="HH87" s="231"/>
      <c r="HI87" s="231"/>
      <c r="HJ87" s="231"/>
      <c r="HK87" s="231"/>
      <c r="HL87" s="231"/>
      <c r="HM87" s="231"/>
      <c r="HN87" s="231"/>
      <c r="HO87" s="231"/>
      <c r="HP87" s="231"/>
      <c r="HQ87" s="231"/>
      <c r="HR87" s="231"/>
      <c r="HS87" s="231"/>
      <c r="HT87" s="231"/>
      <c r="HU87" s="231"/>
      <c r="HV87" s="231"/>
      <c r="HW87" s="231"/>
      <c r="HX87" s="231"/>
      <c r="HY87" s="231"/>
      <c r="HZ87" s="231"/>
      <c r="IA87" s="231"/>
      <c r="IB87" s="232"/>
    </row>
    <row r="88" spans="1:236" s="233" customFormat="1" ht="13.15" customHeight="1">
      <c r="A88" s="223"/>
      <c r="B88" s="254">
        <v>72</v>
      </c>
      <c r="C88" s="684"/>
      <c r="D88" s="259" t="s">
        <v>224</v>
      </c>
      <c r="E88" s="114" t="s">
        <v>29</v>
      </c>
      <c r="F88" s="260">
        <v>1251.42</v>
      </c>
      <c r="G88" s="261">
        <f>386+90</f>
        <v>476</v>
      </c>
      <c r="H88" s="260">
        <f t="shared" si="9"/>
        <v>1727.42</v>
      </c>
      <c r="I88" s="262">
        <v>1208.5340000000001</v>
      </c>
      <c r="J88" s="262">
        <v>0</v>
      </c>
      <c r="K88" s="258">
        <v>0</v>
      </c>
      <c r="L88" s="114">
        <f t="shared" si="8"/>
        <v>518.88599999999997</v>
      </c>
      <c r="M88" s="227">
        <f t="shared" si="7"/>
        <v>0.69961792731356598</v>
      </c>
      <c r="N88" s="274" t="str">
        <f>+'IC ANCH-SARC VIII'!O75</f>
        <v>-</v>
      </c>
      <c r="O88" s="578"/>
      <c r="P88" s="578"/>
      <c r="Q88" s="578"/>
      <c r="R88" s="578"/>
      <c r="S88" s="578"/>
      <c r="T88" s="229"/>
      <c r="U88" s="229"/>
      <c r="V88" s="229"/>
      <c r="W88" s="229"/>
      <c r="X88" s="229"/>
      <c r="Y88" s="229"/>
      <c r="Z88" s="229"/>
      <c r="AA88" s="229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1"/>
      <c r="DE88" s="231"/>
      <c r="DF88" s="231"/>
      <c r="DG88" s="231"/>
      <c r="DH88" s="231"/>
      <c r="DI88" s="231"/>
      <c r="DJ88" s="231"/>
      <c r="DK88" s="231"/>
      <c r="DL88" s="231"/>
      <c r="DM88" s="231"/>
      <c r="DN88" s="231"/>
      <c r="DO88" s="231"/>
      <c r="DP88" s="231"/>
      <c r="DQ88" s="231"/>
      <c r="DR88" s="231"/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1"/>
      <c r="EH88" s="231"/>
      <c r="EI88" s="231"/>
      <c r="EJ88" s="231"/>
      <c r="EK88" s="231"/>
      <c r="EL88" s="231"/>
      <c r="EM88" s="231"/>
      <c r="EN88" s="231"/>
      <c r="EO88" s="231"/>
      <c r="EP88" s="231"/>
      <c r="EQ88" s="231"/>
      <c r="ER88" s="231"/>
      <c r="ES88" s="231"/>
      <c r="ET88" s="231"/>
      <c r="EU88" s="231"/>
      <c r="EV88" s="231"/>
      <c r="EW88" s="231"/>
      <c r="EX88" s="231"/>
      <c r="EY88" s="231"/>
      <c r="EZ88" s="231"/>
      <c r="FA88" s="231"/>
      <c r="FB88" s="231"/>
      <c r="FC88" s="231"/>
      <c r="FD88" s="231"/>
      <c r="FE88" s="231"/>
      <c r="FF88" s="231"/>
      <c r="FG88" s="231"/>
      <c r="FH88" s="231"/>
      <c r="FI88" s="231"/>
      <c r="FJ88" s="231"/>
      <c r="FK88" s="231"/>
      <c r="FL88" s="231"/>
      <c r="FM88" s="231"/>
      <c r="FN88" s="231"/>
      <c r="FO88" s="231"/>
      <c r="FP88" s="231"/>
      <c r="FQ88" s="231"/>
      <c r="FR88" s="231"/>
      <c r="FS88" s="231"/>
      <c r="FT88" s="231"/>
      <c r="FU88" s="231"/>
      <c r="FV88" s="231"/>
      <c r="FW88" s="231"/>
      <c r="FX88" s="231"/>
      <c r="FY88" s="231"/>
      <c r="FZ88" s="231"/>
      <c r="GA88" s="231"/>
      <c r="GB88" s="231"/>
      <c r="GC88" s="231"/>
      <c r="GD88" s="231"/>
      <c r="GE88" s="231"/>
      <c r="GF88" s="231"/>
      <c r="GG88" s="231"/>
      <c r="GH88" s="231"/>
      <c r="GI88" s="231"/>
      <c r="GJ88" s="231"/>
      <c r="GK88" s="231"/>
      <c r="GL88" s="231"/>
      <c r="GM88" s="231"/>
      <c r="GN88" s="231"/>
      <c r="GO88" s="231"/>
      <c r="GP88" s="231"/>
      <c r="GQ88" s="231"/>
      <c r="GR88" s="231"/>
      <c r="GS88" s="231"/>
      <c r="GT88" s="231"/>
      <c r="GU88" s="231"/>
      <c r="GV88" s="231"/>
      <c r="GW88" s="231"/>
      <c r="GX88" s="231"/>
      <c r="GY88" s="231"/>
      <c r="GZ88" s="231"/>
      <c r="HA88" s="231"/>
      <c r="HB88" s="231"/>
      <c r="HC88" s="231"/>
      <c r="HD88" s="231"/>
      <c r="HE88" s="231"/>
      <c r="HF88" s="231"/>
      <c r="HG88" s="231"/>
      <c r="HH88" s="231"/>
      <c r="HI88" s="231"/>
      <c r="HJ88" s="231"/>
      <c r="HK88" s="231"/>
      <c r="HL88" s="231"/>
      <c r="HM88" s="231"/>
      <c r="HN88" s="231"/>
      <c r="HO88" s="231"/>
      <c r="HP88" s="231"/>
      <c r="HQ88" s="231"/>
      <c r="HR88" s="231"/>
      <c r="HS88" s="231"/>
      <c r="HT88" s="231"/>
      <c r="HU88" s="231"/>
      <c r="HV88" s="231"/>
      <c r="HW88" s="231"/>
      <c r="HX88" s="231"/>
      <c r="HY88" s="231"/>
      <c r="HZ88" s="231"/>
      <c r="IA88" s="231"/>
      <c r="IB88" s="232"/>
    </row>
    <row r="89" spans="1:236" s="232" customFormat="1" ht="13.15" customHeight="1">
      <c r="A89" s="223"/>
      <c r="B89" s="254">
        <v>73</v>
      </c>
      <c r="C89" s="684"/>
      <c r="D89" s="259" t="s">
        <v>225</v>
      </c>
      <c r="E89" s="114" t="s">
        <v>29</v>
      </c>
      <c r="F89" s="260">
        <v>6372.0559999999996</v>
      </c>
      <c r="G89" s="261">
        <f>120+250</f>
        <v>370</v>
      </c>
      <c r="H89" s="260">
        <f t="shared" si="9"/>
        <v>6742.0559999999996</v>
      </c>
      <c r="I89" s="262">
        <v>2889.848</v>
      </c>
      <c r="J89" s="262">
        <v>199.971</v>
      </c>
      <c r="K89" s="258">
        <v>0.01</v>
      </c>
      <c r="L89" s="114">
        <f t="shared" si="8"/>
        <v>3652.2269999999994</v>
      </c>
      <c r="M89" s="227">
        <f t="shared" si="7"/>
        <v>0.45829180297523492</v>
      </c>
      <c r="N89" s="228" t="str">
        <f>+'IC ANCH-SARC VIII'!O76</f>
        <v>-</v>
      </c>
      <c r="O89" s="578"/>
      <c r="P89" s="578"/>
      <c r="Q89" s="578"/>
      <c r="R89" s="578"/>
      <c r="S89" s="578"/>
      <c r="T89" s="229"/>
      <c r="U89" s="229"/>
      <c r="V89" s="229"/>
      <c r="W89" s="229"/>
      <c r="X89" s="229"/>
      <c r="Y89" s="229"/>
      <c r="Z89" s="229"/>
      <c r="AA89" s="229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1"/>
      <c r="DK89" s="231"/>
      <c r="DL89" s="231"/>
      <c r="DM89" s="231"/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  <c r="EG89" s="231"/>
      <c r="EH89" s="231"/>
      <c r="EI89" s="231"/>
      <c r="EJ89" s="231"/>
      <c r="EK89" s="231"/>
      <c r="EL89" s="231"/>
      <c r="EM89" s="231"/>
      <c r="EN89" s="231"/>
      <c r="EO89" s="231"/>
      <c r="EP89" s="231"/>
      <c r="EQ89" s="231"/>
      <c r="ER89" s="231"/>
      <c r="ES89" s="231"/>
      <c r="ET89" s="231"/>
      <c r="EU89" s="231"/>
      <c r="EV89" s="231"/>
      <c r="EW89" s="231"/>
      <c r="EX89" s="231"/>
      <c r="EY89" s="231"/>
      <c r="EZ89" s="231"/>
      <c r="FA89" s="231"/>
      <c r="FB89" s="231"/>
      <c r="FC89" s="231"/>
      <c r="FD89" s="231"/>
      <c r="FE89" s="231"/>
      <c r="FF89" s="231"/>
      <c r="FG89" s="231"/>
      <c r="FH89" s="231"/>
      <c r="FI89" s="231"/>
      <c r="FJ89" s="231"/>
      <c r="FK89" s="231"/>
      <c r="FL89" s="231"/>
      <c r="FM89" s="231"/>
      <c r="FN89" s="231"/>
      <c r="FO89" s="231"/>
      <c r="FP89" s="231"/>
      <c r="FQ89" s="231"/>
      <c r="FR89" s="231"/>
      <c r="FS89" s="231"/>
      <c r="FT89" s="231"/>
      <c r="FU89" s="231"/>
      <c r="FV89" s="231"/>
      <c r="FW89" s="231"/>
      <c r="FX89" s="231"/>
      <c r="FY89" s="231"/>
      <c r="FZ89" s="231"/>
      <c r="GA89" s="231"/>
      <c r="GB89" s="231"/>
      <c r="GC89" s="231"/>
      <c r="GD89" s="231"/>
      <c r="GE89" s="231"/>
      <c r="GF89" s="231"/>
      <c r="GG89" s="231"/>
      <c r="GH89" s="231"/>
      <c r="GI89" s="231"/>
      <c r="GJ89" s="231"/>
      <c r="GK89" s="231"/>
      <c r="GL89" s="231"/>
      <c r="GM89" s="231"/>
      <c r="GN89" s="231"/>
      <c r="GO89" s="231"/>
      <c r="GP89" s="231"/>
      <c r="GQ89" s="231"/>
      <c r="GR89" s="231"/>
      <c r="GS89" s="231"/>
      <c r="GT89" s="231"/>
      <c r="GU89" s="231"/>
      <c r="GV89" s="231"/>
      <c r="GW89" s="231"/>
      <c r="GX89" s="231"/>
      <c r="GY89" s="231"/>
      <c r="GZ89" s="231"/>
      <c r="HA89" s="231"/>
      <c r="HB89" s="231"/>
      <c r="HC89" s="231"/>
      <c r="HD89" s="231"/>
      <c r="HE89" s="231"/>
      <c r="HF89" s="231"/>
      <c r="HG89" s="231"/>
      <c r="HH89" s="231"/>
      <c r="HI89" s="231"/>
      <c r="HJ89" s="231"/>
      <c r="HK89" s="231"/>
      <c r="HL89" s="231"/>
      <c r="HM89" s="231"/>
      <c r="HN89" s="231"/>
      <c r="HO89" s="231"/>
      <c r="HP89" s="231"/>
      <c r="HQ89" s="231"/>
      <c r="HR89" s="231"/>
      <c r="HS89" s="231"/>
      <c r="HT89" s="231"/>
      <c r="HU89" s="231"/>
      <c r="HV89" s="231"/>
      <c r="HW89" s="231"/>
      <c r="HX89" s="231"/>
      <c r="HY89" s="231"/>
      <c r="HZ89" s="231"/>
      <c r="IA89" s="231"/>
    </row>
    <row r="90" spans="1:236" s="232" customFormat="1" ht="13.15" customHeight="1">
      <c r="A90" s="223"/>
      <c r="B90" s="254">
        <v>74</v>
      </c>
      <c r="C90" s="684"/>
      <c r="D90" s="259" t="s">
        <v>226</v>
      </c>
      <c r="E90" s="114" t="s">
        <v>29</v>
      </c>
      <c r="F90" s="260">
        <v>519.70699999999999</v>
      </c>
      <c r="G90" s="261">
        <f>-90+2335-27-29-18-22-10</f>
        <v>2139</v>
      </c>
      <c r="H90" s="473">
        <f t="shared" si="9"/>
        <v>2658.7069999999999</v>
      </c>
      <c r="I90" s="262">
        <v>1721.134</v>
      </c>
      <c r="J90" s="262">
        <v>65.521000000000001</v>
      </c>
      <c r="K90" s="258">
        <v>1959.7629999999999</v>
      </c>
      <c r="L90" s="114">
        <f t="shared" si="8"/>
        <v>-1087.7109999999998</v>
      </c>
      <c r="M90" s="227">
        <f t="shared" si="7"/>
        <v>1.4091127754957578</v>
      </c>
      <c r="N90" s="483">
        <f>+'IC ANCH-SARC VIII'!O77</f>
        <v>43564</v>
      </c>
      <c r="O90" s="578"/>
      <c r="P90" s="578"/>
      <c r="Q90" s="578"/>
      <c r="R90" s="578"/>
      <c r="S90" s="578"/>
      <c r="T90" s="229"/>
      <c r="U90" s="229"/>
      <c r="V90" s="229"/>
      <c r="W90" s="229"/>
      <c r="X90" s="229"/>
      <c r="Y90" s="229"/>
      <c r="Z90" s="229"/>
      <c r="AA90" s="229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1"/>
      <c r="DE90" s="231"/>
      <c r="DF90" s="231"/>
      <c r="DG90" s="231"/>
      <c r="DH90" s="231"/>
      <c r="DI90" s="231"/>
      <c r="DJ90" s="231"/>
      <c r="DK90" s="231"/>
      <c r="DL90" s="231"/>
      <c r="DM90" s="231"/>
      <c r="DN90" s="231"/>
      <c r="DO90" s="231"/>
      <c r="DP90" s="231"/>
      <c r="DQ90" s="231"/>
      <c r="DR90" s="231"/>
      <c r="DS90" s="231"/>
      <c r="DT90" s="231"/>
      <c r="DU90" s="231"/>
      <c r="DV90" s="231"/>
      <c r="DW90" s="231"/>
      <c r="DX90" s="231"/>
      <c r="DY90" s="231"/>
      <c r="DZ90" s="231"/>
      <c r="EA90" s="231"/>
      <c r="EB90" s="231"/>
      <c r="EC90" s="231"/>
      <c r="ED90" s="231"/>
      <c r="EE90" s="231"/>
      <c r="EF90" s="231"/>
      <c r="EG90" s="231"/>
      <c r="EH90" s="231"/>
      <c r="EI90" s="231"/>
      <c r="EJ90" s="231"/>
      <c r="EK90" s="231"/>
      <c r="EL90" s="231"/>
      <c r="EM90" s="231"/>
      <c r="EN90" s="231"/>
      <c r="EO90" s="231"/>
      <c r="EP90" s="231"/>
      <c r="EQ90" s="231"/>
      <c r="ER90" s="231"/>
      <c r="ES90" s="231"/>
      <c r="ET90" s="231"/>
      <c r="EU90" s="231"/>
      <c r="EV90" s="231"/>
      <c r="EW90" s="231"/>
      <c r="EX90" s="231"/>
      <c r="EY90" s="231"/>
      <c r="EZ90" s="231"/>
      <c r="FA90" s="231"/>
      <c r="FB90" s="231"/>
      <c r="FC90" s="231"/>
      <c r="FD90" s="231"/>
      <c r="FE90" s="231"/>
      <c r="FF90" s="231"/>
      <c r="FG90" s="231"/>
      <c r="FH90" s="231"/>
      <c r="FI90" s="231"/>
      <c r="FJ90" s="231"/>
      <c r="FK90" s="231"/>
      <c r="FL90" s="231"/>
      <c r="FM90" s="231"/>
      <c r="FN90" s="231"/>
      <c r="FO90" s="231"/>
      <c r="FP90" s="231"/>
      <c r="FQ90" s="231"/>
      <c r="FR90" s="231"/>
      <c r="FS90" s="231"/>
      <c r="FT90" s="231"/>
      <c r="FU90" s="231"/>
      <c r="FV90" s="231"/>
      <c r="FW90" s="231"/>
      <c r="FX90" s="231"/>
      <c r="FY90" s="231"/>
      <c r="FZ90" s="231"/>
      <c r="GA90" s="231"/>
      <c r="GB90" s="231"/>
      <c r="GC90" s="231"/>
      <c r="GD90" s="231"/>
      <c r="GE90" s="231"/>
      <c r="GF90" s="231"/>
      <c r="GG90" s="231"/>
      <c r="GH90" s="231"/>
      <c r="GI90" s="231"/>
      <c r="GJ90" s="231"/>
      <c r="GK90" s="231"/>
      <c r="GL90" s="231"/>
      <c r="GM90" s="231"/>
      <c r="GN90" s="231"/>
      <c r="GO90" s="231"/>
      <c r="GP90" s="231"/>
      <c r="GQ90" s="231"/>
      <c r="GR90" s="231"/>
      <c r="GS90" s="231"/>
      <c r="GT90" s="231"/>
      <c r="GU90" s="231"/>
      <c r="GV90" s="231"/>
      <c r="GW90" s="231"/>
      <c r="GX90" s="231"/>
      <c r="GY90" s="231"/>
      <c r="GZ90" s="231"/>
      <c r="HA90" s="231"/>
      <c r="HB90" s="231"/>
      <c r="HC90" s="231"/>
      <c r="HD90" s="231"/>
      <c r="HE90" s="231"/>
      <c r="HF90" s="231"/>
      <c r="HG90" s="231"/>
      <c r="HH90" s="231"/>
      <c r="HI90" s="231"/>
      <c r="HJ90" s="231"/>
      <c r="HK90" s="231"/>
      <c r="HL90" s="231"/>
      <c r="HM90" s="231"/>
      <c r="HN90" s="231"/>
      <c r="HO90" s="231"/>
      <c r="HP90" s="231"/>
      <c r="HQ90" s="231"/>
      <c r="HR90" s="231"/>
      <c r="HS90" s="231"/>
      <c r="HT90" s="231"/>
      <c r="HU90" s="231"/>
      <c r="HV90" s="231"/>
      <c r="HW90" s="231"/>
      <c r="HX90" s="231"/>
      <c r="HY90" s="231"/>
      <c r="HZ90" s="231"/>
      <c r="IA90" s="231"/>
    </row>
    <row r="91" spans="1:236" s="232" customFormat="1" ht="13.15" customHeight="1">
      <c r="A91" s="223"/>
      <c r="B91" s="254">
        <v>75</v>
      </c>
      <c r="C91" s="684"/>
      <c r="D91" s="259" t="s">
        <v>562</v>
      </c>
      <c r="E91" s="114" t="s">
        <v>29</v>
      </c>
      <c r="F91" s="260">
        <v>2508.386</v>
      </c>
      <c r="G91" s="261">
        <f>54.56+299-386.35-77.37-400.3</f>
        <v>-510.46000000000004</v>
      </c>
      <c r="H91" s="260">
        <f t="shared" si="9"/>
        <v>1997.9259999999999</v>
      </c>
      <c r="I91" s="262">
        <v>965.44</v>
      </c>
      <c r="J91" s="262">
        <v>0</v>
      </c>
      <c r="K91" s="258">
        <v>0</v>
      </c>
      <c r="L91" s="114">
        <f t="shared" si="8"/>
        <v>1032.4859999999999</v>
      </c>
      <c r="M91" s="227">
        <f t="shared" si="7"/>
        <v>0.48322110028099141</v>
      </c>
      <c r="N91" s="228" t="str">
        <f>+'IC ANCH-SARC VIII'!O78</f>
        <v>-</v>
      </c>
      <c r="O91" s="578"/>
      <c r="P91" s="578"/>
      <c r="Q91" s="578"/>
      <c r="R91" s="578"/>
      <c r="S91" s="578"/>
      <c r="T91" s="229"/>
      <c r="U91" s="229"/>
      <c r="V91" s="229"/>
      <c r="W91" s="229"/>
      <c r="X91" s="229"/>
      <c r="Y91" s="229"/>
      <c r="Z91" s="229"/>
      <c r="AA91" s="229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  <c r="EN91" s="231"/>
      <c r="EO91" s="231"/>
      <c r="EP91" s="231"/>
      <c r="EQ91" s="231"/>
      <c r="ER91" s="231"/>
      <c r="ES91" s="231"/>
      <c r="ET91" s="231"/>
      <c r="EU91" s="231"/>
      <c r="EV91" s="231"/>
      <c r="EW91" s="231"/>
      <c r="EX91" s="231"/>
      <c r="EY91" s="231"/>
      <c r="EZ91" s="231"/>
      <c r="FA91" s="231"/>
      <c r="FB91" s="231"/>
      <c r="FC91" s="231"/>
      <c r="FD91" s="231"/>
      <c r="FE91" s="231"/>
      <c r="FF91" s="231"/>
      <c r="FG91" s="231"/>
      <c r="FH91" s="231"/>
      <c r="FI91" s="231"/>
      <c r="FJ91" s="231"/>
      <c r="FK91" s="231"/>
      <c r="FL91" s="231"/>
      <c r="FM91" s="231"/>
      <c r="FN91" s="231"/>
      <c r="FO91" s="231"/>
      <c r="FP91" s="231"/>
      <c r="FQ91" s="231"/>
      <c r="FR91" s="231"/>
      <c r="FS91" s="231"/>
      <c r="FT91" s="231"/>
      <c r="FU91" s="231"/>
      <c r="FV91" s="231"/>
      <c r="FW91" s="231"/>
      <c r="FX91" s="231"/>
      <c r="FY91" s="231"/>
      <c r="FZ91" s="231"/>
      <c r="GA91" s="231"/>
      <c r="GB91" s="231"/>
      <c r="GC91" s="231"/>
      <c r="GD91" s="231"/>
      <c r="GE91" s="231"/>
      <c r="GF91" s="231"/>
      <c r="GG91" s="231"/>
      <c r="GH91" s="231"/>
      <c r="GI91" s="231"/>
      <c r="GJ91" s="231"/>
      <c r="GK91" s="231"/>
      <c r="GL91" s="231"/>
      <c r="GM91" s="231"/>
      <c r="GN91" s="231"/>
      <c r="GO91" s="231"/>
      <c r="GP91" s="231"/>
      <c r="GQ91" s="231"/>
      <c r="GR91" s="231"/>
      <c r="GS91" s="231"/>
      <c r="GT91" s="231"/>
      <c r="GU91" s="231"/>
      <c r="GV91" s="231"/>
      <c r="GW91" s="231"/>
      <c r="GX91" s="231"/>
      <c r="GY91" s="231"/>
      <c r="GZ91" s="231"/>
      <c r="HA91" s="231"/>
      <c r="HB91" s="231"/>
      <c r="HC91" s="231"/>
      <c r="HD91" s="231"/>
      <c r="HE91" s="231"/>
      <c r="HF91" s="231"/>
      <c r="HG91" s="231"/>
      <c r="HH91" s="231"/>
      <c r="HI91" s="231"/>
      <c r="HJ91" s="231"/>
      <c r="HK91" s="231"/>
      <c r="HL91" s="231"/>
      <c r="HM91" s="231"/>
      <c r="HN91" s="231"/>
      <c r="HO91" s="231"/>
      <c r="HP91" s="231"/>
      <c r="HQ91" s="231"/>
      <c r="HR91" s="231"/>
      <c r="HS91" s="231"/>
      <c r="HT91" s="231"/>
      <c r="HU91" s="231"/>
      <c r="HV91" s="231"/>
      <c r="HW91" s="231"/>
      <c r="HX91" s="231"/>
      <c r="HY91" s="231"/>
      <c r="HZ91" s="231"/>
      <c r="IA91" s="231"/>
    </row>
    <row r="92" spans="1:236" s="277" customFormat="1" ht="13.15" customHeight="1">
      <c r="A92" s="223"/>
      <c r="B92" s="254">
        <v>76</v>
      </c>
      <c r="C92" s="685"/>
      <c r="D92" s="276" t="s">
        <v>151</v>
      </c>
      <c r="E92" s="114" t="s">
        <v>29</v>
      </c>
      <c r="F92" s="260">
        <v>252.047</v>
      </c>
      <c r="G92" s="261"/>
      <c r="H92" s="225">
        <f t="shared" si="9"/>
        <v>252.047</v>
      </c>
      <c r="I92" s="226">
        <v>588.47199999999998</v>
      </c>
      <c r="J92" s="226">
        <v>0</v>
      </c>
      <c r="K92" s="258">
        <v>0</v>
      </c>
      <c r="L92" s="114">
        <f>H92-(I92+J92+K92)</f>
        <v>-336.42499999999995</v>
      </c>
      <c r="M92" s="227">
        <f>+(I92+J92+K92)/H92</f>
        <v>2.3347708959043354</v>
      </c>
      <c r="N92" s="483">
        <f>+'IC ANCH-SARC VIII'!O79</f>
        <v>43533</v>
      </c>
      <c r="O92" s="578"/>
      <c r="P92" s="578"/>
      <c r="Q92" s="578"/>
      <c r="R92" s="578"/>
      <c r="S92" s="578"/>
      <c r="T92" s="253"/>
      <c r="U92" s="253"/>
      <c r="V92" s="253"/>
      <c r="W92" s="253"/>
      <c r="X92" s="253"/>
      <c r="Y92" s="275"/>
      <c r="Z92" s="275"/>
      <c r="AA92" s="275"/>
    </row>
    <row r="93" spans="1:236" s="246" customFormat="1" ht="13.15" customHeight="1">
      <c r="B93" s="224"/>
      <c r="C93" s="278"/>
      <c r="D93" s="279" t="s">
        <v>256</v>
      </c>
      <c r="E93" s="248"/>
      <c r="F93" s="558">
        <f>SUM(F17:F92)</f>
        <v>204759.97700000001</v>
      </c>
      <c r="G93" s="249">
        <f>SUM(G17:G92)</f>
        <v>3748.6900000000005</v>
      </c>
      <c r="H93" s="249">
        <f>+F93+G93</f>
        <v>208508.66700000002</v>
      </c>
      <c r="I93" s="249">
        <f>SUM(I17:I92)</f>
        <v>140245.84699999998</v>
      </c>
      <c r="J93" s="249">
        <f t="shared" ref="J93:K93" si="10">SUM(J17:J92)</f>
        <v>8488.8540000000012</v>
      </c>
      <c r="K93" s="249">
        <f t="shared" si="10"/>
        <v>3493.8209999999999</v>
      </c>
      <c r="L93" s="249">
        <f>H93-(I93+J93+K93)</f>
        <v>56280.145000000048</v>
      </c>
      <c r="M93" s="250">
        <f t="shared" si="7"/>
        <v>0.73008246702761737</v>
      </c>
      <c r="N93" s="251" t="s">
        <v>142</v>
      </c>
      <c r="O93" s="578"/>
      <c r="P93" s="578"/>
      <c r="Q93" s="578"/>
      <c r="R93" s="578"/>
      <c r="S93" s="578"/>
    </row>
    <row r="94" spans="1:236" s="233" customFormat="1" ht="13.15" customHeight="1">
      <c r="A94" s="223"/>
      <c r="B94" s="224"/>
      <c r="C94" s="280" t="s">
        <v>228</v>
      </c>
      <c r="D94" s="281" t="s">
        <v>264</v>
      </c>
      <c r="E94" s="114" t="s">
        <v>29</v>
      </c>
      <c r="F94" s="260">
        <f>+'Resumen Pelagicos'!D38</f>
        <v>3033</v>
      </c>
      <c r="G94" s="545">
        <f>999</f>
        <v>999</v>
      </c>
      <c r="H94" s="225">
        <f>F94+G94</f>
        <v>4032</v>
      </c>
      <c r="I94" s="226">
        <v>4855.0030000000006</v>
      </c>
      <c r="J94" s="226">
        <v>0</v>
      </c>
      <c r="K94" s="258">
        <v>0</v>
      </c>
      <c r="L94" s="114">
        <f t="shared" ref="L94:L117" si="11">H94-(I94+J94+K94)</f>
        <v>-823.00300000000061</v>
      </c>
      <c r="M94" s="227">
        <f>+(I94+J94+K94)/H94</f>
        <v>1.2041178075396828</v>
      </c>
      <c r="N94" s="483">
        <f>+'IC ANCH-SARC V-VII y IX-X'!O17</f>
        <v>43608</v>
      </c>
      <c r="O94" s="578"/>
      <c r="P94" s="578"/>
      <c r="Q94" s="578"/>
      <c r="R94" s="578"/>
      <c r="S94" s="578"/>
      <c r="T94" s="229"/>
      <c r="U94" s="229"/>
      <c r="V94" s="229"/>
      <c r="W94" s="229"/>
      <c r="X94" s="229"/>
      <c r="Y94" s="229"/>
      <c r="Z94" s="229"/>
      <c r="AA94" s="229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230"/>
      <c r="BD94" s="230"/>
      <c r="BE94" s="230"/>
      <c r="BF94" s="230"/>
      <c r="BG94" s="230"/>
      <c r="BH94" s="230"/>
      <c r="BI94" s="230"/>
      <c r="BJ94" s="230"/>
      <c r="BK94" s="230"/>
      <c r="BL94" s="230"/>
      <c r="BM94" s="230"/>
      <c r="BN94" s="230"/>
      <c r="BO94" s="230"/>
      <c r="BP94" s="230"/>
      <c r="BQ94" s="230"/>
      <c r="BR94" s="230"/>
      <c r="BS94" s="230"/>
      <c r="BT94" s="230"/>
      <c r="BU94" s="230"/>
      <c r="BV94" s="230"/>
      <c r="BW94" s="230"/>
      <c r="BX94" s="230"/>
      <c r="BY94" s="230"/>
      <c r="BZ94" s="230"/>
      <c r="CA94" s="230"/>
      <c r="CB94" s="230"/>
      <c r="CC94" s="230"/>
      <c r="CD94" s="230"/>
      <c r="CE94" s="230"/>
      <c r="CF94" s="230"/>
      <c r="CG94" s="230"/>
      <c r="CH94" s="230"/>
      <c r="CI94" s="230"/>
      <c r="CJ94" s="230"/>
      <c r="CK94" s="230"/>
      <c r="CL94" s="230"/>
      <c r="CM94" s="230"/>
      <c r="CN94" s="231"/>
      <c r="CO94" s="231"/>
      <c r="CP94" s="231"/>
      <c r="CQ94" s="231"/>
      <c r="CR94" s="231"/>
      <c r="CS94" s="231"/>
      <c r="CT94" s="231"/>
      <c r="CU94" s="231"/>
      <c r="CV94" s="231"/>
      <c r="CW94" s="231"/>
      <c r="CX94" s="231"/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1"/>
      <c r="DK94" s="231"/>
      <c r="DL94" s="231"/>
      <c r="DM94" s="231"/>
      <c r="DN94" s="231"/>
      <c r="DO94" s="231"/>
      <c r="DP94" s="231"/>
      <c r="DQ94" s="231"/>
      <c r="DR94" s="231"/>
      <c r="DS94" s="231"/>
      <c r="DT94" s="231"/>
      <c r="DU94" s="231"/>
      <c r="DV94" s="231"/>
      <c r="DW94" s="231"/>
      <c r="DX94" s="231"/>
      <c r="DY94" s="231"/>
      <c r="DZ94" s="231"/>
      <c r="EA94" s="231"/>
      <c r="EB94" s="231"/>
      <c r="EC94" s="231"/>
      <c r="ED94" s="231"/>
      <c r="EE94" s="231"/>
      <c r="EF94" s="231"/>
      <c r="EG94" s="231"/>
      <c r="EH94" s="231"/>
      <c r="EI94" s="231"/>
      <c r="EJ94" s="231"/>
      <c r="EK94" s="231"/>
      <c r="EL94" s="231"/>
      <c r="EM94" s="231"/>
      <c r="EN94" s="231"/>
      <c r="EO94" s="231"/>
      <c r="EP94" s="231"/>
      <c r="EQ94" s="231"/>
      <c r="ER94" s="231"/>
      <c r="ES94" s="231"/>
      <c r="ET94" s="231"/>
      <c r="EU94" s="231"/>
      <c r="EV94" s="231"/>
      <c r="EW94" s="231"/>
      <c r="EX94" s="231"/>
      <c r="EY94" s="231"/>
      <c r="EZ94" s="231"/>
      <c r="FA94" s="231"/>
      <c r="FB94" s="231"/>
      <c r="FC94" s="231"/>
      <c r="FD94" s="231"/>
      <c r="FE94" s="231"/>
      <c r="FF94" s="231"/>
      <c r="FG94" s="231"/>
      <c r="FH94" s="231"/>
      <c r="FI94" s="231"/>
      <c r="FJ94" s="231"/>
      <c r="FK94" s="231"/>
      <c r="FL94" s="231"/>
      <c r="FM94" s="231"/>
      <c r="FN94" s="231"/>
      <c r="FO94" s="231"/>
      <c r="FP94" s="231"/>
      <c r="FQ94" s="231"/>
      <c r="FR94" s="231"/>
      <c r="FS94" s="231"/>
      <c r="FT94" s="231"/>
      <c r="FU94" s="231"/>
      <c r="FV94" s="231"/>
      <c r="FW94" s="231"/>
      <c r="FX94" s="231"/>
      <c r="FY94" s="231"/>
      <c r="FZ94" s="231"/>
      <c r="GA94" s="231"/>
      <c r="GB94" s="231"/>
      <c r="GC94" s="231"/>
      <c r="GD94" s="231"/>
      <c r="GE94" s="231"/>
      <c r="GF94" s="231"/>
      <c r="GG94" s="231"/>
      <c r="GH94" s="231"/>
      <c r="GI94" s="231"/>
      <c r="GJ94" s="231"/>
      <c r="GK94" s="231"/>
      <c r="GL94" s="231"/>
      <c r="GM94" s="231"/>
      <c r="GN94" s="231"/>
      <c r="GO94" s="231"/>
      <c r="GP94" s="231"/>
      <c r="GQ94" s="231"/>
      <c r="GR94" s="231"/>
      <c r="GS94" s="231"/>
      <c r="GT94" s="231"/>
      <c r="GU94" s="231"/>
      <c r="GV94" s="231"/>
      <c r="GW94" s="231"/>
      <c r="GX94" s="231"/>
      <c r="GY94" s="231"/>
      <c r="GZ94" s="231"/>
      <c r="HA94" s="231"/>
      <c r="HB94" s="231"/>
      <c r="HC94" s="231"/>
      <c r="HD94" s="231"/>
      <c r="HE94" s="231"/>
      <c r="HF94" s="231"/>
      <c r="HG94" s="231"/>
      <c r="HH94" s="231"/>
      <c r="HI94" s="231"/>
      <c r="HJ94" s="231"/>
      <c r="HK94" s="231"/>
      <c r="HL94" s="231"/>
      <c r="HM94" s="231"/>
      <c r="HN94" s="231"/>
      <c r="HO94" s="231"/>
      <c r="HP94" s="231"/>
      <c r="HQ94" s="231"/>
      <c r="HR94" s="231"/>
      <c r="HS94" s="231"/>
      <c r="HT94" s="231"/>
      <c r="HU94" s="231"/>
      <c r="HV94" s="231"/>
      <c r="HW94" s="231"/>
      <c r="HX94" s="231"/>
      <c r="HY94" s="231"/>
      <c r="HZ94" s="231"/>
      <c r="IA94" s="231"/>
      <c r="IB94" s="232"/>
    </row>
    <row r="95" spans="1:236" s="246" customFormat="1" ht="13.15" customHeight="1">
      <c r="B95" s="224"/>
      <c r="C95" s="278"/>
      <c r="D95" s="279" t="s">
        <v>256</v>
      </c>
      <c r="E95" s="248"/>
      <c r="F95" s="249">
        <f>SUM(F94:F94)</f>
        <v>3033</v>
      </c>
      <c r="G95" s="249">
        <f>SUM(G94:G94)</f>
        <v>999</v>
      </c>
      <c r="H95" s="249">
        <f>+F95+G95</f>
        <v>4032</v>
      </c>
      <c r="I95" s="249">
        <f>SUM(I94:I94)</f>
        <v>4855.0030000000006</v>
      </c>
      <c r="J95" s="249">
        <f>SUM(J94)</f>
        <v>0</v>
      </c>
      <c r="K95" s="249">
        <f>SUM(K94)</f>
        <v>0</v>
      </c>
      <c r="L95" s="249">
        <f t="shared" si="11"/>
        <v>-823.00300000000061</v>
      </c>
      <c r="M95" s="250">
        <f>+(I95+J95+K95)/H95</f>
        <v>1.2041178075396828</v>
      </c>
      <c r="N95" s="251" t="s">
        <v>142</v>
      </c>
      <c r="O95" s="578"/>
      <c r="P95" s="578"/>
      <c r="Q95" s="578"/>
      <c r="R95" s="578"/>
      <c r="S95" s="578"/>
    </row>
    <row r="96" spans="1:236" s="233" customFormat="1" ht="13.15" customHeight="1">
      <c r="A96" s="223"/>
      <c r="B96" s="224">
        <v>1</v>
      </c>
      <c r="C96" s="686" t="s">
        <v>265</v>
      </c>
      <c r="D96" s="282" t="s">
        <v>230</v>
      </c>
      <c r="E96" s="114">
        <v>5.7142999999999997</v>
      </c>
      <c r="F96" s="260">
        <v>2252.2759999999998</v>
      </c>
      <c r="G96" s="261"/>
      <c r="H96" s="225">
        <f t="shared" ref="H96:H106" si="12">F96+G96</f>
        <v>2252.2759999999998</v>
      </c>
      <c r="I96" s="262">
        <v>2112.21</v>
      </c>
      <c r="J96" s="226">
        <v>0</v>
      </c>
      <c r="K96" s="258">
        <v>0</v>
      </c>
      <c r="L96" s="114">
        <f t="shared" si="11"/>
        <v>140.0659999999998</v>
      </c>
      <c r="M96" s="227">
        <f>+(I96+J96+K96)/H96</f>
        <v>0.93781135171710761</v>
      </c>
      <c r="N96" s="283" t="str">
        <f>+'IC ANCH-SARC V-VII y IX-X'!O19</f>
        <v>-</v>
      </c>
      <c r="O96" s="578"/>
      <c r="P96" s="578"/>
      <c r="Q96" s="578"/>
      <c r="R96" s="578"/>
      <c r="S96" s="578"/>
      <c r="T96" s="229"/>
      <c r="U96" s="229"/>
      <c r="V96" s="229"/>
      <c r="W96" s="229"/>
      <c r="X96" s="229"/>
      <c r="Y96" s="229"/>
      <c r="Z96" s="229"/>
      <c r="AA96" s="229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  <c r="BG96" s="230"/>
      <c r="BH96" s="230"/>
      <c r="BI96" s="230"/>
      <c r="BJ96" s="230"/>
      <c r="BK96" s="230"/>
      <c r="BL96" s="230"/>
      <c r="BM96" s="230"/>
      <c r="BN96" s="230"/>
      <c r="BO96" s="230"/>
      <c r="BP96" s="230"/>
      <c r="BQ96" s="230"/>
      <c r="BR96" s="230"/>
      <c r="BS96" s="230"/>
      <c r="BT96" s="230"/>
      <c r="BU96" s="230"/>
      <c r="BV96" s="230"/>
      <c r="BW96" s="230"/>
      <c r="BX96" s="230"/>
      <c r="BY96" s="230"/>
      <c r="BZ96" s="230"/>
      <c r="CA96" s="230"/>
      <c r="CB96" s="230"/>
      <c r="CC96" s="230"/>
      <c r="CD96" s="230"/>
      <c r="CE96" s="230"/>
      <c r="CF96" s="230"/>
      <c r="CG96" s="230"/>
      <c r="CH96" s="230"/>
      <c r="CI96" s="230"/>
      <c r="CJ96" s="230"/>
      <c r="CK96" s="230"/>
      <c r="CL96" s="230"/>
      <c r="CM96" s="230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1"/>
      <c r="DK96" s="231"/>
      <c r="DL96" s="231"/>
      <c r="DM96" s="23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  <c r="EK96" s="231"/>
      <c r="EL96" s="231"/>
      <c r="EM96" s="231"/>
      <c r="EN96" s="231"/>
      <c r="EO96" s="231"/>
      <c r="EP96" s="231"/>
      <c r="EQ96" s="231"/>
      <c r="ER96" s="231"/>
      <c r="ES96" s="231"/>
      <c r="ET96" s="231"/>
      <c r="EU96" s="231"/>
      <c r="EV96" s="231"/>
      <c r="EW96" s="231"/>
      <c r="EX96" s="231"/>
      <c r="EY96" s="231"/>
      <c r="EZ96" s="231"/>
      <c r="FA96" s="231"/>
      <c r="FB96" s="231"/>
      <c r="FC96" s="231"/>
      <c r="FD96" s="231"/>
      <c r="FE96" s="231"/>
      <c r="FF96" s="231"/>
      <c r="FG96" s="231"/>
      <c r="FH96" s="231"/>
      <c r="FI96" s="231"/>
      <c r="FJ96" s="231"/>
      <c r="FK96" s="231"/>
      <c r="FL96" s="231"/>
      <c r="FM96" s="231"/>
      <c r="FN96" s="231"/>
      <c r="FO96" s="231"/>
      <c r="FP96" s="231"/>
      <c r="FQ96" s="231"/>
      <c r="FR96" s="231"/>
      <c r="FS96" s="231"/>
      <c r="FT96" s="231"/>
      <c r="FU96" s="231"/>
      <c r="FV96" s="231"/>
      <c r="FW96" s="231"/>
      <c r="FX96" s="231"/>
      <c r="FY96" s="231"/>
      <c r="FZ96" s="231"/>
      <c r="GA96" s="231"/>
      <c r="GB96" s="231"/>
      <c r="GC96" s="231"/>
      <c r="GD96" s="231"/>
      <c r="GE96" s="231"/>
      <c r="GF96" s="231"/>
      <c r="GG96" s="231"/>
      <c r="GH96" s="231"/>
      <c r="GI96" s="231"/>
      <c r="GJ96" s="231"/>
      <c r="GK96" s="231"/>
      <c r="GL96" s="231"/>
      <c r="GM96" s="231"/>
      <c r="GN96" s="231"/>
      <c r="GO96" s="231"/>
      <c r="GP96" s="231"/>
      <c r="GQ96" s="231"/>
      <c r="GR96" s="231"/>
      <c r="GS96" s="231"/>
      <c r="GT96" s="231"/>
      <c r="GU96" s="231"/>
      <c r="GV96" s="231"/>
      <c r="GW96" s="231"/>
      <c r="GX96" s="231"/>
      <c r="GY96" s="231"/>
      <c r="GZ96" s="231"/>
      <c r="HA96" s="231"/>
      <c r="HB96" s="231"/>
      <c r="HC96" s="231"/>
      <c r="HD96" s="231"/>
      <c r="HE96" s="231"/>
      <c r="HF96" s="231"/>
      <c r="HG96" s="231"/>
      <c r="HH96" s="231"/>
      <c r="HI96" s="231"/>
      <c r="HJ96" s="231"/>
      <c r="HK96" s="231"/>
      <c r="HL96" s="231"/>
      <c r="HM96" s="231"/>
      <c r="HN96" s="231"/>
      <c r="HO96" s="231"/>
      <c r="HP96" s="231"/>
      <c r="HQ96" s="231"/>
      <c r="HR96" s="231"/>
      <c r="HS96" s="231"/>
      <c r="HT96" s="231"/>
      <c r="HU96" s="231"/>
      <c r="HV96" s="231"/>
      <c r="HW96" s="231"/>
      <c r="HX96" s="231"/>
      <c r="HY96" s="231"/>
      <c r="HZ96" s="231"/>
      <c r="IA96" s="231"/>
      <c r="IB96" s="232"/>
    </row>
    <row r="97" spans="1:236" s="233" customFormat="1" ht="13.15" customHeight="1">
      <c r="A97" s="223"/>
      <c r="B97" s="224">
        <v>2</v>
      </c>
      <c r="C97" s="686"/>
      <c r="D97" s="282" t="s">
        <v>231</v>
      </c>
      <c r="E97" s="114">
        <v>20.391300000000001</v>
      </c>
      <c r="F97" s="260">
        <v>4015.627</v>
      </c>
      <c r="G97" s="261"/>
      <c r="H97" s="225">
        <f t="shared" si="12"/>
        <v>4015.627</v>
      </c>
      <c r="I97" s="262">
        <v>3992.32</v>
      </c>
      <c r="J97" s="226">
        <v>0</v>
      </c>
      <c r="K97" s="258">
        <v>0</v>
      </c>
      <c r="L97" s="114">
        <f t="shared" si="11"/>
        <v>23.306999999999789</v>
      </c>
      <c r="M97" s="227">
        <f t="shared" si="7"/>
        <v>0.99419592506973387</v>
      </c>
      <c r="N97" s="283" t="str">
        <f>+'IC ANCH-SARC V-VII y IX-X'!O20</f>
        <v>-</v>
      </c>
      <c r="O97" s="578"/>
      <c r="P97" s="578"/>
      <c r="Q97" s="578"/>
      <c r="R97" s="578"/>
      <c r="S97" s="578"/>
      <c r="T97" s="229"/>
      <c r="U97" s="229"/>
      <c r="V97" s="229"/>
      <c r="W97" s="229"/>
      <c r="X97" s="229"/>
      <c r="Y97" s="229"/>
      <c r="Z97" s="229"/>
      <c r="AA97" s="229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30"/>
      <c r="BG97" s="230"/>
      <c r="BH97" s="230"/>
      <c r="BI97" s="230"/>
      <c r="BJ97" s="230"/>
      <c r="BK97" s="230"/>
      <c r="BL97" s="230"/>
      <c r="BM97" s="230"/>
      <c r="BN97" s="230"/>
      <c r="BO97" s="230"/>
      <c r="BP97" s="230"/>
      <c r="BQ97" s="230"/>
      <c r="BR97" s="230"/>
      <c r="BS97" s="230"/>
      <c r="BT97" s="230"/>
      <c r="BU97" s="230"/>
      <c r="BV97" s="230"/>
      <c r="BW97" s="230"/>
      <c r="BX97" s="230"/>
      <c r="BY97" s="230"/>
      <c r="BZ97" s="230"/>
      <c r="CA97" s="230"/>
      <c r="CB97" s="230"/>
      <c r="CC97" s="230"/>
      <c r="CD97" s="230"/>
      <c r="CE97" s="230"/>
      <c r="CF97" s="230"/>
      <c r="CG97" s="230"/>
      <c r="CH97" s="230"/>
      <c r="CI97" s="230"/>
      <c r="CJ97" s="230"/>
      <c r="CK97" s="230"/>
      <c r="CL97" s="230"/>
      <c r="CM97" s="230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1"/>
      <c r="DE97" s="231"/>
      <c r="DF97" s="231"/>
      <c r="DG97" s="231"/>
      <c r="DH97" s="231"/>
      <c r="DI97" s="231"/>
      <c r="DJ97" s="231"/>
      <c r="DK97" s="231"/>
      <c r="DL97" s="231"/>
      <c r="DM97" s="231"/>
      <c r="DN97" s="231"/>
      <c r="DO97" s="231"/>
      <c r="DP97" s="231"/>
      <c r="DQ97" s="231"/>
      <c r="DR97" s="231"/>
      <c r="DS97" s="231"/>
      <c r="DT97" s="231"/>
      <c r="DU97" s="231"/>
      <c r="DV97" s="231"/>
      <c r="DW97" s="231"/>
      <c r="DX97" s="231"/>
      <c r="DY97" s="231"/>
      <c r="DZ97" s="231"/>
      <c r="EA97" s="231"/>
      <c r="EB97" s="231"/>
      <c r="EC97" s="231"/>
      <c r="ED97" s="231"/>
      <c r="EE97" s="231"/>
      <c r="EF97" s="231"/>
      <c r="EG97" s="231"/>
      <c r="EH97" s="231"/>
      <c r="EI97" s="231"/>
      <c r="EJ97" s="231"/>
      <c r="EK97" s="231"/>
      <c r="EL97" s="231"/>
      <c r="EM97" s="231"/>
      <c r="EN97" s="231"/>
      <c r="EO97" s="231"/>
      <c r="EP97" s="231"/>
      <c r="EQ97" s="231"/>
      <c r="ER97" s="231"/>
      <c r="ES97" s="231"/>
      <c r="ET97" s="231"/>
      <c r="EU97" s="231"/>
      <c r="EV97" s="231"/>
      <c r="EW97" s="231"/>
      <c r="EX97" s="231"/>
      <c r="EY97" s="231"/>
      <c r="EZ97" s="231"/>
      <c r="FA97" s="231"/>
      <c r="FB97" s="231"/>
      <c r="FC97" s="231"/>
      <c r="FD97" s="231"/>
      <c r="FE97" s="231"/>
      <c r="FF97" s="231"/>
      <c r="FG97" s="231"/>
      <c r="FH97" s="231"/>
      <c r="FI97" s="231"/>
      <c r="FJ97" s="231"/>
      <c r="FK97" s="231"/>
      <c r="FL97" s="231"/>
      <c r="FM97" s="231"/>
      <c r="FN97" s="231"/>
      <c r="FO97" s="231"/>
      <c r="FP97" s="231"/>
      <c r="FQ97" s="231"/>
      <c r="FR97" s="231"/>
      <c r="FS97" s="231"/>
      <c r="FT97" s="231"/>
      <c r="FU97" s="231"/>
      <c r="FV97" s="231"/>
      <c r="FW97" s="231"/>
      <c r="FX97" s="231"/>
      <c r="FY97" s="231"/>
      <c r="FZ97" s="231"/>
      <c r="GA97" s="231"/>
      <c r="GB97" s="231"/>
      <c r="GC97" s="231"/>
      <c r="GD97" s="231"/>
      <c r="GE97" s="231"/>
      <c r="GF97" s="231"/>
      <c r="GG97" s="231"/>
      <c r="GH97" s="231"/>
      <c r="GI97" s="231"/>
      <c r="GJ97" s="231"/>
      <c r="GK97" s="231"/>
      <c r="GL97" s="231"/>
      <c r="GM97" s="231"/>
      <c r="GN97" s="231"/>
      <c r="GO97" s="231"/>
      <c r="GP97" s="231"/>
      <c r="GQ97" s="231"/>
      <c r="GR97" s="231"/>
      <c r="GS97" s="231"/>
      <c r="GT97" s="231"/>
      <c r="GU97" s="231"/>
      <c r="GV97" s="231"/>
      <c r="GW97" s="231"/>
      <c r="GX97" s="231"/>
      <c r="GY97" s="231"/>
      <c r="GZ97" s="231"/>
      <c r="HA97" s="231"/>
      <c r="HB97" s="231"/>
      <c r="HC97" s="231"/>
      <c r="HD97" s="231"/>
      <c r="HE97" s="231"/>
      <c r="HF97" s="231"/>
      <c r="HG97" s="231"/>
      <c r="HH97" s="231"/>
      <c r="HI97" s="231"/>
      <c r="HJ97" s="231"/>
      <c r="HK97" s="231"/>
      <c r="HL97" s="231"/>
      <c r="HM97" s="231"/>
      <c r="HN97" s="231"/>
      <c r="HO97" s="231"/>
      <c r="HP97" s="231"/>
      <c r="HQ97" s="231"/>
      <c r="HR97" s="231"/>
      <c r="HS97" s="231"/>
      <c r="HT97" s="231"/>
      <c r="HU97" s="231"/>
      <c r="HV97" s="231"/>
      <c r="HW97" s="231"/>
      <c r="HX97" s="231"/>
      <c r="HY97" s="231"/>
      <c r="HZ97" s="231"/>
      <c r="IA97" s="231"/>
      <c r="IB97" s="232"/>
    </row>
    <row r="98" spans="1:236" s="233" customFormat="1" ht="13.15" customHeight="1">
      <c r="A98" s="223"/>
      <c r="B98" s="224">
        <v>3</v>
      </c>
      <c r="C98" s="686"/>
      <c r="D98" s="282" t="s">
        <v>232</v>
      </c>
      <c r="E98" s="114">
        <v>25.734500000000001</v>
      </c>
      <c r="F98" s="260">
        <v>3181.3420000000001</v>
      </c>
      <c r="G98" s="261"/>
      <c r="H98" s="225">
        <f t="shared" si="12"/>
        <v>3181.3420000000001</v>
      </c>
      <c r="I98" s="226">
        <v>3378.5569999999998</v>
      </c>
      <c r="J98" s="226">
        <v>0</v>
      </c>
      <c r="K98" s="258">
        <v>0</v>
      </c>
      <c r="L98" s="114">
        <f t="shared" si="11"/>
        <v>-197.21499999999969</v>
      </c>
      <c r="M98" s="227">
        <f t="shared" si="7"/>
        <v>1.0619911345589377</v>
      </c>
      <c r="N98" s="283" t="str">
        <f>+'IC ANCH-SARC V-VII y IX-X'!O21</f>
        <v>-</v>
      </c>
      <c r="O98" s="578"/>
      <c r="P98" s="578"/>
      <c r="Q98" s="578"/>
      <c r="R98" s="578"/>
      <c r="S98" s="578"/>
      <c r="T98" s="229"/>
      <c r="U98" s="229"/>
      <c r="V98" s="229"/>
      <c r="W98" s="229"/>
      <c r="X98" s="229"/>
      <c r="Y98" s="229"/>
      <c r="Z98" s="229"/>
      <c r="AA98" s="229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1"/>
      <c r="DE98" s="231"/>
      <c r="DF98" s="231"/>
      <c r="DG98" s="231"/>
      <c r="DH98" s="231"/>
      <c r="DI98" s="231"/>
      <c r="DJ98" s="231"/>
      <c r="DK98" s="231"/>
      <c r="DL98" s="231"/>
      <c r="DM98" s="231"/>
      <c r="DN98" s="231"/>
      <c r="DO98" s="231"/>
      <c r="DP98" s="231"/>
      <c r="DQ98" s="231"/>
      <c r="DR98" s="231"/>
      <c r="DS98" s="231"/>
      <c r="DT98" s="231"/>
      <c r="DU98" s="231"/>
      <c r="DV98" s="231"/>
      <c r="DW98" s="231"/>
      <c r="DX98" s="231"/>
      <c r="DY98" s="231"/>
      <c r="DZ98" s="231"/>
      <c r="EA98" s="231"/>
      <c r="EB98" s="231"/>
      <c r="EC98" s="231"/>
      <c r="ED98" s="231"/>
      <c r="EE98" s="231"/>
      <c r="EF98" s="231"/>
      <c r="EG98" s="231"/>
      <c r="EH98" s="231"/>
      <c r="EI98" s="231"/>
      <c r="EJ98" s="231"/>
      <c r="EK98" s="231"/>
      <c r="EL98" s="231"/>
      <c r="EM98" s="231"/>
      <c r="EN98" s="231"/>
      <c r="EO98" s="231"/>
      <c r="EP98" s="231"/>
      <c r="EQ98" s="231"/>
      <c r="ER98" s="231"/>
      <c r="ES98" s="231"/>
      <c r="ET98" s="231"/>
      <c r="EU98" s="231"/>
      <c r="EV98" s="231"/>
      <c r="EW98" s="231"/>
      <c r="EX98" s="231"/>
      <c r="EY98" s="231"/>
      <c r="EZ98" s="231"/>
      <c r="FA98" s="231"/>
      <c r="FB98" s="231"/>
      <c r="FC98" s="231"/>
      <c r="FD98" s="231"/>
      <c r="FE98" s="231"/>
      <c r="FF98" s="231"/>
      <c r="FG98" s="231"/>
      <c r="FH98" s="231"/>
      <c r="FI98" s="231"/>
      <c r="FJ98" s="231"/>
      <c r="FK98" s="231"/>
      <c r="FL98" s="231"/>
      <c r="FM98" s="231"/>
      <c r="FN98" s="231"/>
      <c r="FO98" s="231"/>
      <c r="FP98" s="231"/>
      <c r="FQ98" s="231"/>
      <c r="FR98" s="231"/>
      <c r="FS98" s="231"/>
      <c r="FT98" s="231"/>
      <c r="FU98" s="231"/>
      <c r="FV98" s="231"/>
      <c r="FW98" s="231"/>
      <c r="FX98" s="231"/>
      <c r="FY98" s="231"/>
      <c r="FZ98" s="231"/>
      <c r="GA98" s="231"/>
      <c r="GB98" s="231"/>
      <c r="GC98" s="231"/>
      <c r="GD98" s="231"/>
      <c r="GE98" s="231"/>
      <c r="GF98" s="231"/>
      <c r="GG98" s="231"/>
      <c r="GH98" s="231"/>
      <c r="GI98" s="231"/>
      <c r="GJ98" s="231"/>
      <c r="GK98" s="231"/>
      <c r="GL98" s="231"/>
      <c r="GM98" s="231"/>
      <c r="GN98" s="231"/>
      <c r="GO98" s="231"/>
      <c r="GP98" s="231"/>
      <c r="GQ98" s="231"/>
      <c r="GR98" s="231"/>
      <c r="GS98" s="231"/>
      <c r="GT98" s="231"/>
      <c r="GU98" s="231"/>
      <c r="GV98" s="231"/>
      <c r="GW98" s="231"/>
      <c r="GX98" s="231"/>
      <c r="GY98" s="231"/>
      <c r="GZ98" s="231"/>
      <c r="HA98" s="231"/>
      <c r="HB98" s="231"/>
      <c r="HC98" s="231"/>
      <c r="HD98" s="231"/>
      <c r="HE98" s="231"/>
      <c r="HF98" s="231"/>
      <c r="HG98" s="231"/>
      <c r="HH98" s="231"/>
      <c r="HI98" s="231"/>
      <c r="HJ98" s="231"/>
      <c r="HK98" s="231"/>
      <c r="HL98" s="231"/>
      <c r="HM98" s="231"/>
      <c r="HN98" s="231"/>
      <c r="HO98" s="231"/>
      <c r="HP98" s="231"/>
      <c r="HQ98" s="231"/>
      <c r="HR98" s="231"/>
      <c r="HS98" s="231"/>
      <c r="HT98" s="231"/>
      <c r="HU98" s="231"/>
      <c r="HV98" s="231"/>
      <c r="HW98" s="231"/>
      <c r="HX98" s="231"/>
      <c r="HY98" s="231"/>
      <c r="HZ98" s="231"/>
      <c r="IA98" s="231"/>
      <c r="IB98" s="232"/>
    </row>
    <row r="99" spans="1:236" s="233" customFormat="1" ht="13.15" customHeight="1">
      <c r="A99" s="223"/>
      <c r="B99" s="224">
        <v>4</v>
      </c>
      <c r="C99" s="686"/>
      <c r="D99" s="282" t="s">
        <v>233</v>
      </c>
      <c r="E99" s="114">
        <v>7.4871999999999996</v>
      </c>
      <c r="F99" s="260">
        <v>2014.88</v>
      </c>
      <c r="G99" s="261">
        <f>-150-150-250-75</f>
        <v>-625</v>
      </c>
      <c r="H99" s="225">
        <f t="shared" si="12"/>
        <v>1389.88</v>
      </c>
      <c r="I99" s="262">
        <v>1052.92</v>
      </c>
      <c r="J99" s="226">
        <v>0</v>
      </c>
      <c r="K99" s="258">
        <v>0</v>
      </c>
      <c r="L99" s="114">
        <f t="shared" si="11"/>
        <v>336.96000000000004</v>
      </c>
      <c r="M99" s="227">
        <f t="shared" si="7"/>
        <v>0.75756180389673933</v>
      </c>
      <c r="N99" s="283" t="str">
        <f>+'IC ANCH-SARC V-VII y IX-X'!O22</f>
        <v>-</v>
      </c>
      <c r="O99" s="578"/>
      <c r="P99" s="578"/>
      <c r="Q99" s="578"/>
      <c r="R99" s="578"/>
      <c r="S99" s="578"/>
      <c r="T99" s="229"/>
      <c r="U99" s="229"/>
      <c r="V99" s="229"/>
      <c r="W99" s="229"/>
      <c r="X99" s="229"/>
      <c r="Y99" s="229"/>
      <c r="Z99" s="229"/>
      <c r="AA99" s="229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30"/>
      <c r="AY99" s="230"/>
      <c r="AZ99" s="230"/>
      <c r="BA99" s="230"/>
      <c r="BB99" s="230"/>
      <c r="BC99" s="230"/>
      <c r="BD99" s="230"/>
      <c r="BE99" s="230"/>
      <c r="BF99" s="230"/>
      <c r="BG99" s="230"/>
      <c r="BH99" s="230"/>
      <c r="BI99" s="230"/>
      <c r="BJ99" s="230"/>
      <c r="BK99" s="230"/>
      <c r="BL99" s="230"/>
      <c r="BM99" s="230"/>
      <c r="BN99" s="230"/>
      <c r="BO99" s="230"/>
      <c r="BP99" s="230"/>
      <c r="BQ99" s="230"/>
      <c r="BR99" s="230"/>
      <c r="BS99" s="230"/>
      <c r="BT99" s="230"/>
      <c r="BU99" s="230"/>
      <c r="BV99" s="230"/>
      <c r="BW99" s="230"/>
      <c r="BX99" s="230"/>
      <c r="BY99" s="230"/>
      <c r="BZ99" s="230"/>
      <c r="CA99" s="230"/>
      <c r="CB99" s="230"/>
      <c r="CC99" s="230"/>
      <c r="CD99" s="230"/>
      <c r="CE99" s="230"/>
      <c r="CF99" s="230"/>
      <c r="CG99" s="230"/>
      <c r="CH99" s="230"/>
      <c r="CI99" s="230"/>
      <c r="CJ99" s="230"/>
      <c r="CK99" s="230"/>
      <c r="CL99" s="230"/>
      <c r="CM99" s="230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1"/>
      <c r="DE99" s="231"/>
      <c r="DF99" s="231"/>
      <c r="DG99" s="231"/>
      <c r="DH99" s="231"/>
      <c r="DI99" s="231"/>
      <c r="DJ99" s="231"/>
      <c r="DK99" s="231"/>
      <c r="DL99" s="231"/>
      <c r="DM99" s="231"/>
      <c r="DN99" s="231"/>
      <c r="DO99" s="231"/>
      <c r="DP99" s="231"/>
      <c r="DQ99" s="231"/>
      <c r="DR99" s="231"/>
      <c r="DS99" s="231"/>
      <c r="DT99" s="231"/>
      <c r="DU99" s="231"/>
      <c r="DV99" s="231"/>
      <c r="DW99" s="231"/>
      <c r="DX99" s="231"/>
      <c r="DY99" s="231"/>
      <c r="DZ99" s="231"/>
      <c r="EA99" s="231"/>
      <c r="EB99" s="231"/>
      <c r="EC99" s="231"/>
      <c r="ED99" s="231"/>
      <c r="EE99" s="231"/>
      <c r="EF99" s="231"/>
      <c r="EG99" s="231"/>
      <c r="EH99" s="231"/>
      <c r="EI99" s="231"/>
      <c r="EJ99" s="231"/>
      <c r="EK99" s="231"/>
      <c r="EL99" s="231"/>
      <c r="EM99" s="231"/>
      <c r="EN99" s="231"/>
      <c r="EO99" s="231"/>
      <c r="EP99" s="231"/>
      <c r="EQ99" s="231"/>
      <c r="ER99" s="231"/>
      <c r="ES99" s="231"/>
      <c r="ET99" s="231"/>
      <c r="EU99" s="231"/>
      <c r="EV99" s="231"/>
      <c r="EW99" s="231"/>
      <c r="EX99" s="231"/>
      <c r="EY99" s="231"/>
      <c r="EZ99" s="231"/>
      <c r="FA99" s="231"/>
      <c r="FB99" s="231"/>
      <c r="FC99" s="231"/>
      <c r="FD99" s="231"/>
      <c r="FE99" s="231"/>
      <c r="FF99" s="231"/>
      <c r="FG99" s="231"/>
      <c r="FH99" s="231"/>
      <c r="FI99" s="231"/>
      <c r="FJ99" s="231"/>
      <c r="FK99" s="231"/>
      <c r="FL99" s="231"/>
      <c r="FM99" s="231"/>
      <c r="FN99" s="231"/>
      <c r="FO99" s="231"/>
      <c r="FP99" s="231"/>
      <c r="FQ99" s="231"/>
      <c r="FR99" s="231"/>
      <c r="FS99" s="231"/>
      <c r="FT99" s="231"/>
      <c r="FU99" s="231"/>
      <c r="FV99" s="231"/>
      <c r="FW99" s="231"/>
      <c r="FX99" s="231"/>
      <c r="FY99" s="231"/>
      <c r="FZ99" s="231"/>
      <c r="GA99" s="231"/>
      <c r="GB99" s="231"/>
      <c r="GC99" s="231"/>
      <c r="GD99" s="231"/>
      <c r="GE99" s="231"/>
      <c r="GF99" s="231"/>
      <c r="GG99" s="231"/>
      <c r="GH99" s="231"/>
      <c r="GI99" s="231"/>
      <c r="GJ99" s="231"/>
      <c r="GK99" s="231"/>
      <c r="GL99" s="231"/>
      <c r="GM99" s="231"/>
      <c r="GN99" s="231"/>
      <c r="GO99" s="231"/>
      <c r="GP99" s="231"/>
      <c r="GQ99" s="231"/>
      <c r="GR99" s="231"/>
      <c r="GS99" s="231"/>
      <c r="GT99" s="231"/>
      <c r="GU99" s="231"/>
      <c r="GV99" s="231"/>
      <c r="GW99" s="231"/>
      <c r="GX99" s="231"/>
      <c r="GY99" s="231"/>
      <c r="GZ99" s="231"/>
      <c r="HA99" s="231"/>
      <c r="HB99" s="231"/>
      <c r="HC99" s="231"/>
      <c r="HD99" s="231"/>
      <c r="HE99" s="231"/>
      <c r="HF99" s="231"/>
      <c r="HG99" s="231"/>
      <c r="HH99" s="231"/>
      <c r="HI99" s="231"/>
      <c r="HJ99" s="231"/>
      <c r="HK99" s="231"/>
      <c r="HL99" s="231"/>
      <c r="HM99" s="231"/>
      <c r="HN99" s="231"/>
      <c r="HO99" s="231"/>
      <c r="HP99" s="231"/>
      <c r="HQ99" s="231"/>
      <c r="HR99" s="231"/>
      <c r="HS99" s="231"/>
      <c r="HT99" s="231"/>
      <c r="HU99" s="231"/>
      <c r="HV99" s="231"/>
      <c r="HW99" s="231"/>
      <c r="HX99" s="231"/>
      <c r="HY99" s="231"/>
      <c r="HZ99" s="231"/>
      <c r="IA99" s="231"/>
      <c r="IB99" s="232"/>
    </row>
    <row r="100" spans="1:236" s="233" customFormat="1" ht="13.15" customHeight="1">
      <c r="A100" s="223"/>
      <c r="B100" s="224">
        <v>5</v>
      </c>
      <c r="C100" s="686"/>
      <c r="D100" s="282" t="s">
        <v>234</v>
      </c>
      <c r="E100" s="114">
        <v>7.8673000000000002</v>
      </c>
      <c r="F100" s="260">
        <v>9970.8490000000002</v>
      </c>
      <c r="G100" s="261"/>
      <c r="H100" s="225">
        <f t="shared" si="12"/>
        <v>9970.8490000000002</v>
      </c>
      <c r="I100" s="262">
        <v>9554.5099999999984</v>
      </c>
      <c r="J100" s="226">
        <v>0</v>
      </c>
      <c r="K100" s="258">
        <v>0</v>
      </c>
      <c r="L100" s="114">
        <f t="shared" si="11"/>
        <v>416.33900000000176</v>
      </c>
      <c r="M100" s="227">
        <f t="shared" si="7"/>
        <v>0.95824437818685226</v>
      </c>
      <c r="N100" s="283" t="str">
        <f>+'IC ANCH-SARC V-VII y IX-X'!O23</f>
        <v>-</v>
      </c>
      <c r="O100" s="578"/>
      <c r="P100" s="578"/>
      <c r="Q100" s="578"/>
      <c r="R100" s="578"/>
      <c r="S100" s="578"/>
      <c r="T100" s="229"/>
      <c r="U100" s="229"/>
      <c r="V100" s="229"/>
      <c r="W100" s="229"/>
      <c r="X100" s="229"/>
      <c r="Y100" s="229"/>
      <c r="Z100" s="229"/>
      <c r="AA100" s="229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/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230"/>
      <c r="CA100" s="230"/>
      <c r="CB100" s="230"/>
      <c r="CC100" s="230"/>
      <c r="CD100" s="230"/>
      <c r="CE100" s="230"/>
      <c r="CF100" s="230"/>
      <c r="CG100" s="230"/>
      <c r="CH100" s="230"/>
      <c r="CI100" s="230"/>
      <c r="CJ100" s="230"/>
      <c r="CK100" s="230"/>
      <c r="CL100" s="230"/>
      <c r="CM100" s="230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1"/>
      <c r="DE100" s="231"/>
      <c r="DF100" s="231"/>
      <c r="DG100" s="231"/>
      <c r="DH100" s="231"/>
      <c r="DI100" s="231"/>
      <c r="DJ100" s="231"/>
      <c r="DK100" s="231"/>
      <c r="DL100" s="231"/>
      <c r="DM100" s="231"/>
      <c r="DN100" s="231"/>
      <c r="DO100" s="231"/>
      <c r="DP100" s="231"/>
      <c r="DQ100" s="231"/>
      <c r="DR100" s="231"/>
      <c r="DS100" s="231"/>
      <c r="DT100" s="231"/>
      <c r="DU100" s="231"/>
      <c r="DV100" s="231"/>
      <c r="DW100" s="231"/>
      <c r="DX100" s="231"/>
      <c r="DY100" s="231"/>
      <c r="DZ100" s="231"/>
      <c r="EA100" s="231"/>
      <c r="EB100" s="231"/>
      <c r="EC100" s="231"/>
      <c r="ED100" s="231"/>
      <c r="EE100" s="231"/>
      <c r="EF100" s="231"/>
      <c r="EG100" s="231"/>
      <c r="EH100" s="231"/>
      <c r="EI100" s="231"/>
      <c r="EJ100" s="231"/>
      <c r="EK100" s="231"/>
      <c r="EL100" s="231"/>
      <c r="EM100" s="231"/>
      <c r="EN100" s="231"/>
      <c r="EO100" s="231"/>
      <c r="EP100" s="231"/>
      <c r="EQ100" s="231"/>
      <c r="ER100" s="231"/>
      <c r="ES100" s="231"/>
      <c r="ET100" s="231"/>
      <c r="EU100" s="231"/>
      <c r="EV100" s="231"/>
      <c r="EW100" s="231"/>
      <c r="EX100" s="231"/>
      <c r="EY100" s="231"/>
      <c r="EZ100" s="231"/>
      <c r="FA100" s="231"/>
      <c r="FB100" s="231"/>
      <c r="FC100" s="231"/>
      <c r="FD100" s="231"/>
      <c r="FE100" s="231"/>
      <c r="FF100" s="231"/>
      <c r="FG100" s="231"/>
      <c r="FH100" s="231"/>
      <c r="FI100" s="231"/>
      <c r="FJ100" s="231"/>
      <c r="FK100" s="231"/>
      <c r="FL100" s="231"/>
      <c r="FM100" s="231"/>
      <c r="FN100" s="231"/>
      <c r="FO100" s="231"/>
      <c r="FP100" s="231"/>
      <c r="FQ100" s="231"/>
      <c r="FR100" s="231"/>
      <c r="FS100" s="231"/>
      <c r="FT100" s="231"/>
      <c r="FU100" s="231"/>
      <c r="FV100" s="231"/>
      <c r="FW100" s="231"/>
      <c r="FX100" s="231"/>
      <c r="FY100" s="231"/>
      <c r="FZ100" s="231"/>
      <c r="GA100" s="231"/>
      <c r="GB100" s="231"/>
      <c r="GC100" s="231"/>
      <c r="GD100" s="231"/>
      <c r="GE100" s="231"/>
      <c r="GF100" s="231"/>
      <c r="GG100" s="231"/>
      <c r="GH100" s="231"/>
      <c r="GI100" s="231"/>
      <c r="GJ100" s="231"/>
      <c r="GK100" s="231"/>
      <c r="GL100" s="231"/>
      <c r="GM100" s="231"/>
      <c r="GN100" s="231"/>
      <c r="GO100" s="231"/>
      <c r="GP100" s="231"/>
      <c r="GQ100" s="231"/>
      <c r="GR100" s="231"/>
      <c r="GS100" s="231"/>
      <c r="GT100" s="231"/>
      <c r="GU100" s="231"/>
      <c r="GV100" s="231"/>
      <c r="GW100" s="231"/>
      <c r="GX100" s="231"/>
      <c r="GY100" s="231"/>
      <c r="GZ100" s="231"/>
      <c r="HA100" s="231"/>
      <c r="HB100" s="231"/>
      <c r="HC100" s="231"/>
      <c r="HD100" s="231"/>
      <c r="HE100" s="231"/>
      <c r="HF100" s="231"/>
      <c r="HG100" s="231"/>
      <c r="HH100" s="231"/>
      <c r="HI100" s="231"/>
      <c r="HJ100" s="231"/>
      <c r="HK100" s="231"/>
      <c r="HL100" s="231"/>
      <c r="HM100" s="231"/>
      <c r="HN100" s="231"/>
      <c r="HO100" s="231"/>
      <c r="HP100" s="231"/>
      <c r="HQ100" s="231"/>
      <c r="HR100" s="231"/>
      <c r="HS100" s="231"/>
      <c r="HT100" s="231"/>
      <c r="HU100" s="231"/>
      <c r="HV100" s="231"/>
      <c r="HW100" s="231"/>
      <c r="HX100" s="231"/>
      <c r="HY100" s="231"/>
      <c r="HZ100" s="231"/>
      <c r="IA100" s="231"/>
      <c r="IB100" s="232"/>
    </row>
    <row r="101" spans="1:236" s="233" customFormat="1" ht="13.15" customHeight="1">
      <c r="A101" s="223"/>
      <c r="B101" s="224">
        <v>6</v>
      </c>
      <c r="C101" s="686"/>
      <c r="D101" s="282" t="s">
        <v>235</v>
      </c>
      <c r="E101" s="114">
        <v>4.7796000000000003</v>
      </c>
      <c r="F101" s="260">
        <v>1770.597</v>
      </c>
      <c r="G101" s="261"/>
      <c r="H101" s="225">
        <f t="shared" si="12"/>
        <v>1770.597</v>
      </c>
      <c r="I101" s="226">
        <v>1937.7570000000001</v>
      </c>
      <c r="J101" s="226">
        <v>0</v>
      </c>
      <c r="K101" s="258">
        <v>0</v>
      </c>
      <c r="L101" s="114">
        <f t="shared" si="11"/>
        <v>-167.16000000000008</v>
      </c>
      <c r="M101" s="227">
        <f t="shared" si="7"/>
        <v>1.0944088349861658</v>
      </c>
      <c r="N101" s="483">
        <f>+'IC ANCH-SARC V-VII y IX-X'!O24</f>
        <v>43630</v>
      </c>
      <c r="O101" s="578"/>
      <c r="P101" s="578"/>
      <c r="Q101" s="578"/>
      <c r="R101" s="578"/>
      <c r="S101" s="578"/>
      <c r="T101" s="229"/>
      <c r="U101" s="229"/>
      <c r="V101" s="229"/>
      <c r="W101" s="229"/>
      <c r="X101" s="229"/>
      <c r="Y101" s="229"/>
      <c r="Z101" s="229"/>
      <c r="AA101" s="229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30"/>
      <c r="BG101" s="230"/>
      <c r="BH101" s="230"/>
      <c r="BI101" s="230"/>
      <c r="BJ101" s="230"/>
      <c r="BK101" s="230"/>
      <c r="BL101" s="230"/>
      <c r="BM101" s="230"/>
      <c r="BN101" s="230"/>
      <c r="BO101" s="230"/>
      <c r="BP101" s="230"/>
      <c r="BQ101" s="230"/>
      <c r="BR101" s="230"/>
      <c r="BS101" s="230"/>
      <c r="BT101" s="230"/>
      <c r="BU101" s="230"/>
      <c r="BV101" s="230"/>
      <c r="BW101" s="230"/>
      <c r="BX101" s="230"/>
      <c r="BY101" s="230"/>
      <c r="BZ101" s="230"/>
      <c r="CA101" s="230"/>
      <c r="CB101" s="230"/>
      <c r="CC101" s="230"/>
      <c r="CD101" s="230"/>
      <c r="CE101" s="230"/>
      <c r="CF101" s="230"/>
      <c r="CG101" s="230"/>
      <c r="CH101" s="230"/>
      <c r="CI101" s="230"/>
      <c r="CJ101" s="230"/>
      <c r="CK101" s="230"/>
      <c r="CL101" s="230"/>
      <c r="CM101" s="230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1"/>
      <c r="DE101" s="231"/>
      <c r="DF101" s="231"/>
      <c r="DG101" s="231"/>
      <c r="DH101" s="231"/>
      <c r="DI101" s="231"/>
      <c r="DJ101" s="231"/>
      <c r="DK101" s="231"/>
      <c r="DL101" s="231"/>
      <c r="DM101" s="231"/>
      <c r="DN101" s="231"/>
      <c r="DO101" s="231"/>
      <c r="DP101" s="231"/>
      <c r="DQ101" s="231"/>
      <c r="DR101" s="231"/>
      <c r="DS101" s="231"/>
      <c r="DT101" s="231"/>
      <c r="DU101" s="231"/>
      <c r="DV101" s="231"/>
      <c r="DW101" s="231"/>
      <c r="DX101" s="231"/>
      <c r="DY101" s="231"/>
      <c r="DZ101" s="231"/>
      <c r="EA101" s="231"/>
      <c r="EB101" s="231"/>
      <c r="EC101" s="231"/>
      <c r="ED101" s="231"/>
      <c r="EE101" s="231"/>
      <c r="EF101" s="231"/>
      <c r="EG101" s="231"/>
      <c r="EH101" s="231"/>
      <c r="EI101" s="231"/>
      <c r="EJ101" s="231"/>
      <c r="EK101" s="231"/>
      <c r="EL101" s="231"/>
      <c r="EM101" s="231"/>
      <c r="EN101" s="231"/>
      <c r="EO101" s="231"/>
      <c r="EP101" s="231"/>
      <c r="EQ101" s="231"/>
      <c r="ER101" s="231"/>
      <c r="ES101" s="231"/>
      <c r="ET101" s="231"/>
      <c r="EU101" s="231"/>
      <c r="EV101" s="231"/>
      <c r="EW101" s="231"/>
      <c r="EX101" s="231"/>
      <c r="EY101" s="231"/>
      <c r="EZ101" s="231"/>
      <c r="FA101" s="231"/>
      <c r="FB101" s="231"/>
      <c r="FC101" s="231"/>
      <c r="FD101" s="231"/>
      <c r="FE101" s="231"/>
      <c r="FF101" s="231"/>
      <c r="FG101" s="231"/>
      <c r="FH101" s="231"/>
      <c r="FI101" s="231"/>
      <c r="FJ101" s="231"/>
      <c r="FK101" s="231"/>
      <c r="FL101" s="231"/>
      <c r="FM101" s="231"/>
      <c r="FN101" s="231"/>
      <c r="FO101" s="231"/>
      <c r="FP101" s="231"/>
      <c r="FQ101" s="231"/>
      <c r="FR101" s="231"/>
      <c r="FS101" s="231"/>
      <c r="FT101" s="231"/>
      <c r="FU101" s="231"/>
      <c r="FV101" s="231"/>
      <c r="FW101" s="231"/>
      <c r="FX101" s="231"/>
      <c r="FY101" s="231"/>
      <c r="FZ101" s="231"/>
      <c r="GA101" s="231"/>
      <c r="GB101" s="231"/>
      <c r="GC101" s="231"/>
      <c r="GD101" s="231"/>
      <c r="GE101" s="231"/>
      <c r="GF101" s="231"/>
      <c r="GG101" s="231"/>
      <c r="GH101" s="231"/>
      <c r="GI101" s="231"/>
      <c r="GJ101" s="231"/>
      <c r="GK101" s="231"/>
      <c r="GL101" s="231"/>
      <c r="GM101" s="231"/>
      <c r="GN101" s="231"/>
      <c r="GO101" s="231"/>
      <c r="GP101" s="231"/>
      <c r="GQ101" s="231"/>
      <c r="GR101" s="231"/>
      <c r="GS101" s="231"/>
      <c r="GT101" s="231"/>
      <c r="GU101" s="231"/>
      <c r="GV101" s="231"/>
      <c r="GW101" s="231"/>
      <c r="GX101" s="231"/>
      <c r="GY101" s="231"/>
      <c r="GZ101" s="231"/>
      <c r="HA101" s="231"/>
      <c r="HB101" s="231"/>
      <c r="HC101" s="231"/>
      <c r="HD101" s="231"/>
      <c r="HE101" s="231"/>
      <c r="HF101" s="231"/>
      <c r="HG101" s="231"/>
      <c r="HH101" s="231"/>
      <c r="HI101" s="231"/>
      <c r="HJ101" s="231"/>
      <c r="HK101" s="231"/>
      <c r="HL101" s="231"/>
      <c r="HM101" s="231"/>
      <c r="HN101" s="231"/>
      <c r="HO101" s="231"/>
      <c r="HP101" s="231"/>
      <c r="HQ101" s="231"/>
      <c r="HR101" s="231"/>
      <c r="HS101" s="231"/>
      <c r="HT101" s="231"/>
      <c r="HU101" s="231"/>
      <c r="HV101" s="231"/>
      <c r="HW101" s="231"/>
      <c r="HX101" s="231"/>
      <c r="HY101" s="231"/>
      <c r="HZ101" s="231"/>
      <c r="IA101" s="231"/>
      <c r="IB101" s="232"/>
    </row>
    <row r="102" spans="1:236" s="233" customFormat="1" ht="13.15" customHeight="1">
      <c r="A102" s="223"/>
      <c r="B102" s="224">
        <v>7</v>
      </c>
      <c r="C102" s="686"/>
      <c r="D102" s="282" t="s">
        <v>236</v>
      </c>
      <c r="E102" s="114">
        <v>3.9432</v>
      </c>
      <c r="F102" s="260">
        <v>1862.39</v>
      </c>
      <c r="G102" s="261"/>
      <c r="H102" s="225">
        <f t="shared" si="12"/>
        <v>1862.39</v>
      </c>
      <c r="I102" s="262">
        <v>2128.5239999999999</v>
      </c>
      <c r="J102" s="226">
        <v>0</v>
      </c>
      <c r="K102" s="258">
        <v>0</v>
      </c>
      <c r="L102" s="114">
        <f t="shared" si="11"/>
        <v>-266.13399999999979</v>
      </c>
      <c r="M102" s="227">
        <f t="shared" si="7"/>
        <v>1.1428991779380258</v>
      </c>
      <c r="N102" s="283" t="str">
        <f>+'IC ANCH-SARC V-VII y IX-X'!O25</f>
        <v>-</v>
      </c>
      <c r="O102" s="578"/>
      <c r="P102" s="578"/>
      <c r="Q102" s="578"/>
      <c r="R102" s="578"/>
      <c r="S102" s="578"/>
      <c r="T102" s="229"/>
      <c r="U102" s="229"/>
      <c r="V102" s="229"/>
      <c r="W102" s="229"/>
      <c r="X102" s="229"/>
      <c r="Y102" s="229"/>
      <c r="Z102" s="229"/>
      <c r="AA102" s="229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  <c r="AU102" s="230"/>
      <c r="AV102" s="230"/>
      <c r="AW102" s="230"/>
      <c r="AX102" s="230"/>
      <c r="AY102" s="230"/>
      <c r="AZ102" s="230"/>
      <c r="BA102" s="230"/>
      <c r="BB102" s="230"/>
      <c r="BC102" s="230"/>
      <c r="BD102" s="230"/>
      <c r="BE102" s="230"/>
      <c r="BF102" s="230"/>
      <c r="BG102" s="230"/>
      <c r="BH102" s="230"/>
      <c r="BI102" s="230"/>
      <c r="BJ102" s="230"/>
      <c r="BK102" s="230"/>
      <c r="BL102" s="230"/>
      <c r="BM102" s="230"/>
      <c r="BN102" s="230"/>
      <c r="BO102" s="230"/>
      <c r="BP102" s="230"/>
      <c r="BQ102" s="230"/>
      <c r="BR102" s="230"/>
      <c r="BS102" s="230"/>
      <c r="BT102" s="230"/>
      <c r="BU102" s="230"/>
      <c r="BV102" s="230"/>
      <c r="BW102" s="230"/>
      <c r="BX102" s="230"/>
      <c r="BY102" s="230"/>
      <c r="BZ102" s="230"/>
      <c r="CA102" s="230"/>
      <c r="CB102" s="230"/>
      <c r="CC102" s="230"/>
      <c r="CD102" s="230"/>
      <c r="CE102" s="230"/>
      <c r="CF102" s="230"/>
      <c r="CG102" s="230"/>
      <c r="CH102" s="230"/>
      <c r="CI102" s="230"/>
      <c r="CJ102" s="230"/>
      <c r="CK102" s="230"/>
      <c r="CL102" s="230"/>
      <c r="CM102" s="230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1"/>
      <c r="DE102" s="231"/>
      <c r="DF102" s="231"/>
      <c r="DG102" s="231"/>
      <c r="DH102" s="231"/>
      <c r="DI102" s="231"/>
      <c r="DJ102" s="231"/>
      <c r="DK102" s="231"/>
      <c r="DL102" s="231"/>
      <c r="DM102" s="231"/>
      <c r="DN102" s="231"/>
      <c r="DO102" s="231"/>
      <c r="DP102" s="231"/>
      <c r="DQ102" s="231"/>
      <c r="DR102" s="231"/>
      <c r="DS102" s="231"/>
      <c r="DT102" s="231"/>
      <c r="DU102" s="231"/>
      <c r="DV102" s="231"/>
      <c r="DW102" s="231"/>
      <c r="DX102" s="231"/>
      <c r="DY102" s="231"/>
      <c r="DZ102" s="231"/>
      <c r="EA102" s="231"/>
      <c r="EB102" s="231"/>
      <c r="EC102" s="231"/>
      <c r="ED102" s="231"/>
      <c r="EE102" s="231"/>
      <c r="EF102" s="231"/>
      <c r="EG102" s="231"/>
      <c r="EH102" s="231"/>
      <c r="EI102" s="231"/>
      <c r="EJ102" s="231"/>
      <c r="EK102" s="231"/>
      <c r="EL102" s="231"/>
      <c r="EM102" s="231"/>
      <c r="EN102" s="231"/>
      <c r="EO102" s="231"/>
      <c r="EP102" s="231"/>
      <c r="EQ102" s="231"/>
      <c r="ER102" s="231"/>
      <c r="ES102" s="231"/>
      <c r="ET102" s="231"/>
      <c r="EU102" s="231"/>
      <c r="EV102" s="231"/>
      <c r="EW102" s="231"/>
      <c r="EX102" s="231"/>
      <c r="EY102" s="231"/>
      <c r="EZ102" s="231"/>
      <c r="FA102" s="231"/>
      <c r="FB102" s="231"/>
      <c r="FC102" s="231"/>
      <c r="FD102" s="231"/>
      <c r="FE102" s="231"/>
      <c r="FF102" s="231"/>
      <c r="FG102" s="231"/>
      <c r="FH102" s="231"/>
      <c r="FI102" s="231"/>
      <c r="FJ102" s="231"/>
      <c r="FK102" s="231"/>
      <c r="FL102" s="231"/>
      <c r="FM102" s="231"/>
      <c r="FN102" s="231"/>
      <c r="FO102" s="231"/>
      <c r="FP102" s="231"/>
      <c r="FQ102" s="231"/>
      <c r="FR102" s="231"/>
      <c r="FS102" s="231"/>
      <c r="FT102" s="231"/>
      <c r="FU102" s="231"/>
      <c r="FV102" s="231"/>
      <c r="FW102" s="231"/>
      <c r="FX102" s="231"/>
      <c r="FY102" s="231"/>
      <c r="FZ102" s="231"/>
      <c r="GA102" s="231"/>
      <c r="GB102" s="231"/>
      <c r="GC102" s="231"/>
      <c r="GD102" s="231"/>
      <c r="GE102" s="231"/>
      <c r="GF102" s="231"/>
      <c r="GG102" s="231"/>
      <c r="GH102" s="231"/>
      <c r="GI102" s="231"/>
      <c r="GJ102" s="231"/>
      <c r="GK102" s="231"/>
      <c r="GL102" s="231"/>
      <c r="GM102" s="231"/>
      <c r="GN102" s="231"/>
      <c r="GO102" s="231"/>
      <c r="GP102" s="231"/>
      <c r="GQ102" s="231"/>
      <c r="GR102" s="231"/>
      <c r="GS102" s="231"/>
      <c r="GT102" s="231"/>
      <c r="GU102" s="231"/>
      <c r="GV102" s="231"/>
      <c r="GW102" s="231"/>
      <c r="GX102" s="231"/>
      <c r="GY102" s="231"/>
      <c r="GZ102" s="231"/>
      <c r="HA102" s="231"/>
      <c r="HB102" s="231"/>
      <c r="HC102" s="231"/>
      <c r="HD102" s="231"/>
      <c r="HE102" s="231"/>
      <c r="HF102" s="231"/>
      <c r="HG102" s="231"/>
      <c r="HH102" s="231"/>
      <c r="HI102" s="231"/>
      <c r="HJ102" s="231"/>
      <c r="HK102" s="231"/>
      <c r="HL102" s="231"/>
      <c r="HM102" s="231"/>
      <c r="HN102" s="231"/>
      <c r="HO102" s="231"/>
      <c r="HP102" s="231"/>
      <c r="HQ102" s="231"/>
      <c r="HR102" s="231"/>
      <c r="HS102" s="231"/>
      <c r="HT102" s="231"/>
      <c r="HU102" s="231"/>
      <c r="HV102" s="231"/>
      <c r="HW102" s="231"/>
      <c r="HX102" s="231"/>
      <c r="HY102" s="231"/>
      <c r="HZ102" s="231"/>
      <c r="IA102" s="231"/>
      <c r="IB102" s="232"/>
    </row>
    <row r="103" spans="1:236" s="233" customFormat="1" ht="13.15" customHeight="1">
      <c r="A103" s="223"/>
      <c r="B103" s="224">
        <v>8</v>
      </c>
      <c r="C103" s="686"/>
      <c r="D103" s="282" t="s">
        <v>237</v>
      </c>
      <c r="E103" s="114">
        <v>18.052600000000002</v>
      </c>
      <c r="F103" s="260">
        <v>2124.0340000000001</v>
      </c>
      <c r="G103" s="261"/>
      <c r="H103" s="225">
        <f t="shared" si="12"/>
        <v>2124.0340000000001</v>
      </c>
      <c r="I103" s="262">
        <v>1549.09</v>
      </c>
      <c r="J103" s="226">
        <v>0</v>
      </c>
      <c r="K103" s="258">
        <v>0</v>
      </c>
      <c r="L103" s="114">
        <f t="shared" si="11"/>
        <v>574.94400000000019</v>
      </c>
      <c r="M103" s="227">
        <f t="shared" si="7"/>
        <v>0.7293150674612553</v>
      </c>
      <c r="N103" s="283" t="str">
        <f>+'IC ANCH-SARC V-VII y IX-X'!O26</f>
        <v>-</v>
      </c>
      <c r="O103" s="578"/>
      <c r="P103" s="578"/>
      <c r="Q103" s="578"/>
      <c r="R103" s="578"/>
      <c r="S103" s="578"/>
      <c r="T103" s="229"/>
      <c r="U103" s="229"/>
      <c r="V103" s="229"/>
      <c r="W103" s="229"/>
      <c r="X103" s="229"/>
      <c r="Y103" s="229"/>
      <c r="Z103" s="229"/>
      <c r="AA103" s="229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30"/>
      <c r="BG103" s="230"/>
      <c r="BH103" s="230"/>
      <c r="BI103" s="230"/>
      <c r="BJ103" s="230"/>
      <c r="BK103" s="230"/>
      <c r="BL103" s="230"/>
      <c r="BM103" s="230"/>
      <c r="BN103" s="230"/>
      <c r="BO103" s="230"/>
      <c r="BP103" s="230"/>
      <c r="BQ103" s="230"/>
      <c r="BR103" s="230"/>
      <c r="BS103" s="230"/>
      <c r="BT103" s="230"/>
      <c r="BU103" s="230"/>
      <c r="BV103" s="230"/>
      <c r="BW103" s="230"/>
      <c r="BX103" s="230"/>
      <c r="BY103" s="230"/>
      <c r="BZ103" s="230"/>
      <c r="CA103" s="230"/>
      <c r="CB103" s="230"/>
      <c r="CC103" s="230"/>
      <c r="CD103" s="230"/>
      <c r="CE103" s="230"/>
      <c r="CF103" s="230"/>
      <c r="CG103" s="230"/>
      <c r="CH103" s="230"/>
      <c r="CI103" s="230"/>
      <c r="CJ103" s="230"/>
      <c r="CK103" s="230"/>
      <c r="CL103" s="230"/>
      <c r="CM103" s="230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1"/>
      <c r="DE103" s="231"/>
      <c r="DF103" s="231"/>
      <c r="DG103" s="231"/>
      <c r="DH103" s="231"/>
      <c r="DI103" s="231"/>
      <c r="DJ103" s="231"/>
      <c r="DK103" s="231"/>
      <c r="DL103" s="231"/>
      <c r="DM103" s="231"/>
      <c r="DN103" s="231"/>
      <c r="DO103" s="231"/>
      <c r="DP103" s="231"/>
      <c r="DQ103" s="231"/>
      <c r="DR103" s="231"/>
      <c r="DS103" s="231"/>
      <c r="DT103" s="231"/>
      <c r="DU103" s="231"/>
      <c r="DV103" s="231"/>
      <c r="DW103" s="231"/>
      <c r="DX103" s="231"/>
      <c r="DY103" s="231"/>
      <c r="DZ103" s="231"/>
      <c r="EA103" s="231"/>
      <c r="EB103" s="231"/>
      <c r="EC103" s="231"/>
      <c r="ED103" s="231"/>
      <c r="EE103" s="231"/>
      <c r="EF103" s="231"/>
      <c r="EG103" s="231"/>
      <c r="EH103" s="231"/>
      <c r="EI103" s="231"/>
      <c r="EJ103" s="231"/>
      <c r="EK103" s="231"/>
      <c r="EL103" s="231"/>
      <c r="EM103" s="231"/>
      <c r="EN103" s="231"/>
      <c r="EO103" s="231"/>
      <c r="EP103" s="231"/>
      <c r="EQ103" s="231"/>
      <c r="ER103" s="231"/>
      <c r="ES103" s="231"/>
      <c r="ET103" s="231"/>
      <c r="EU103" s="231"/>
      <c r="EV103" s="231"/>
      <c r="EW103" s="231"/>
      <c r="EX103" s="231"/>
      <c r="EY103" s="231"/>
      <c r="EZ103" s="231"/>
      <c r="FA103" s="231"/>
      <c r="FB103" s="231"/>
      <c r="FC103" s="231"/>
      <c r="FD103" s="231"/>
      <c r="FE103" s="231"/>
      <c r="FF103" s="231"/>
      <c r="FG103" s="231"/>
      <c r="FH103" s="231"/>
      <c r="FI103" s="231"/>
      <c r="FJ103" s="231"/>
      <c r="FK103" s="231"/>
      <c r="FL103" s="231"/>
      <c r="FM103" s="231"/>
      <c r="FN103" s="231"/>
      <c r="FO103" s="231"/>
      <c r="FP103" s="231"/>
      <c r="FQ103" s="231"/>
      <c r="FR103" s="231"/>
      <c r="FS103" s="231"/>
      <c r="FT103" s="231"/>
      <c r="FU103" s="231"/>
      <c r="FV103" s="231"/>
      <c r="FW103" s="231"/>
      <c r="FX103" s="231"/>
      <c r="FY103" s="231"/>
      <c r="FZ103" s="231"/>
      <c r="GA103" s="231"/>
      <c r="GB103" s="231"/>
      <c r="GC103" s="231"/>
      <c r="GD103" s="231"/>
      <c r="GE103" s="231"/>
      <c r="GF103" s="231"/>
      <c r="GG103" s="231"/>
      <c r="GH103" s="231"/>
      <c r="GI103" s="231"/>
      <c r="GJ103" s="231"/>
      <c r="GK103" s="231"/>
      <c r="GL103" s="231"/>
      <c r="GM103" s="231"/>
      <c r="GN103" s="231"/>
      <c r="GO103" s="231"/>
      <c r="GP103" s="231"/>
      <c r="GQ103" s="231"/>
      <c r="GR103" s="231"/>
      <c r="GS103" s="231"/>
      <c r="GT103" s="231"/>
      <c r="GU103" s="231"/>
      <c r="GV103" s="231"/>
      <c r="GW103" s="231"/>
      <c r="GX103" s="231"/>
      <c r="GY103" s="231"/>
      <c r="GZ103" s="231"/>
      <c r="HA103" s="231"/>
      <c r="HB103" s="231"/>
      <c r="HC103" s="231"/>
      <c r="HD103" s="231"/>
      <c r="HE103" s="231"/>
      <c r="HF103" s="231"/>
      <c r="HG103" s="231"/>
      <c r="HH103" s="231"/>
      <c r="HI103" s="231"/>
      <c r="HJ103" s="231"/>
      <c r="HK103" s="231"/>
      <c r="HL103" s="231"/>
      <c r="HM103" s="231"/>
      <c r="HN103" s="231"/>
      <c r="HO103" s="231"/>
      <c r="HP103" s="231"/>
      <c r="HQ103" s="231"/>
      <c r="HR103" s="231"/>
      <c r="HS103" s="231"/>
      <c r="HT103" s="231"/>
      <c r="HU103" s="231"/>
      <c r="HV103" s="231"/>
      <c r="HW103" s="231"/>
      <c r="HX103" s="231"/>
      <c r="HY103" s="231"/>
      <c r="HZ103" s="231"/>
      <c r="IA103" s="231"/>
      <c r="IB103" s="232"/>
    </row>
    <row r="104" spans="1:236" s="233" customFormat="1" ht="13.15" customHeight="1">
      <c r="A104" s="223"/>
      <c r="B104" s="224">
        <v>9</v>
      </c>
      <c r="C104" s="686"/>
      <c r="D104" s="282" t="s">
        <v>266</v>
      </c>
      <c r="E104" s="114">
        <v>3.4874000000000001</v>
      </c>
      <c r="F104" s="260">
        <v>777.07299999999998</v>
      </c>
      <c r="G104" s="261"/>
      <c r="H104" s="225">
        <f t="shared" si="12"/>
        <v>777.07299999999998</v>
      </c>
      <c r="I104" s="226">
        <v>273.81</v>
      </c>
      <c r="J104" s="226">
        <v>0</v>
      </c>
      <c r="K104" s="258">
        <v>0</v>
      </c>
      <c r="L104" s="114">
        <f t="shared" si="11"/>
        <v>503.26299999999998</v>
      </c>
      <c r="M104" s="227">
        <f t="shared" si="7"/>
        <v>0.3523607177189273</v>
      </c>
      <c r="N104" s="283" t="str">
        <f>+'IC ANCH-SARC V-VII y IX-X'!O27</f>
        <v>-</v>
      </c>
      <c r="O104" s="578"/>
      <c r="P104" s="578"/>
      <c r="Q104" s="578"/>
      <c r="R104" s="578"/>
      <c r="S104" s="578"/>
      <c r="T104" s="229"/>
      <c r="U104" s="229"/>
      <c r="V104" s="229"/>
      <c r="W104" s="229"/>
      <c r="X104" s="229"/>
      <c r="Y104" s="229"/>
      <c r="Z104" s="229"/>
      <c r="AA104" s="229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230"/>
      <c r="BC104" s="230"/>
      <c r="BD104" s="230"/>
      <c r="BE104" s="230"/>
      <c r="BF104" s="230"/>
      <c r="BG104" s="230"/>
      <c r="BH104" s="230"/>
      <c r="BI104" s="230"/>
      <c r="BJ104" s="230"/>
      <c r="BK104" s="230"/>
      <c r="BL104" s="230"/>
      <c r="BM104" s="230"/>
      <c r="BN104" s="230"/>
      <c r="BO104" s="230"/>
      <c r="BP104" s="230"/>
      <c r="BQ104" s="230"/>
      <c r="BR104" s="230"/>
      <c r="BS104" s="230"/>
      <c r="BT104" s="230"/>
      <c r="BU104" s="230"/>
      <c r="BV104" s="230"/>
      <c r="BW104" s="230"/>
      <c r="BX104" s="230"/>
      <c r="BY104" s="230"/>
      <c r="BZ104" s="230"/>
      <c r="CA104" s="230"/>
      <c r="CB104" s="230"/>
      <c r="CC104" s="230"/>
      <c r="CD104" s="230"/>
      <c r="CE104" s="230"/>
      <c r="CF104" s="230"/>
      <c r="CG104" s="230"/>
      <c r="CH104" s="230"/>
      <c r="CI104" s="230"/>
      <c r="CJ104" s="230"/>
      <c r="CK104" s="230"/>
      <c r="CL104" s="230"/>
      <c r="CM104" s="230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1"/>
      <c r="DE104" s="231"/>
      <c r="DF104" s="231"/>
      <c r="DG104" s="231"/>
      <c r="DH104" s="231"/>
      <c r="DI104" s="231"/>
      <c r="DJ104" s="231"/>
      <c r="DK104" s="231"/>
      <c r="DL104" s="231"/>
      <c r="DM104" s="231"/>
      <c r="DN104" s="231"/>
      <c r="DO104" s="231"/>
      <c r="DP104" s="231"/>
      <c r="DQ104" s="231"/>
      <c r="DR104" s="231"/>
      <c r="DS104" s="231"/>
      <c r="DT104" s="231"/>
      <c r="DU104" s="231"/>
      <c r="DV104" s="231"/>
      <c r="DW104" s="231"/>
      <c r="DX104" s="231"/>
      <c r="DY104" s="231"/>
      <c r="DZ104" s="231"/>
      <c r="EA104" s="231"/>
      <c r="EB104" s="231"/>
      <c r="EC104" s="231"/>
      <c r="ED104" s="231"/>
      <c r="EE104" s="231"/>
      <c r="EF104" s="231"/>
      <c r="EG104" s="231"/>
      <c r="EH104" s="231"/>
      <c r="EI104" s="231"/>
      <c r="EJ104" s="231"/>
      <c r="EK104" s="231"/>
      <c r="EL104" s="231"/>
      <c r="EM104" s="231"/>
      <c r="EN104" s="231"/>
      <c r="EO104" s="231"/>
      <c r="EP104" s="231"/>
      <c r="EQ104" s="231"/>
      <c r="ER104" s="231"/>
      <c r="ES104" s="231"/>
      <c r="ET104" s="231"/>
      <c r="EU104" s="231"/>
      <c r="EV104" s="231"/>
      <c r="EW104" s="231"/>
      <c r="EX104" s="231"/>
      <c r="EY104" s="231"/>
      <c r="EZ104" s="231"/>
      <c r="FA104" s="231"/>
      <c r="FB104" s="231"/>
      <c r="FC104" s="231"/>
      <c r="FD104" s="231"/>
      <c r="FE104" s="231"/>
      <c r="FF104" s="231"/>
      <c r="FG104" s="231"/>
      <c r="FH104" s="231"/>
      <c r="FI104" s="231"/>
      <c r="FJ104" s="231"/>
      <c r="FK104" s="231"/>
      <c r="FL104" s="231"/>
      <c r="FM104" s="231"/>
      <c r="FN104" s="231"/>
      <c r="FO104" s="231"/>
      <c r="FP104" s="231"/>
      <c r="FQ104" s="231"/>
      <c r="FR104" s="231"/>
      <c r="FS104" s="231"/>
      <c r="FT104" s="231"/>
      <c r="FU104" s="231"/>
      <c r="FV104" s="231"/>
      <c r="FW104" s="231"/>
      <c r="FX104" s="231"/>
      <c r="FY104" s="231"/>
      <c r="FZ104" s="231"/>
      <c r="GA104" s="231"/>
      <c r="GB104" s="231"/>
      <c r="GC104" s="231"/>
      <c r="GD104" s="231"/>
      <c r="GE104" s="231"/>
      <c r="GF104" s="231"/>
      <c r="GG104" s="231"/>
      <c r="GH104" s="231"/>
      <c r="GI104" s="231"/>
      <c r="GJ104" s="231"/>
      <c r="GK104" s="231"/>
      <c r="GL104" s="231"/>
      <c r="GM104" s="231"/>
      <c r="GN104" s="231"/>
      <c r="GO104" s="231"/>
      <c r="GP104" s="231"/>
      <c r="GQ104" s="231"/>
      <c r="GR104" s="231"/>
      <c r="GS104" s="231"/>
      <c r="GT104" s="231"/>
      <c r="GU104" s="231"/>
      <c r="GV104" s="231"/>
      <c r="GW104" s="231"/>
      <c r="GX104" s="231"/>
      <c r="GY104" s="231"/>
      <c r="GZ104" s="231"/>
      <c r="HA104" s="231"/>
      <c r="HB104" s="231"/>
      <c r="HC104" s="231"/>
      <c r="HD104" s="231"/>
      <c r="HE104" s="231"/>
      <c r="HF104" s="231"/>
      <c r="HG104" s="231"/>
      <c r="HH104" s="231"/>
      <c r="HI104" s="231"/>
      <c r="HJ104" s="231"/>
      <c r="HK104" s="231"/>
      <c r="HL104" s="231"/>
      <c r="HM104" s="231"/>
      <c r="HN104" s="231"/>
      <c r="HO104" s="231"/>
      <c r="HP104" s="231"/>
      <c r="HQ104" s="231"/>
      <c r="HR104" s="231"/>
      <c r="HS104" s="231"/>
      <c r="HT104" s="231"/>
      <c r="HU104" s="231"/>
      <c r="HV104" s="231"/>
      <c r="HW104" s="231"/>
      <c r="HX104" s="231"/>
      <c r="HY104" s="231"/>
      <c r="HZ104" s="231"/>
      <c r="IA104" s="231"/>
      <c r="IB104" s="232"/>
    </row>
    <row r="105" spans="1:236" s="232" customFormat="1" ht="13.15" customHeight="1">
      <c r="A105" s="223"/>
      <c r="B105" s="224">
        <v>10</v>
      </c>
      <c r="C105" s="686"/>
      <c r="D105" s="282" t="s">
        <v>239</v>
      </c>
      <c r="E105" s="114">
        <v>3.4874000000000001</v>
      </c>
      <c r="F105" s="260">
        <v>991.99699999999996</v>
      </c>
      <c r="G105" s="261">
        <f>-116-695.07-177</f>
        <v>-988.07</v>
      </c>
      <c r="H105" s="225">
        <f t="shared" si="12"/>
        <v>3.9269999999999072</v>
      </c>
      <c r="I105" s="262">
        <v>0</v>
      </c>
      <c r="J105" s="226">
        <v>0</v>
      </c>
      <c r="K105" s="258">
        <v>0</v>
      </c>
      <c r="L105" s="114">
        <f t="shared" si="11"/>
        <v>3.9269999999999072</v>
      </c>
      <c r="M105" s="227">
        <f t="shared" si="7"/>
        <v>0</v>
      </c>
      <c r="N105" s="283" t="str">
        <f>+'IC ANCH-SARC V-VII y IX-X'!O28</f>
        <v>-</v>
      </c>
      <c r="O105" s="579"/>
      <c r="P105" s="579"/>
      <c r="Q105" s="579"/>
      <c r="R105" s="579"/>
      <c r="S105" s="579"/>
      <c r="T105" s="284"/>
      <c r="U105" s="284"/>
      <c r="V105" s="284"/>
      <c r="W105" s="284"/>
      <c r="X105" s="284"/>
      <c r="Y105" s="229"/>
      <c r="Z105" s="229"/>
      <c r="AA105" s="229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230"/>
      <c r="BK105" s="230"/>
      <c r="BL105" s="230"/>
      <c r="BM105" s="230"/>
      <c r="BN105" s="230"/>
      <c r="BO105" s="230"/>
      <c r="BP105" s="230"/>
      <c r="BQ105" s="230"/>
      <c r="BR105" s="230"/>
      <c r="BS105" s="230"/>
      <c r="BT105" s="230"/>
      <c r="BU105" s="230"/>
      <c r="BV105" s="230"/>
      <c r="BW105" s="230"/>
      <c r="BX105" s="230"/>
      <c r="BY105" s="230"/>
      <c r="BZ105" s="230"/>
      <c r="CA105" s="230"/>
      <c r="CB105" s="230"/>
      <c r="CC105" s="230"/>
      <c r="CD105" s="230"/>
      <c r="CE105" s="230"/>
      <c r="CF105" s="230"/>
      <c r="CG105" s="230"/>
      <c r="CH105" s="230"/>
      <c r="CI105" s="230"/>
      <c r="CJ105" s="230"/>
      <c r="CK105" s="230"/>
      <c r="CL105" s="230"/>
      <c r="CM105" s="230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1"/>
      <c r="DE105" s="231"/>
      <c r="DF105" s="231"/>
      <c r="DG105" s="231"/>
      <c r="DH105" s="231"/>
      <c r="DI105" s="231"/>
      <c r="DJ105" s="231"/>
      <c r="DK105" s="231"/>
      <c r="DL105" s="231"/>
      <c r="DM105" s="231"/>
      <c r="DN105" s="231"/>
      <c r="DO105" s="231"/>
      <c r="DP105" s="231"/>
      <c r="DQ105" s="231"/>
      <c r="DR105" s="231"/>
      <c r="DS105" s="231"/>
      <c r="DT105" s="231"/>
      <c r="DU105" s="231"/>
      <c r="DV105" s="231"/>
      <c r="DW105" s="231"/>
      <c r="DX105" s="231"/>
      <c r="DY105" s="231"/>
      <c r="DZ105" s="231"/>
      <c r="EA105" s="231"/>
      <c r="EB105" s="231"/>
      <c r="EC105" s="231"/>
      <c r="ED105" s="231"/>
      <c r="EE105" s="231"/>
      <c r="EF105" s="231"/>
      <c r="EG105" s="231"/>
      <c r="EH105" s="231"/>
      <c r="EI105" s="231"/>
      <c r="EJ105" s="231"/>
      <c r="EK105" s="231"/>
      <c r="EL105" s="231"/>
      <c r="EM105" s="231"/>
      <c r="EN105" s="231"/>
      <c r="EO105" s="231"/>
      <c r="EP105" s="231"/>
      <c r="EQ105" s="231"/>
      <c r="ER105" s="231"/>
      <c r="ES105" s="231"/>
      <c r="ET105" s="231"/>
      <c r="EU105" s="231"/>
      <c r="EV105" s="231"/>
      <c r="EW105" s="231"/>
      <c r="EX105" s="231"/>
      <c r="EY105" s="231"/>
      <c r="EZ105" s="231"/>
      <c r="FA105" s="231"/>
      <c r="FB105" s="231"/>
      <c r="FC105" s="231"/>
      <c r="FD105" s="231"/>
      <c r="FE105" s="231"/>
      <c r="FF105" s="231"/>
      <c r="FG105" s="231"/>
      <c r="FH105" s="231"/>
      <c r="FI105" s="231"/>
      <c r="FJ105" s="231"/>
      <c r="FK105" s="231"/>
      <c r="FL105" s="231"/>
      <c r="FM105" s="231"/>
      <c r="FN105" s="231"/>
      <c r="FO105" s="231"/>
      <c r="FP105" s="231"/>
      <c r="FQ105" s="231"/>
      <c r="FR105" s="231"/>
      <c r="FS105" s="231"/>
      <c r="FT105" s="231"/>
      <c r="FU105" s="231"/>
      <c r="FV105" s="231"/>
      <c r="FW105" s="231"/>
      <c r="FX105" s="231"/>
      <c r="FY105" s="231"/>
      <c r="FZ105" s="231"/>
      <c r="GA105" s="231"/>
      <c r="GB105" s="231"/>
      <c r="GC105" s="231"/>
      <c r="GD105" s="231"/>
      <c r="GE105" s="231"/>
      <c r="GF105" s="231"/>
      <c r="GG105" s="231"/>
      <c r="GH105" s="231"/>
      <c r="GI105" s="231"/>
      <c r="GJ105" s="231"/>
      <c r="GK105" s="231"/>
      <c r="GL105" s="231"/>
      <c r="GM105" s="231"/>
      <c r="GN105" s="231"/>
      <c r="GO105" s="231"/>
      <c r="GP105" s="231"/>
      <c r="GQ105" s="231"/>
      <c r="GR105" s="231"/>
      <c r="GS105" s="231"/>
      <c r="GT105" s="231"/>
      <c r="GU105" s="231"/>
      <c r="GV105" s="231"/>
      <c r="GW105" s="231"/>
      <c r="GX105" s="231"/>
      <c r="GY105" s="231"/>
      <c r="GZ105" s="231"/>
      <c r="HA105" s="231"/>
      <c r="HB105" s="231"/>
      <c r="HC105" s="231"/>
      <c r="HD105" s="231"/>
      <c r="HE105" s="231"/>
      <c r="HF105" s="231"/>
      <c r="HG105" s="231"/>
      <c r="HH105" s="231"/>
      <c r="HI105" s="231"/>
      <c r="HJ105" s="231"/>
      <c r="HK105" s="231"/>
      <c r="HL105" s="231"/>
      <c r="HM105" s="231"/>
      <c r="HN105" s="231"/>
      <c r="HO105" s="231"/>
      <c r="HP105" s="231"/>
      <c r="HQ105" s="231"/>
      <c r="HR105" s="231"/>
      <c r="HS105" s="231"/>
      <c r="HT105" s="231"/>
      <c r="HU105" s="231"/>
      <c r="HV105" s="231"/>
      <c r="HW105" s="231"/>
      <c r="HX105" s="231"/>
      <c r="HY105" s="231"/>
      <c r="HZ105" s="231"/>
      <c r="IA105" s="231"/>
    </row>
    <row r="106" spans="1:236" s="233" customFormat="1" ht="13.15" customHeight="1">
      <c r="A106" s="223"/>
      <c r="B106" s="224">
        <v>11</v>
      </c>
      <c r="C106" s="686"/>
      <c r="D106" s="282" t="s">
        <v>240</v>
      </c>
      <c r="E106" s="114" t="s">
        <v>29</v>
      </c>
      <c r="F106" s="260">
        <v>375.93599999999998</v>
      </c>
      <c r="G106" s="261"/>
      <c r="H106" s="225">
        <f t="shared" si="12"/>
        <v>375.93599999999998</v>
      </c>
      <c r="I106" s="262">
        <v>401.68299999999999</v>
      </c>
      <c r="J106" s="226">
        <v>0</v>
      </c>
      <c r="K106" s="258">
        <v>0</v>
      </c>
      <c r="L106" s="114">
        <f t="shared" si="11"/>
        <v>-25.747000000000014</v>
      </c>
      <c r="M106" s="227">
        <f>I106/H106</f>
        <v>1.0684877213142663</v>
      </c>
      <c r="N106" s="283" t="str">
        <f>+'IC ANCH-SARC V-VII y IX-X'!O29</f>
        <v>-</v>
      </c>
      <c r="O106" s="578"/>
      <c r="P106" s="578"/>
      <c r="Q106" s="578"/>
      <c r="R106" s="578"/>
      <c r="S106" s="578"/>
      <c r="T106" s="229"/>
      <c r="U106" s="229"/>
      <c r="V106" s="229"/>
      <c r="W106" s="229"/>
      <c r="X106" s="229"/>
      <c r="Y106" s="229"/>
      <c r="Z106" s="229"/>
      <c r="AA106" s="229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  <c r="AU106" s="230"/>
      <c r="AV106" s="230"/>
      <c r="AW106" s="230"/>
      <c r="AX106" s="230"/>
      <c r="AY106" s="230"/>
      <c r="AZ106" s="230"/>
      <c r="BA106" s="230"/>
      <c r="BB106" s="230"/>
      <c r="BC106" s="230"/>
      <c r="BD106" s="230"/>
      <c r="BE106" s="230"/>
      <c r="BF106" s="230"/>
      <c r="BG106" s="230"/>
      <c r="BH106" s="230"/>
      <c r="BI106" s="230"/>
      <c r="BJ106" s="230"/>
      <c r="BK106" s="230"/>
      <c r="BL106" s="230"/>
      <c r="BM106" s="230"/>
      <c r="BN106" s="230"/>
      <c r="BO106" s="230"/>
      <c r="BP106" s="230"/>
      <c r="BQ106" s="230"/>
      <c r="BR106" s="230"/>
      <c r="BS106" s="230"/>
      <c r="BT106" s="230"/>
      <c r="BU106" s="230"/>
      <c r="BV106" s="230"/>
      <c r="BW106" s="230"/>
      <c r="BX106" s="230"/>
      <c r="BY106" s="230"/>
      <c r="BZ106" s="230"/>
      <c r="CA106" s="230"/>
      <c r="CB106" s="230"/>
      <c r="CC106" s="230"/>
      <c r="CD106" s="230"/>
      <c r="CE106" s="230"/>
      <c r="CF106" s="230"/>
      <c r="CG106" s="230"/>
      <c r="CH106" s="230"/>
      <c r="CI106" s="230"/>
      <c r="CJ106" s="230"/>
      <c r="CK106" s="230"/>
      <c r="CL106" s="230"/>
      <c r="CM106" s="230"/>
      <c r="CN106" s="231"/>
      <c r="CO106" s="231"/>
      <c r="CP106" s="231"/>
      <c r="CQ106" s="231"/>
      <c r="CR106" s="231"/>
      <c r="CS106" s="231"/>
      <c r="CT106" s="231"/>
      <c r="CU106" s="231"/>
      <c r="CV106" s="231"/>
      <c r="CW106" s="231"/>
      <c r="CX106" s="231"/>
      <c r="CY106" s="231"/>
      <c r="CZ106" s="231"/>
      <c r="DA106" s="231"/>
      <c r="DB106" s="231"/>
      <c r="DC106" s="231"/>
      <c r="DD106" s="231"/>
      <c r="DE106" s="231"/>
      <c r="DF106" s="231"/>
      <c r="DG106" s="231"/>
      <c r="DH106" s="231"/>
      <c r="DI106" s="231"/>
      <c r="DJ106" s="231"/>
      <c r="DK106" s="231"/>
      <c r="DL106" s="231"/>
      <c r="DM106" s="231"/>
      <c r="DN106" s="231"/>
      <c r="DO106" s="231"/>
      <c r="DP106" s="231"/>
      <c r="DQ106" s="231"/>
      <c r="DR106" s="231"/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1"/>
      <c r="EE106" s="231"/>
      <c r="EF106" s="231"/>
      <c r="EG106" s="231"/>
      <c r="EH106" s="231"/>
      <c r="EI106" s="231"/>
      <c r="EJ106" s="231"/>
      <c r="EK106" s="231"/>
      <c r="EL106" s="231"/>
      <c r="EM106" s="231"/>
      <c r="EN106" s="231"/>
      <c r="EO106" s="231"/>
      <c r="EP106" s="231"/>
      <c r="EQ106" s="231"/>
      <c r="ER106" s="231"/>
      <c r="ES106" s="231"/>
      <c r="ET106" s="231"/>
      <c r="EU106" s="231"/>
      <c r="EV106" s="231"/>
      <c r="EW106" s="231"/>
      <c r="EX106" s="231"/>
      <c r="EY106" s="231"/>
      <c r="EZ106" s="231"/>
      <c r="FA106" s="231"/>
      <c r="FB106" s="231"/>
      <c r="FC106" s="231"/>
      <c r="FD106" s="231"/>
      <c r="FE106" s="231"/>
      <c r="FF106" s="231"/>
      <c r="FG106" s="231"/>
      <c r="FH106" s="231"/>
      <c r="FI106" s="231"/>
      <c r="FJ106" s="231"/>
      <c r="FK106" s="231"/>
      <c r="FL106" s="231"/>
      <c r="FM106" s="231"/>
      <c r="FN106" s="231"/>
      <c r="FO106" s="231"/>
      <c r="FP106" s="231"/>
      <c r="FQ106" s="231"/>
      <c r="FR106" s="231"/>
      <c r="FS106" s="231"/>
      <c r="FT106" s="231"/>
      <c r="FU106" s="231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231"/>
      <c r="GI106" s="231"/>
      <c r="GJ106" s="231"/>
      <c r="GK106" s="231"/>
      <c r="GL106" s="231"/>
      <c r="GM106" s="231"/>
      <c r="GN106" s="231"/>
      <c r="GO106" s="231"/>
      <c r="GP106" s="231"/>
      <c r="GQ106" s="231"/>
      <c r="GR106" s="231"/>
      <c r="GS106" s="231"/>
      <c r="GT106" s="231"/>
      <c r="GU106" s="231"/>
      <c r="GV106" s="231"/>
      <c r="GW106" s="231"/>
      <c r="GX106" s="231"/>
      <c r="GY106" s="231"/>
      <c r="GZ106" s="231"/>
      <c r="HA106" s="231"/>
      <c r="HB106" s="231"/>
      <c r="HC106" s="231"/>
      <c r="HD106" s="231"/>
      <c r="HE106" s="231"/>
      <c r="HF106" s="231"/>
      <c r="HG106" s="231"/>
      <c r="HH106" s="231"/>
      <c r="HI106" s="231"/>
      <c r="HJ106" s="231"/>
      <c r="HK106" s="231"/>
      <c r="HL106" s="231"/>
      <c r="HM106" s="231"/>
      <c r="HN106" s="231"/>
      <c r="HO106" s="231"/>
      <c r="HP106" s="231"/>
      <c r="HQ106" s="231"/>
      <c r="HR106" s="231"/>
      <c r="HS106" s="231"/>
      <c r="HT106" s="231"/>
      <c r="HU106" s="231"/>
      <c r="HV106" s="231"/>
      <c r="HW106" s="231"/>
      <c r="HX106" s="231"/>
      <c r="HY106" s="231"/>
      <c r="HZ106" s="231"/>
      <c r="IA106" s="231"/>
      <c r="IB106" s="232"/>
    </row>
    <row r="107" spans="1:236" s="246" customFormat="1" ht="13.15" customHeight="1">
      <c r="B107" s="224"/>
      <c r="C107" s="278"/>
      <c r="D107" s="279" t="s">
        <v>256</v>
      </c>
      <c r="E107" s="248"/>
      <c r="F107" s="249">
        <f>SUM(F96:F106)</f>
        <v>29337.001000000004</v>
      </c>
      <c r="G107" s="249">
        <f>SUM(G96:G106)</f>
        <v>-1613.0700000000002</v>
      </c>
      <c r="H107" s="249">
        <f>+F107+G107</f>
        <v>27723.931000000004</v>
      </c>
      <c r="I107" s="249">
        <f>SUM(I96:I106)</f>
        <v>26381.381000000005</v>
      </c>
      <c r="J107" s="249">
        <f t="shared" ref="J107:K107" si="13">SUM(J96:J106)</f>
        <v>0</v>
      </c>
      <c r="K107" s="249">
        <f t="shared" si="13"/>
        <v>0</v>
      </c>
      <c r="L107" s="249">
        <f t="shared" si="11"/>
        <v>1342.5499999999993</v>
      </c>
      <c r="M107" s="250">
        <f>I107/H107</f>
        <v>0.95157432760888061</v>
      </c>
      <c r="N107" s="251" t="s">
        <v>142</v>
      </c>
      <c r="O107" s="578"/>
      <c r="P107" s="578"/>
      <c r="Q107" s="578"/>
      <c r="R107" s="578"/>
      <c r="S107" s="578"/>
    </row>
    <row r="108" spans="1:236" s="233" customFormat="1" ht="13.15" customHeight="1">
      <c r="A108" s="223"/>
      <c r="B108" s="224">
        <v>1</v>
      </c>
      <c r="C108" s="687" t="s">
        <v>267</v>
      </c>
      <c r="D108" s="442" t="s">
        <v>242</v>
      </c>
      <c r="E108" s="564">
        <v>5.7142999999999999E-2</v>
      </c>
      <c r="F108" s="445">
        <f>+E108*'Resumen Pelagicos'!$D$40</f>
        <v>783.60195899999997</v>
      </c>
      <c r="G108" s="444">
        <f>-300-180-130-100</f>
        <v>-710</v>
      </c>
      <c r="H108" s="445">
        <f t="shared" ref="H108:H117" si="14">F108+G108</f>
        <v>73.601958999999965</v>
      </c>
      <c r="I108" s="446">
        <v>1.6</v>
      </c>
      <c r="J108" s="446">
        <v>0</v>
      </c>
      <c r="K108" s="447">
        <v>0</v>
      </c>
      <c r="L108" s="443">
        <f t="shared" si="11"/>
        <v>72.001958999999971</v>
      </c>
      <c r="M108" s="448">
        <f>+(I108+J108+K108)/H108</f>
        <v>2.1738551823056788E-2</v>
      </c>
      <c r="N108" s="283" t="s">
        <v>142</v>
      </c>
      <c r="O108" s="578"/>
      <c r="P108" s="578"/>
      <c r="Q108" s="578"/>
      <c r="R108" s="578"/>
      <c r="S108" s="578"/>
      <c r="T108" s="229"/>
      <c r="U108" s="229"/>
      <c r="V108" s="229"/>
      <c r="W108" s="229"/>
      <c r="X108" s="229"/>
      <c r="Y108" s="229"/>
      <c r="Z108" s="229"/>
      <c r="AA108" s="229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0"/>
      <c r="AQ108" s="230"/>
      <c r="AR108" s="230"/>
      <c r="AS108" s="230"/>
      <c r="AT108" s="230"/>
      <c r="AU108" s="230"/>
      <c r="AV108" s="230"/>
      <c r="AW108" s="230"/>
      <c r="AX108" s="230"/>
      <c r="AY108" s="230"/>
      <c r="AZ108" s="230"/>
      <c r="BA108" s="230"/>
      <c r="BB108" s="230"/>
      <c r="BC108" s="230"/>
      <c r="BD108" s="230"/>
      <c r="BE108" s="230"/>
      <c r="BF108" s="230"/>
      <c r="BG108" s="230"/>
      <c r="BH108" s="230"/>
      <c r="BI108" s="230"/>
      <c r="BJ108" s="230"/>
      <c r="BK108" s="230"/>
      <c r="BL108" s="230"/>
      <c r="BM108" s="230"/>
      <c r="BN108" s="230"/>
      <c r="BO108" s="230"/>
      <c r="BP108" s="230"/>
      <c r="BQ108" s="230"/>
      <c r="BR108" s="230"/>
      <c r="BS108" s="230"/>
      <c r="BT108" s="230"/>
      <c r="BU108" s="230"/>
      <c r="BV108" s="230"/>
      <c r="BW108" s="230"/>
      <c r="BX108" s="230"/>
      <c r="BY108" s="230"/>
      <c r="BZ108" s="230"/>
      <c r="CA108" s="230"/>
      <c r="CB108" s="230"/>
      <c r="CC108" s="230"/>
      <c r="CD108" s="230"/>
      <c r="CE108" s="230"/>
      <c r="CF108" s="230"/>
      <c r="CG108" s="230"/>
      <c r="CH108" s="230"/>
      <c r="CI108" s="230"/>
      <c r="CJ108" s="230"/>
      <c r="CK108" s="230"/>
      <c r="CL108" s="230"/>
      <c r="CM108" s="230"/>
      <c r="CN108" s="231"/>
      <c r="CO108" s="231"/>
      <c r="CP108" s="231"/>
      <c r="CQ108" s="231"/>
      <c r="CR108" s="231"/>
      <c r="CS108" s="231"/>
      <c r="CT108" s="231"/>
      <c r="CU108" s="231"/>
      <c r="CV108" s="231"/>
      <c r="CW108" s="231"/>
      <c r="CX108" s="231"/>
      <c r="CY108" s="231"/>
      <c r="CZ108" s="231"/>
      <c r="DA108" s="231"/>
      <c r="DB108" s="231"/>
      <c r="DC108" s="231"/>
      <c r="DD108" s="231"/>
      <c r="DE108" s="231"/>
      <c r="DF108" s="231"/>
      <c r="DG108" s="231"/>
      <c r="DH108" s="231"/>
      <c r="DI108" s="231"/>
      <c r="DJ108" s="231"/>
      <c r="DK108" s="231"/>
      <c r="DL108" s="231"/>
      <c r="DM108" s="231"/>
      <c r="DN108" s="231"/>
      <c r="DO108" s="231"/>
      <c r="DP108" s="231"/>
      <c r="DQ108" s="231"/>
      <c r="DR108" s="231"/>
      <c r="DS108" s="231"/>
      <c r="DT108" s="231"/>
      <c r="DU108" s="231"/>
      <c r="DV108" s="231"/>
      <c r="DW108" s="231"/>
      <c r="DX108" s="231"/>
      <c r="DY108" s="231"/>
      <c r="DZ108" s="231"/>
      <c r="EA108" s="231"/>
      <c r="EB108" s="231"/>
      <c r="EC108" s="231"/>
      <c r="ED108" s="231"/>
      <c r="EE108" s="231"/>
      <c r="EF108" s="231"/>
      <c r="EG108" s="231"/>
      <c r="EH108" s="231"/>
      <c r="EI108" s="231"/>
      <c r="EJ108" s="231"/>
      <c r="EK108" s="231"/>
      <c r="EL108" s="231"/>
      <c r="EM108" s="231"/>
      <c r="EN108" s="231"/>
      <c r="EO108" s="231"/>
      <c r="EP108" s="231"/>
      <c r="EQ108" s="231"/>
      <c r="ER108" s="231"/>
      <c r="ES108" s="231"/>
      <c r="ET108" s="231"/>
      <c r="EU108" s="231"/>
      <c r="EV108" s="231"/>
      <c r="EW108" s="231"/>
      <c r="EX108" s="231"/>
      <c r="EY108" s="231"/>
      <c r="EZ108" s="231"/>
      <c r="FA108" s="231"/>
      <c r="FB108" s="231"/>
      <c r="FC108" s="231"/>
      <c r="FD108" s="231"/>
      <c r="FE108" s="231"/>
      <c r="FF108" s="231"/>
      <c r="FG108" s="231"/>
      <c r="FH108" s="231"/>
      <c r="FI108" s="231"/>
      <c r="FJ108" s="231"/>
      <c r="FK108" s="231"/>
      <c r="FL108" s="231"/>
      <c r="FM108" s="231"/>
      <c r="FN108" s="231"/>
      <c r="FO108" s="231"/>
      <c r="FP108" s="231"/>
      <c r="FQ108" s="231"/>
      <c r="FR108" s="231"/>
      <c r="FS108" s="231"/>
      <c r="FT108" s="231"/>
      <c r="FU108" s="231"/>
      <c r="FV108" s="231"/>
      <c r="FW108" s="231"/>
      <c r="FX108" s="231"/>
      <c r="FY108" s="231"/>
      <c r="FZ108" s="231"/>
      <c r="GA108" s="231"/>
      <c r="GB108" s="231"/>
      <c r="GC108" s="231"/>
      <c r="GD108" s="231"/>
      <c r="GE108" s="231"/>
      <c r="GF108" s="231"/>
      <c r="GG108" s="231"/>
      <c r="GH108" s="231"/>
      <c r="GI108" s="231"/>
      <c r="GJ108" s="231"/>
      <c r="GK108" s="231"/>
      <c r="GL108" s="231"/>
      <c r="GM108" s="231"/>
      <c r="GN108" s="231"/>
      <c r="GO108" s="231"/>
      <c r="GP108" s="231"/>
      <c r="GQ108" s="231"/>
      <c r="GR108" s="231"/>
      <c r="GS108" s="231"/>
      <c r="GT108" s="231"/>
      <c r="GU108" s="231"/>
      <c r="GV108" s="231"/>
      <c r="GW108" s="231"/>
      <c r="GX108" s="231"/>
      <c r="GY108" s="231"/>
      <c r="GZ108" s="231"/>
      <c r="HA108" s="231"/>
      <c r="HB108" s="231"/>
      <c r="HC108" s="231"/>
      <c r="HD108" s="231"/>
      <c r="HE108" s="231"/>
      <c r="HF108" s="231"/>
      <c r="HG108" s="231"/>
      <c r="HH108" s="231"/>
      <c r="HI108" s="231"/>
      <c r="HJ108" s="231"/>
      <c r="HK108" s="231"/>
      <c r="HL108" s="231"/>
      <c r="HM108" s="231"/>
      <c r="HN108" s="231"/>
      <c r="HO108" s="231"/>
      <c r="HP108" s="231"/>
      <c r="HQ108" s="231"/>
      <c r="HR108" s="231"/>
      <c r="HS108" s="231"/>
      <c r="HT108" s="231"/>
      <c r="HU108" s="231"/>
      <c r="HV108" s="231"/>
      <c r="HW108" s="231"/>
      <c r="HX108" s="231"/>
      <c r="HY108" s="231"/>
      <c r="HZ108" s="231"/>
      <c r="IA108" s="231"/>
      <c r="IB108" s="232"/>
    </row>
    <row r="109" spans="1:236" s="233" customFormat="1" ht="13.15" customHeight="1">
      <c r="A109" s="223"/>
      <c r="B109" s="224">
        <v>2</v>
      </c>
      <c r="C109" s="688"/>
      <c r="D109" s="442" t="s">
        <v>243</v>
      </c>
      <c r="E109" s="564">
        <v>0.20391300000000001</v>
      </c>
      <c r="F109" s="445">
        <f>+E109*'Resumen Pelagicos'!$D$40</f>
        <v>2796.258969</v>
      </c>
      <c r="G109" s="444">
        <f>-2000-300-400</f>
        <v>-2700</v>
      </c>
      <c r="H109" s="445">
        <f t="shared" si="14"/>
        <v>96.258968999999979</v>
      </c>
      <c r="I109" s="446">
        <v>21.131</v>
      </c>
      <c r="J109" s="446">
        <v>0</v>
      </c>
      <c r="K109" s="447">
        <v>0</v>
      </c>
      <c r="L109" s="443">
        <f t="shared" si="11"/>
        <v>75.127968999999979</v>
      </c>
      <c r="M109" s="448">
        <f t="shared" si="7"/>
        <v>0.21952240107620521</v>
      </c>
      <c r="N109" s="283" t="s">
        <v>142</v>
      </c>
      <c r="O109" s="578"/>
      <c r="P109" s="578"/>
      <c r="Q109" s="578"/>
      <c r="R109" s="578"/>
      <c r="S109" s="578"/>
      <c r="T109" s="229"/>
      <c r="U109" s="229"/>
      <c r="V109" s="229"/>
      <c r="W109" s="229"/>
      <c r="X109" s="229"/>
      <c r="Y109" s="229"/>
      <c r="Z109" s="229"/>
      <c r="AA109" s="229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  <c r="AU109" s="230"/>
      <c r="AV109" s="230"/>
      <c r="AW109" s="230"/>
      <c r="AX109" s="230"/>
      <c r="AY109" s="230"/>
      <c r="AZ109" s="230"/>
      <c r="BA109" s="230"/>
      <c r="BB109" s="230"/>
      <c r="BC109" s="230"/>
      <c r="BD109" s="230"/>
      <c r="BE109" s="230"/>
      <c r="BF109" s="230"/>
      <c r="BG109" s="230"/>
      <c r="BH109" s="230"/>
      <c r="BI109" s="230"/>
      <c r="BJ109" s="230"/>
      <c r="BK109" s="230"/>
      <c r="BL109" s="230"/>
      <c r="BM109" s="230"/>
      <c r="BN109" s="230"/>
      <c r="BO109" s="230"/>
      <c r="BP109" s="230"/>
      <c r="BQ109" s="230"/>
      <c r="BR109" s="230"/>
      <c r="BS109" s="230"/>
      <c r="BT109" s="230"/>
      <c r="BU109" s="230"/>
      <c r="BV109" s="230"/>
      <c r="BW109" s="230"/>
      <c r="BX109" s="230"/>
      <c r="BY109" s="230"/>
      <c r="BZ109" s="230"/>
      <c r="CA109" s="230"/>
      <c r="CB109" s="230"/>
      <c r="CC109" s="230"/>
      <c r="CD109" s="230"/>
      <c r="CE109" s="230"/>
      <c r="CF109" s="230"/>
      <c r="CG109" s="230"/>
      <c r="CH109" s="230"/>
      <c r="CI109" s="230"/>
      <c r="CJ109" s="230"/>
      <c r="CK109" s="230"/>
      <c r="CL109" s="230"/>
      <c r="CM109" s="230"/>
      <c r="CN109" s="231"/>
      <c r="CO109" s="231"/>
      <c r="CP109" s="231"/>
      <c r="CQ109" s="231"/>
      <c r="CR109" s="231"/>
      <c r="CS109" s="231"/>
      <c r="CT109" s="231"/>
      <c r="CU109" s="231"/>
      <c r="CV109" s="231"/>
      <c r="CW109" s="231"/>
      <c r="CX109" s="231"/>
      <c r="CY109" s="231"/>
      <c r="CZ109" s="231"/>
      <c r="DA109" s="231"/>
      <c r="DB109" s="231"/>
      <c r="DC109" s="231"/>
      <c r="DD109" s="231"/>
      <c r="DE109" s="231"/>
      <c r="DF109" s="231"/>
      <c r="DG109" s="231"/>
      <c r="DH109" s="231"/>
      <c r="DI109" s="231"/>
      <c r="DJ109" s="231"/>
      <c r="DK109" s="231"/>
      <c r="DL109" s="231"/>
      <c r="DM109" s="231"/>
      <c r="DN109" s="231"/>
      <c r="DO109" s="231"/>
      <c r="DP109" s="231"/>
      <c r="DQ109" s="231"/>
      <c r="DR109" s="231"/>
      <c r="DS109" s="231"/>
      <c r="DT109" s="231"/>
      <c r="DU109" s="231"/>
      <c r="DV109" s="231"/>
      <c r="DW109" s="231"/>
      <c r="DX109" s="231"/>
      <c r="DY109" s="231"/>
      <c r="DZ109" s="231"/>
      <c r="EA109" s="231"/>
      <c r="EB109" s="231"/>
      <c r="EC109" s="231"/>
      <c r="ED109" s="231"/>
      <c r="EE109" s="231"/>
      <c r="EF109" s="231"/>
      <c r="EG109" s="231"/>
      <c r="EH109" s="231"/>
      <c r="EI109" s="231"/>
      <c r="EJ109" s="231"/>
      <c r="EK109" s="231"/>
      <c r="EL109" s="231"/>
      <c r="EM109" s="231"/>
      <c r="EN109" s="231"/>
      <c r="EO109" s="231"/>
      <c r="EP109" s="231"/>
      <c r="EQ109" s="231"/>
      <c r="ER109" s="231"/>
      <c r="ES109" s="231"/>
      <c r="ET109" s="231"/>
      <c r="EU109" s="231"/>
      <c r="EV109" s="231"/>
      <c r="EW109" s="231"/>
      <c r="EX109" s="231"/>
      <c r="EY109" s="231"/>
      <c r="EZ109" s="231"/>
      <c r="FA109" s="231"/>
      <c r="FB109" s="231"/>
      <c r="FC109" s="231"/>
      <c r="FD109" s="231"/>
      <c r="FE109" s="231"/>
      <c r="FF109" s="231"/>
      <c r="FG109" s="231"/>
      <c r="FH109" s="231"/>
      <c r="FI109" s="231"/>
      <c r="FJ109" s="231"/>
      <c r="FK109" s="231"/>
      <c r="FL109" s="231"/>
      <c r="FM109" s="231"/>
      <c r="FN109" s="231"/>
      <c r="FO109" s="231"/>
      <c r="FP109" s="231"/>
      <c r="FQ109" s="231"/>
      <c r="FR109" s="231"/>
      <c r="FS109" s="231"/>
      <c r="FT109" s="231"/>
      <c r="FU109" s="231"/>
      <c r="FV109" s="231"/>
      <c r="FW109" s="231"/>
      <c r="FX109" s="231"/>
      <c r="FY109" s="231"/>
      <c r="FZ109" s="231"/>
      <c r="GA109" s="231"/>
      <c r="GB109" s="231"/>
      <c r="GC109" s="231"/>
      <c r="GD109" s="231"/>
      <c r="GE109" s="231"/>
      <c r="GF109" s="231"/>
      <c r="GG109" s="231"/>
      <c r="GH109" s="231"/>
      <c r="GI109" s="231"/>
      <c r="GJ109" s="231"/>
      <c r="GK109" s="231"/>
      <c r="GL109" s="231"/>
      <c r="GM109" s="231"/>
      <c r="GN109" s="231"/>
      <c r="GO109" s="231"/>
      <c r="GP109" s="231"/>
      <c r="GQ109" s="231"/>
      <c r="GR109" s="231"/>
      <c r="GS109" s="231"/>
      <c r="GT109" s="231"/>
      <c r="GU109" s="231"/>
      <c r="GV109" s="231"/>
      <c r="GW109" s="231"/>
      <c r="GX109" s="231"/>
      <c r="GY109" s="231"/>
      <c r="GZ109" s="231"/>
      <c r="HA109" s="231"/>
      <c r="HB109" s="231"/>
      <c r="HC109" s="231"/>
      <c r="HD109" s="231"/>
      <c r="HE109" s="231"/>
      <c r="HF109" s="231"/>
      <c r="HG109" s="231"/>
      <c r="HH109" s="231"/>
      <c r="HI109" s="231"/>
      <c r="HJ109" s="231"/>
      <c r="HK109" s="231"/>
      <c r="HL109" s="231"/>
      <c r="HM109" s="231"/>
      <c r="HN109" s="231"/>
      <c r="HO109" s="231"/>
      <c r="HP109" s="231"/>
      <c r="HQ109" s="231"/>
      <c r="HR109" s="231"/>
      <c r="HS109" s="231"/>
      <c r="HT109" s="231"/>
      <c r="HU109" s="231"/>
      <c r="HV109" s="231"/>
      <c r="HW109" s="231"/>
      <c r="HX109" s="231"/>
      <c r="HY109" s="231"/>
      <c r="HZ109" s="231"/>
      <c r="IA109" s="231"/>
      <c r="IB109" s="232"/>
    </row>
    <row r="110" spans="1:236" s="233" customFormat="1" ht="13.15" customHeight="1">
      <c r="A110" s="223"/>
      <c r="B110" s="224">
        <v>3</v>
      </c>
      <c r="C110" s="688"/>
      <c r="D110" s="442" t="s">
        <v>244</v>
      </c>
      <c r="E110" s="564">
        <v>0.25734499999999999</v>
      </c>
      <c r="F110" s="445">
        <f>+E110*'Resumen Pelagicos'!$D$40</f>
        <v>3528.9719849999997</v>
      </c>
      <c r="G110" s="444">
        <f>-2335-820</f>
        <v>-3155</v>
      </c>
      <c r="H110" s="445">
        <f t="shared" si="14"/>
        <v>373.97198499999968</v>
      </c>
      <c r="I110" s="446">
        <v>59.502000000000002</v>
      </c>
      <c r="J110" s="446">
        <v>0</v>
      </c>
      <c r="K110" s="447">
        <v>0</v>
      </c>
      <c r="L110" s="443">
        <f t="shared" si="11"/>
        <v>314.46998499999967</v>
      </c>
      <c r="M110" s="448">
        <f t="shared" si="7"/>
        <v>0.15910817490780774</v>
      </c>
      <c r="N110" s="283" t="s">
        <v>142</v>
      </c>
      <c r="O110" s="578"/>
      <c r="P110" s="578"/>
      <c r="Q110" s="578"/>
      <c r="R110" s="578"/>
      <c r="S110" s="578"/>
      <c r="T110" s="229"/>
      <c r="U110" s="229"/>
      <c r="V110" s="229"/>
      <c r="W110" s="229"/>
      <c r="X110" s="229"/>
      <c r="Y110" s="229"/>
      <c r="Z110" s="229"/>
      <c r="AA110" s="229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  <c r="CG110" s="230"/>
      <c r="CH110" s="230"/>
      <c r="CI110" s="230"/>
      <c r="CJ110" s="230"/>
      <c r="CK110" s="230"/>
      <c r="CL110" s="230"/>
      <c r="CM110" s="230"/>
      <c r="CN110" s="231"/>
      <c r="CO110" s="231"/>
      <c r="CP110" s="231"/>
      <c r="CQ110" s="231"/>
      <c r="CR110" s="231"/>
      <c r="CS110" s="231"/>
      <c r="CT110" s="231"/>
      <c r="CU110" s="231"/>
      <c r="CV110" s="231"/>
      <c r="CW110" s="231"/>
      <c r="CX110" s="231"/>
      <c r="CY110" s="231"/>
      <c r="CZ110" s="231"/>
      <c r="DA110" s="231"/>
      <c r="DB110" s="231"/>
      <c r="DC110" s="231"/>
      <c r="DD110" s="231"/>
      <c r="DE110" s="231"/>
      <c r="DF110" s="231"/>
      <c r="DG110" s="231"/>
      <c r="DH110" s="231"/>
      <c r="DI110" s="231"/>
      <c r="DJ110" s="231"/>
      <c r="DK110" s="231"/>
      <c r="DL110" s="231"/>
      <c r="DM110" s="231"/>
      <c r="DN110" s="231"/>
      <c r="DO110" s="231"/>
      <c r="DP110" s="231"/>
      <c r="DQ110" s="231"/>
      <c r="DR110" s="231"/>
      <c r="DS110" s="231"/>
      <c r="DT110" s="231"/>
      <c r="DU110" s="231"/>
      <c r="DV110" s="231"/>
      <c r="DW110" s="231"/>
      <c r="DX110" s="231"/>
      <c r="DY110" s="231"/>
      <c r="DZ110" s="231"/>
      <c r="EA110" s="231"/>
      <c r="EB110" s="231"/>
      <c r="EC110" s="231"/>
      <c r="ED110" s="231"/>
      <c r="EE110" s="231"/>
      <c r="EF110" s="231"/>
      <c r="EG110" s="231"/>
      <c r="EH110" s="231"/>
      <c r="EI110" s="231"/>
      <c r="EJ110" s="231"/>
      <c r="EK110" s="231"/>
      <c r="EL110" s="231"/>
      <c r="EM110" s="231"/>
      <c r="EN110" s="231"/>
      <c r="EO110" s="231"/>
      <c r="EP110" s="231"/>
      <c r="EQ110" s="231"/>
      <c r="ER110" s="231"/>
      <c r="ES110" s="231"/>
      <c r="ET110" s="231"/>
      <c r="EU110" s="231"/>
      <c r="EV110" s="231"/>
      <c r="EW110" s="231"/>
      <c r="EX110" s="231"/>
      <c r="EY110" s="231"/>
      <c r="EZ110" s="231"/>
      <c r="FA110" s="231"/>
      <c r="FB110" s="231"/>
      <c r="FC110" s="231"/>
      <c r="FD110" s="231"/>
      <c r="FE110" s="231"/>
      <c r="FF110" s="231"/>
      <c r="FG110" s="231"/>
      <c r="FH110" s="231"/>
      <c r="FI110" s="231"/>
      <c r="FJ110" s="231"/>
      <c r="FK110" s="231"/>
      <c r="FL110" s="231"/>
      <c r="FM110" s="231"/>
      <c r="FN110" s="231"/>
      <c r="FO110" s="231"/>
      <c r="FP110" s="231"/>
      <c r="FQ110" s="231"/>
      <c r="FR110" s="231"/>
      <c r="FS110" s="231"/>
      <c r="FT110" s="231"/>
      <c r="FU110" s="231"/>
      <c r="FV110" s="231"/>
      <c r="FW110" s="231"/>
      <c r="FX110" s="231"/>
      <c r="FY110" s="231"/>
      <c r="FZ110" s="231"/>
      <c r="GA110" s="231"/>
      <c r="GB110" s="231"/>
      <c r="GC110" s="231"/>
      <c r="GD110" s="231"/>
      <c r="GE110" s="231"/>
      <c r="GF110" s="231"/>
      <c r="GG110" s="231"/>
      <c r="GH110" s="231"/>
      <c r="GI110" s="231"/>
      <c r="GJ110" s="231"/>
      <c r="GK110" s="231"/>
      <c r="GL110" s="231"/>
      <c r="GM110" s="231"/>
      <c r="GN110" s="231"/>
      <c r="GO110" s="231"/>
      <c r="GP110" s="231"/>
      <c r="GQ110" s="231"/>
      <c r="GR110" s="231"/>
      <c r="GS110" s="231"/>
      <c r="GT110" s="231"/>
      <c r="GU110" s="231"/>
      <c r="GV110" s="231"/>
      <c r="GW110" s="231"/>
      <c r="GX110" s="231"/>
      <c r="GY110" s="231"/>
      <c r="GZ110" s="231"/>
      <c r="HA110" s="231"/>
      <c r="HB110" s="231"/>
      <c r="HC110" s="231"/>
      <c r="HD110" s="231"/>
      <c r="HE110" s="231"/>
      <c r="HF110" s="231"/>
      <c r="HG110" s="231"/>
      <c r="HH110" s="231"/>
      <c r="HI110" s="231"/>
      <c r="HJ110" s="231"/>
      <c r="HK110" s="231"/>
      <c r="HL110" s="231"/>
      <c r="HM110" s="231"/>
      <c r="HN110" s="231"/>
      <c r="HO110" s="231"/>
      <c r="HP110" s="231"/>
      <c r="HQ110" s="231"/>
      <c r="HR110" s="231"/>
      <c r="HS110" s="231"/>
      <c r="HT110" s="231"/>
      <c r="HU110" s="231"/>
      <c r="HV110" s="231"/>
      <c r="HW110" s="231"/>
      <c r="HX110" s="231"/>
      <c r="HY110" s="231"/>
      <c r="HZ110" s="231"/>
      <c r="IA110" s="231"/>
      <c r="IB110" s="232"/>
    </row>
    <row r="111" spans="1:236" s="233" customFormat="1" ht="13.15" customHeight="1">
      <c r="A111" s="223"/>
      <c r="B111" s="224">
        <v>4</v>
      </c>
      <c r="C111" s="688"/>
      <c r="D111" s="442" t="s">
        <v>268</v>
      </c>
      <c r="E111" s="564">
        <v>7.4871999999999994E-2</v>
      </c>
      <c r="F111" s="445">
        <f>+E111*'Resumen Pelagicos'!$D$40</f>
        <v>1026.719736</v>
      </c>
      <c r="G111" s="444">
        <v>-780</v>
      </c>
      <c r="H111" s="445">
        <f t="shared" si="14"/>
        <v>246.71973600000001</v>
      </c>
      <c r="I111" s="446">
        <v>0.72</v>
      </c>
      <c r="J111" s="446">
        <v>0</v>
      </c>
      <c r="K111" s="447">
        <v>0</v>
      </c>
      <c r="L111" s="443">
        <f t="shared" si="11"/>
        <v>245.99973600000001</v>
      </c>
      <c r="M111" s="448">
        <f t="shared" si="7"/>
        <v>2.9182910604281772E-3</v>
      </c>
      <c r="N111" s="283" t="s">
        <v>142</v>
      </c>
      <c r="O111" s="578"/>
      <c r="P111" s="578"/>
      <c r="Q111" s="578"/>
      <c r="R111" s="578"/>
      <c r="S111" s="578"/>
      <c r="T111" s="229"/>
      <c r="U111" s="229"/>
      <c r="V111" s="229"/>
      <c r="W111" s="229"/>
      <c r="X111" s="229"/>
      <c r="Y111" s="229"/>
      <c r="Z111" s="229"/>
      <c r="AA111" s="229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  <c r="CF111" s="230"/>
      <c r="CG111" s="230"/>
      <c r="CH111" s="230"/>
      <c r="CI111" s="230"/>
      <c r="CJ111" s="230"/>
      <c r="CK111" s="230"/>
      <c r="CL111" s="230"/>
      <c r="CM111" s="230"/>
      <c r="CN111" s="231"/>
      <c r="CO111" s="231"/>
      <c r="CP111" s="231"/>
      <c r="CQ111" s="231"/>
      <c r="CR111" s="231"/>
      <c r="CS111" s="231"/>
      <c r="CT111" s="231"/>
      <c r="CU111" s="231"/>
      <c r="CV111" s="231"/>
      <c r="CW111" s="231"/>
      <c r="CX111" s="231"/>
      <c r="CY111" s="231"/>
      <c r="CZ111" s="231"/>
      <c r="DA111" s="231"/>
      <c r="DB111" s="231"/>
      <c r="DC111" s="231"/>
      <c r="DD111" s="231"/>
      <c r="DE111" s="231"/>
      <c r="DF111" s="231"/>
      <c r="DG111" s="231"/>
      <c r="DH111" s="231"/>
      <c r="DI111" s="231"/>
      <c r="DJ111" s="231"/>
      <c r="DK111" s="231"/>
      <c r="DL111" s="231"/>
      <c r="DM111" s="231"/>
      <c r="DN111" s="231"/>
      <c r="DO111" s="231"/>
      <c r="DP111" s="231"/>
      <c r="DQ111" s="231"/>
      <c r="DR111" s="231"/>
      <c r="DS111" s="231"/>
      <c r="DT111" s="231"/>
      <c r="DU111" s="231"/>
      <c r="DV111" s="231"/>
      <c r="DW111" s="231"/>
      <c r="DX111" s="231"/>
      <c r="DY111" s="231"/>
      <c r="DZ111" s="231"/>
      <c r="EA111" s="231"/>
      <c r="EB111" s="231"/>
      <c r="EC111" s="231"/>
      <c r="ED111" s="231"/>
      <c r="EE111" s="231"/>
      <c r="EF111" s="231"/>
      <c r="EG111" s="231"/>
      <c r="EH111" s="231"/>
      <c r="EI111" s="231"/>
      <c r="EJ111" s="231"/>
      <c r="EK111" s="231"/>
      <c r="EL111" s="231"/>
      <c r="EM111" s="231"/>
      <c r="EN111" s="231"/>
      <c r="EO111" s="231"/>
      <c r="EP111" s="231"/>
      <c r="EQ111" s="231"/>
      <c r="ER111" s="231"/>
      <c r="ES111" s="231"/>
      <c r="ET111" s="231"/>
      <c r="EU111" s="231"/>
      <c r="EV111" s="231"/>
      <c r="EW111" s="231"/>
      <c r="EX111" s="231"/>
      <c r="EY111" s="231"/>
      <c r="EZ111" s="231"/>
      <c r="FA111" s="231"/>
      <c r="FB111" s="231"/>
      <c r="FC111" s="231"/>
      <c r="FD111" s="231"/>
      <c r="FE111" s="231"/>
      <c r="FF111" s="231"/>
      <c r="FG111" s="231"/>
      <c r="FH111" s="231"/>
      <c r="FI111" s="231"/>
      <c r="FJ111" s="231"/>
      <c r="FK111" s="231"/>
      <c r="FL111" s="231"/>
      <c r="FM111" s="231"/>
      <c r="FN111" s="231"/>
      <c r="FO111" s="231"/>
      <c r="FP111" s="231"/>
      <c r="FQ111" s="231"/>
      <c r="FR111" s="231"/>
      <c r="FS111" s="231"/>
      <c r="FT111" s="231"/>
      <c r="FU111" s="231"/>
      <c r="FV111" s="231"/>
      <c r="FW111" s="231"/>
      <c r="FX111" s="231"/>
      <c r="FY111" s="231"/>
      <c r="FZ111" s="231"/>
      <c r="GA111" s="231"/>
      <c r="GB111" s="231"/>
      <c r="GC111" s="231"/>
      <c r="GD111" s="231"/>
      <c r="GE111" s="231"/>
      <c r="GF111" s="231"/>
      <c r="GG111" s="231"/>
      <c r="GH111" s="231"/>
      <c r="GI111" s="231"/>
      <c r="GJ111" s="231"/>
      <c r="GK111" s="231"/>
      <c r="GL111" s="231"/>
      <c r="GM111" s="231"/>
      <c r="GN111" s="231"/>
      <c r="GO111" s="231"/>
      <c r="GP111" s="231"/>
      <c r="GQ111" s="231"/>
      <c r="GR111" s="231"/>
      <c r="GS111" s="231"/>
      <c r="GT111" s="231"/>
      <c r="GU111" s="231"/>
      <c r="GV111" s="231"/>
      <c r="GW111" s="231"/>
      <c r="GX111" s="231"/>
      <c r="GY111" s="231"/>
      <c r="GZ111" s="231"/>
      <c r="HA111" s="231"/>
      <c r="HB111" s="231"/>
      <c r="HC111" s="231"/>
      <c r="HD111" s="231"/>
      <c r="HE111" s="231"/>
      <c r="HF111" s="231"/>
      <c r="HG111" s="231"/>
      <c r="HH111" s="231"/>
      <c r="HI111" s="231"/>
      <c r="HJ111" s="231"/>
      <c r="HK111" s="231"/>
      <c r="HL111" s="231"/>
      <c r="HM111" s="231"/>
      <c r="HN111" s="231"/>
      <c r="HO111" s="231"/>
      <c r="HP111" s="231"/>
      <c r="HQ111" s="231"/>
      <c r="HR111" s="231"/>
      <c r="HS111" s="231"/>
      <c r="HT111" s="231"/>
      <c r="HU111" s="231"/>
      <c r="HV111" s="231"/>
      <c r="HW111" s="231"/>
      <c r="HX111" s="231"/>
      <c r="HY111" s="231"/>
      <c r="HZ111" s="231"/>
      <c r="IA111" s="231"/>
      <c r="IB111" s="232"/>
    </row>
    <row r="112" spans="1:236" s="233" customFormat="1" ht="13.15" customHeight="1">
      <c r="A112" s="223"/>
      <c r="B112" s="224">
        <v>5</v>
      </c>
      <c r="C112" s="688"/>
      <c r="D112" s="442" t="s">
        <v>246</v>
      </c>
      <c r="E112" s="564">
        <v>7.8673000000000007E-2</v>
      </c>
      <c r="F112" s="445">
        <f>+E112*'Resumen Pelagicos'!$D$40</f>
        <v>1078.8428490000001</v>
      </c>
      <c r="G112" s="444">
        <f>-300-200-250-200</f>
        <v>-950</v>
      </c>
      <c r="H112" s="445">
        <f t="shared" si="14"/>
        <v>128.84284900000011</v>
      </c>
      <c r="I112" s="446">
        <v>65.694999999999993</v>
      </c>
      <c r="J112" s="446">
        <v>0</v>
      </c>
      <c r="K112" s="447">
        <v>0</v>
      </c>
      <c r="L112" s="443">
        <f t="shared" si="11"/>
        <v>63.147849000000122</v>
      </c>
      <c r="M112" s="448">
        <f>+(I112+J112+K112)/H112</f>
        <v>0.50988472010580843</v>
      </c>
      <c r="N112" s="283" t="s">
        <v>142</v>
      </c>
      <c r="O112" s="578"/>
      <c r="P112" s="578"/>
      <c r="Q112" s="578"/>
      <c r="R112" s="578"/>
      <c r="S112" s="578"/>
      <c r="T112" s="229"/>
      <c r="U112" s="229"/>
      <c r="V112" s="229"/>
      <c r="W112" s="229"/>
      <c r="X112" s="229"/>
      <c r="Y112" s="229"/>
      <c r="Z112" s="229"/>
      <c r="AA112" s="229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  <c r="CF112" s="230"/>
      <c r="CG112" s="230"/>
      <c r="CH112" s="230"/>
      <c r="CI112" s="230"/>
      <c r="CJ112" s="230"/>
      <c r="CK112" s="230"/>
      <c r="CL112" s="230"/>
      <c r="CM112" s="230"/>
      <c r="CN112" s="231"/>
      <c r="CO112" s="231"/>
      <c r="CP112" s="231"/>
      <c r="CQ112" s="231"/>
      <c r="CR112" s="231"/>
      <c r="CS112" s="231"/>
      <c r="CT112" s="231"/>
      <c r="CU112" s="231"/>
      <c r="CV112" s="231"/>
      <c r="CW112" s="231"/>
      <c r="CX112" s="231"/>
      <c r="CY112" s="231"/>
      <c r="CZ112" s="231"/>
      <c r="DA112" s="231"/>
      <c r="DB112" s="231"/>
      <c r="DC112" s="231"/>
      <c r="DD112" s="231"/>
      <c r="DE112" s="231"/>
      <c r="DF112" s="231"/>
      <c r="DG112" s="231"/>
      <c r="DH112" s="231"/>
      <c r="DI112" s="231"/>
      <c r="DJ112" s="231"/>
      <c r="DK112" s="231"/>
      <c r="DL112" s="231"/>
      <c r="DM112" s="231"/>
      <c r="DN112" s="231"/>
      <c r="DO112" s="231"/>
      <c r="DP112" s="231"/>
      <c r="DQ112" s="231"/>
      <c r="DR112" s="231"/>
      <c r="DS112" s="231"/>
      <c r="DT112" s="231"/>
      <c r="DU112" s="231"/>
      <c r="DV112" s="231"/>
      <c r="DW112" s="231"/>
      <c r="DX112" s="231"/>
      <c r="DY112" s="231"/>
      <c r="DZ112" s="231"/>
      <c r="EA112" s="231"/>
      <c r="EB112" s="231"/>
      <c r="EC112" s="231"/>
      <c r="ED112" s="231"/>
      <c r="EE112" s="231"/>
      <c r="EF112" s="231"/>
      <c r="EG112" s="231"/>
      <c r="EH112" s="231"/>
      <c r="EI112" s="231"/>
      <c r="EJ112" s="231"/>
      <c r="EK112" s="231"/>
      <c r="EL112" s="231"/>
      <c r="EM112" s="231"/>
      <c r="EN112" s="231"/>
      <c r="EO112" s="231"/>
      <c r="EP112" s="231"/>
      <c r="EQ112" s="231"/>
      <c r="ER112" s="231"/>
      <c r="ES112" s="231"/>
      <c r="ET112" s="231"/>
      <c r="EU112" s="231"/>
      <c r="EV112" s="231"/>
      <c r="EW112" s="231"/>
      <c r="EX112" s="231"/>
      <c r="EY112" s="231"/>
      <c r="EZ112" s="231"/>
      <c r="FA112" s="231"/>
      <c r="FB112" s="231"/>
      <c r="FC112" s="231"/>
      <c r="FD112" s="231"/>
      <c r="FE112" s="231"/>
      <c r="FF112" s="231"/>
      <c r="FG112" s="231"/>
      <c r="FH112" s="231"/>
      <c r="FI112" s="231"/>
      <c r="FJ112" s="231"/>
      <c r="FK112" s="231"/>
      <c r="FL112" s="231"/>
      <c r="FM112" s="231"/>
      <c r="FN112" s="231"/>
      <c r="FO112" s="231"/>
      <c r="FP112" s="231"/>
      <c r="FQ112" s="231"/>
      <c r="FR112" s="231"/>
      <c r="FS112" s="231"/>
      <c r="FT112" s="231"/>
      <c r="FU112" s="231"/>
      <c r="FV112" s="231"/>
      <c r="FW112" s="231"/>
      <c r="FX112" s="231"/>
      <c r="FY112" s="231"/>
      <c r="FZ112" s="231"/>
      <c r="GA112" s="231"/>
      <c r="GB112" s="231"/>
      <c r="GC112" s="231"/>
      <c r="GD112" s="231"/>
      <c r="GE112" s="231"/>
      <c r="GF112" s="231"/>
      <c r="GG112" s="231"/>
      <c r="GH112" s="231"/>
      <c r="GI112" s="231"/>
      <c r="GJ112" s="231"/>
      <c r="GK112" s="231"/>
      <c r="GL112" s="231"/>
      <c r="GM112" s="231"/>
      <c r="GN112" s="231"/>
      <c r="GO112" s="231"/>
      <c r="GP112" s="231"/>
      <c r="GQ112" s="231"/>
      <c r="GR112" s="231"/>
      <c r="GS112" s="231"/>
      <c r="GT112" s="231"/>
      <c r="GU112" s="231"/>
      <c r="GV112" s="231"/>
      <c r="GW112" s="231"/>
      <c r="GX112" s="231"/>
      <c r="GY112" s="231"/>
      <c r="GZ112" s="231"/>
      <c r="HA112" s="231"/>
      <c r="HB112" s="231"/>
      <c r="HC112" s="231"/>
      <c r="HD112" s="231"/>
      <c r="HE112" s="231"/>
      <c r="HF112" s="231"/>
      <c r="HG112" s="231"/>
      <c r="HH112" s="231"/>
      <c r="HI112" s="231"/>
      <c r="HJ112" s="231"/>
      <c r="HK112" s="231"/>
      <c r="HL112" s="231"/>
      <c r="HM112" s="231"/>
      <c r="HN112" s="231"/>
      <c r="HO112" s="231"/>
      <c r="HP112" s="231"/>
      <c r="HQ112" s="231"/>
      <c r="HR112" s="231"/>
      <c r="HS112" s="231"/>
      <c r="HT112" s="231"/>
      <c r="HU112" s="231"/>
      <c r="HV112" s="231"/>
      <c r="HW112" s="231"/>
      <c r="HX112" s="231"/>
      <c r="HY112" s="231"/>
      <c r="HZ112" s="231"/>
      <c r="IA112" s="231"/>
      <c r="IB112" s="232"/>
    </row>
    <row r="113" spans="1:236" s="233" customFormat="1" ht="13.15" customHeight="1">
      <c r="A113" s="223"/>
      <c r="B113" s="224">
        <v>6</v>
      </c>
      <c r="C113" s="688"/>
      <c r="D113" s="442" t="s">
        <v>247</v>
      </c>
      <c r="E113" s="564">
        <v>4.7795999999999998E-2</v>
      </c>
      <c r="F113" s="445">
        <f>+E113*'Resumen Pelagicos'!$D$40</f>
        <v>655.42654800000003</v>
      </c>
      <c r="G113" s="495">
        <f>-119-299-119-90</f>
        <v>-627</v>
      </c>
      <c r="H113" s="445">
        <f t="shared" si="14"/>
        <v>28.426548000000025</v>
      </c>
      <c r="I113" s="446">
        <v>2.9000000000000004</v>
      </c>
      <c r="J113" s="446">
        <v>0</v>
      </c>
      <c r="K113" s="447">
        <v>0</v>
      </c>
      <c r="L113" s="443">
        <f t="shared" si="11"/>
        <v>25.526548000000027</v>
      </c>
      <c r="M113" s="448">
        <f t="shared" si="7"/>
        <v>0.10201731142311046</v>
      </c>
      <c r="N113" s="283" t="s">
        <v>142</v>
      </c>
      <c r="O113" s="578"/>
      <c r="P113" s="578"/>
      <c r="Q113" s="578"/>
      <c r="R113" s="578"/>
      <c r="S113" s="578"/>
      <c r="T113" s="229"/>
      <c r="U113" s="229"/>
      <c r="V113" s="229"/>
      <c r="W113" s="229"/>
      <c r="X113" s="229"/>
      <c r="Y113" s="229"/>
      <c r="Z113" s="229"/>
      <c r="AA113" s="229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  <c r="CF113" s="230"/>
      <c r="CG113" s="230"/>
      <c r="CH113" s="230"/>
      <c r="CI113" s="230"/>
      <c r="CJ113" s="230"/>
      <c r="CK113" s="230"/>
      <c r="CL113" s="230"/>
      <c r="CM113" s="230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1"/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231"/>
      <c r="DQ113" s="231"/>
      <c r="DR113" s="231"/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  <c r="EG113" s="231"/>
      <c r="EH113" s="231"/>
      <c r="EI113" s="231"/>
      <c r="EJ113" s="231"/>
      <c r="EK113" s="231"/>
      <c r="EL113" s="231"/>
      <c r="EM113" s="231"/>
      <c r="EN113" s="231"/>
      <c r="EO113" s="231"/>
      <c r="EP113" s="231"/>
      <c r="EQ113" s="231"/>
      <c r="ER113" s="231"/>
      <c r="ES113" s="231"/>
      <c r="ET113" s="231"/>
      <c r="EU113" s="231"/>
      <c r="EV113" s="231"/>
      <c r="EW113" s="231"/>
      <c r="EX113" s="231"/>
      <c r="EY113" s="231"/>
      <c r="EZ113" s="231"/>
      <c r="FA113" s="231"/>
      <c r="FB113" s="231"/>
      <c r="FC113" s="231"/>
      <c r="FD113" s="231"/>
      <c r="FE113" s="231"/>
      <c r="FF113" s="231"/>
      <c r="FG113" s="231"/>
      <c r="FH113" s="231"/>
      <c r="FI113" s="231"/>
      <c r="FJ113" s="231"/>
      <c r="FK113" s="231"/>
      <c r="FL113" s="231"/>
      <c r="FM113" s="231"/>
      <c r="FN113" s="231"/>
      <c r="FO113" s="231"/>
      <c r="FP113" s="231"/>
      <c r="FQ113" s="231"/>
      <c r="FR113" s="231"/>
      <c r="FS113" s="231"/>
      <c r="FT113" s="231"/>
      <c r="FU113" s="231"/>
      <c r="FV113" s="231"/>
      <c r="FW113" s="231"/>
      <c r="FX113" s="231"/>
      <c r="FY113" s="231"/>
      <c r="FZ113" s="231"/>
      <c r="GA113" s="231"/>
      <c r="GB113" s="231"/>
      <c r="GC113" s="231"/>
      <c r="GD113" s="231"/>
      <c r="GE113" s="231"/>
      <c r="GF113" s="231"/>
      <c r="GG113" s="231"/>
      <c r="GH113" s="231"/>
      <c r="GI113" s="231"/>
      <c r="GJ113" s="231"/>
      <c r="GK113" s="231"/>
      <c r="GL113" s="231"/>
      <c r="GM113" s="231"/>
      <c r="GN113" s="231"/>
      <c r="GO113" s="231"/>
      <c r="GP113" s="231"/>
      <c r="GQ113" s="231"/>
      <c r="GR113" s="231"/>
      <c r="GS113" s="231"/>
      <c r="GT113" s="231"/>
      <c r="GU113" s="231"/>
      <c r="GV113" s="231"/>
      <c r="GW113" s="231"/>
      <c r="GX113" s="231"/>
      <c r="GY113" s="231"/>
      <c r="GZ113" s="231"/>
      <c r="HA113" s="231"/>
      <c r="HB113" s="231"/>
      <c r="HC113" s="231"/>
      <c r="HD113" s="231"/>
      <c r="HE113" s="231"/>
      <c r="HF113" s="231"/>
      <c r="HG113" s="231"/>
      <c r="HH113" s="231"/>
      <c r="HI113" s="231"/>
      <c r="HJ113" s="231"/>
      <c r="HK113" s="231"/>
      <c r="HL113" s="231"/>
      <c r="HM113" s="231"/>
      <c r="HN113" s="231"/>
      <c r="HO113" s="231"/>
      <c r="HP113" s="231"/>
      <c r="HQ113" s="231"/>
      <c r="HR113" s="231"/>
      <c r="HS113" s="231"/>
      <c r="HT113" s="231"/>
      <c r="HU113" s="231"/>
      <c r="HV113" s="231"/>
      <c r="HW113" s="231"/>
      <c r="HX113" s="231"/>
      <c r="HY113" s="231"/>
      <c r="HZ113" s="231"/>
      <c r="IA113" s="231"/>
      <c r="IB113" s="232"/>
    </row>
    <row r="114" spans="1:236" s="232" customFormat="1" ht="13.15" customHeight="1">
      <c r="A114" s="223"/>
      <c r="B114" s="224">
        <v>7</v>
      </c>
      <c r="C114" s="688"/>
      <c r="D114" s="442" t="s">
        <v>248</v>
      </c>
      <c r="E114" s="564">
        <v>3.9432000000000002E-2</v>
      </c>
      <c r="F114" s="445">
        <f>+E114*'Resumen Pelagicos'!$D$40</f>
        <v>540.73101600000007</v>
      </c>
      <c r="G114" s="444">
        <f>-300-100-128</f>
        <v>-528</v>
      </c>
      <c r="H114" s="445">
        <f t="shared" si="14"/>
        <v>12.731016000000068</v>
      </c>
      <c r="I114" s="446">
        <v>5.6589999999999998</v>
      </c>
      <c r="J114" s="446">
        <v>0</v>
      </c>
      <c r="K114" s="447">
        <v>0</v>
      </c>
      <c r="L114" s="443">
        <f t="shared" si="11"/>
        <v>7.072016000000068</v>
      </c>
      <c r="M114" s="448">
        <f t="shared" si="7"/>
        <v>0.44450497902131059</v>
      </c>
      <c r="N114" s="283" t="s">
        <v>142</v>
      </c>
      <c r="O114" s="578"/>
      <c r="P114" s="578"/>
      <c r="Q114" s="578"/>
      <c r="R114" s="578"/>
      <c r="S114" s="578"/>
      <c r="T114" s="229"/>
      <c r="U114" s="229"/>
      <c r="V114" s="229"/>
      <c r="W114" s="229"/>
      <c r="X114" s="229"/>
      <c r="Y114" s="229"/>
      <c r="Z114" s="229"/>
      <c r="AA114" s="229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  <c r="CM114" s="230"/>
      <c r="CN114" s="231"/>
      <c r="CO114" s="231"/>
      <c r="CP114" s="231"/>
      <c r="CQ114" s="231"/>
      <c r="CR114" s="231"/>
      <c r="CS114" s="231"/>
      <c r="CT114" s="231"/>
      <c r="CU114" s="231"/>
      <c r="CV114" s="231"/>
      <c r="CW114" s="231"/>
      <c r="CX114" s="231"/>
      <c r="CY114" s="231"/>
      <c r="CZ114" s="231"/>
      <c r="DA114" s="231"/>
      <c r="DB114" s="231"/>
      <c r="DC114" s="231"/>
      <c r="DD114" s="231"/>
      <c r="DE114" s="231"/>
      <c r="DF114" s="231"/>
      <c r="DG114" s="231"/>
      <c r="DH114" s="231"/>
      <c r="DI114" s="231"/>
      <c r="DJ114" s="231"/>
      <c r="DK114" s="231"/>
      <c r="DL114" s="231"/>
      <c r="DM114" s="231"/>
      <c r="DN114" s="231"/>
      <c r="DO114" s="231"/>
      <c r="DP114" s="231"/>
      <c r="DQ114" s="231"/>
      <c r="DR114" s="231"/>
      <c r="DS114" s="231"/>
      <c r="DT114" s="231"/>
      <c r="DU114" s="231"/>
      <c r="DV114" s="231"/>
      <c r="DW114" s="231"/>
      <c r="DX114" s="231"/>
      <c r="DY114" s="231"/>
      <c r="DZ114" s="231"/>
      <c r="EA114" s="231"/>
      <c r="EB114" s="231"/>
      <c r="EC114" s="231"/>
      <c r="ED114" s="231"/>
      <c r="EE114" s="231"/>
      <c r="EF114" s="231"/>
      <c r="EG114" s="231"/>
      <c r="EH114" s="231"/>
      <c r="EI114" s="231"/>
      <c r="EJ114" s="231"/>
      <c r="EK114" s="231"/>
      <c r="EL114" s="231"/>
      <c r="EM114" s="231"/>
      <c r="EN114" s="231"/>
      <c r="EO114" s="231"/>
      <c r="EP114" s="231"/>
      <c r="EQ114" s="231"/>
      <c r="ER114" s="231"/>
      <c r="ES114" s="231"/>
      <c r="ET114" s="231"/>
      <c r="EU114" s="231"/>
      <c r="EV114" s="231"/>
      <c r="EW114" s="231"/>
      <c r="EX114" s="231"/>
      <c r="EY114" s="231"/>
      <c r="EZ114" s="231"/>
      <c r="FA114" s="231"/>
      <c r="FB114" s="231"/>
      <c r="FC114" s="231"/>
      <c r="FD114" s="231"/>
      <c r="FE114" s="231"/>
      <c r="FF114" s="231"/>
      <c r="FG114" s="231"/>
      <c r="FH114" s="231"/>
      <c r="FI114" s="231"/>
      <c r="FJ114" s="231"/>
      <c r="FK114" s="231"/>
      <c r="FL114" s="231"/>
      <c r="FM114" s="231"/>
      <c r="FN114" s="231"/>
      <c r="FO114" s="231"/>
      <c r="FP114" s="231"/>
      <c r="FQ114" s="231"/>
      <c r="FR114" s="231"/>
      <c r="FS114" s="231"/>
      <c r="FT114" s="231"/>
      <c r="FU114" s="231"/>
      <c r="FV114" s="231"/>
      <c r="FW114" s="231"/>
      <c r="FX114" s="231"/>
      <c r="FY114" s="231"/>
      <c r="FZ114" s="231"/>
      <c r="GA114" s="231"/>
      <c r="GB114" s="231"/>
      <c r="GC114" s="231"/>
      <c r="GD114" s="231"/>
      <c r="GE114" s="231"/>
      <c r="GF114" s="231"/>
      <c r="GG114" s="231"/>
      <c r="GH114" s="231"/>
      <c r="GI114" s="231"/>
      <c r="GJ114" s="231"/>
      <c r="GK114" s="231"/>
      <c r="GL114" s="231"/>
      <c r="GM114" s="231"/>
      <c r="GN114" s="231"/>
      <c r="GO114" s="231"/>
      <c r="GP114" s="231"/>
      <c r="GQ114" s="231"/>
      <c r="GR114" s="231"/>
      <c r="GS114" s="231"/>
      <c r="GT114" s="231"/>
      <c r="GU114" s="231"/>
      <c r="GV114" s="231"/>
      <c r="GW114" s="231"/>
      <c r="GX114" s="231"/>
      <c r="GY114" s="231"/>
      <c r="GZ114" s="231"/>
      <c r="HA114" s="231"/>
      <c r="HB114" s="231"/>
      <c r="HC114" s="231"/>
      <c r="HD114" s="231"/>
      <c r="HE114" s="231"/>
      <c r="HF114" s="231"/>
      <c r="HG114" s="231"/>
      <c r="HH114" s="231"/>
      <c r="HI114" s="231"/>
      <c r="HJ114" s="231"/>
      <c r="HK114" s="231"/>
      <c r="HL114" s="231"/>
      <c r="HM114" s="231"/>
      <c r="HN114" s="231"/>
      <c r="HO114" s="231"/>
      <c r="HP114" s="231"/>
      <c r="HQ114" s="231"/>
      <c r="HR114" s="231"/>
      <c r="HS114" s="231"/>
      <c r="HT114" s="231"/>
      <c r="HU114" s="231"/>
      <c r="HV114" s="231"/>
      <c r="HW114" s="231"/>
      <c r="HX114" s="231"/>
      <c r="HY114" s="231"/>
      <c r="HZ114" s="231"/>
      <c r="IA114" s="231"/>
    </row>
    <row r="115" spans="1:236" s="232" customFormat="1" ht="13.15" customHeight="1">
      <c r="A115" s="223"/>
      <c r="B115" s="224">
        <v>8</v>
      </c>
      <c r="C115" s="688"/>
      <c r="D115" s="442" t="s">
        <v>249</v>
      </c>
      <c r="E115" s="564">
        <v>0.18052599999999999</v>
      </c>
      <c r="F115" s="445">
        <f>+E115*'Resumen Pelagicos'!$D$40</f>
        <v>2475.553038</v>
      </c>
      <c r="G115" s="444">
        <f>-1233-575</f>
        <v>-1808</v>
      </c>
      <c r="H115" s="445">
        <f t="shared" si="14"/>
        <v>667.55303800000002</v>
      </c>
      <c r="I115" s="446">
        <v>274.49699999999996</v>
      </c>
      <c r="J115" s="446">
        <v>0</v>
      </c>
      <c r="K115" s="447">
        <v>0</v>
      </c>
      <c r="L115" s="443">
        <f t="shared" si="11"/>
        <v>393.05603800000006</v>
      </c>
      <c r="M115" s="448">
        <f t="shared" si="7"/>
        <v>0.41119878777332441</v>
      </c>
      <c r="N115" s="283" t="s">
        <v>142</v>
      </c>
      <c r="O115" s="578"/>
      <c r="P115" s="578"/>
      <c r="Q115" s="578"/>
      <c r="R115" s="578"/>
      <c r="S115" s="578"/>
      <c r="T115" s="253"/>
      <c r="U115" s="253"/>
      <c r="V115" s="253"/>
      <c r="W115" s="253"/>
      <c r="X115" s="253"/>
      <c r="Y115" s="229"/>
      <c r="Z115" s="229"/>
      <c r="AA115" s="229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230"/>
      <c r="CN115" s="231"/>
      <c r="CO115" s="231"/>
      <c r="CP115" s="231"/>
      <c r="CQ115" s="231"/>
      <c r="CR115" s="231"/>
      <c r="CS115" s="231"/>
      <c r="CT115" s="231"/>
      <c r="CU115" s="231"/>
      <c r="CV115" s="231"/>
      <c r="CW115" s="231"/>
      <c r="CX115" s="231"/>
      <c r="CY115" s="231"/>
      <c r="CZ115" s="231"/>
      <c r="DA115" s="231"/>
      <c r="DB115" s="231"/>
      <c r="DC115" s="231"/>
      <c r="DD115" s="231"/>
      <c r="DE115" s="231"/>
      <c r="DF115" s="231"/>
      <c r="DG115" s="231"/>
      <c r="DH115" s="231"/>
      <c r="DI115" s="231"/>
      <c r="DJ115" s="231"/>
      <c r="DK115" s="231"/>
      <c r="DL115" s="231"/>
      <c r="DM115" s="231"/>
      <c r="DN115" s="231"/>
      <c r="DO115" s="231"/>
      <c r="DP115" s="231"/>
      <c r="DQ115" s="231"/>
      <c r="DR115" s="231"/>
      <c r="DS115" s="231"/>
      <c r="DT115" s="231"/>
      <c r="DU115" s="231"/>
      <c r="DV115" s="231"/>
      <c r="DW115" s="231"/>
      <c r="DX115" s="231"/>
      <c r="DY115" s="231"/>
      <c r="DZ115" s="231"/>
      <c r="EA115" s="231"/>
      <c r="EB115" s="231"/>
      <c r="EC115" s="231"/>
      <c r="ED115" s="231"/>
      <c r="EE115" s="231"/>
      <c r="EF115" s="231"/>
      <c r="EG115" s="231"/>
      <c r="EH115" s="231"/>
      <c r="EI115" s="231"/>
      <c r="EJ115" s="231"/>
      <c r="EK115" s="231"/>
      <c r="EL115" s="231"/>
      <c r="EM115" s="231"/>
      <c r="EN115" s="231"/>
      <c r="EO115" s="231"/>
      <c r="EP115" s="231"/>
      <c r="EQ115" s="231"/>
      <c r="ER115" s="231"/>
      <c r="ES115" s="231"/>
      <c r="ET115" s="231"/>
      <c r="EU115" s="231"/>
      <c r="EV115" s="231"/>
      <c r="EW115" s="231"/>
      <c r="EX115" s="231"/>
      <c r="EY115" s="231"/>
      <c r="EZ115" s="231"/>
      <c r="FA115" s="231"/>
      <c r="FB115" s="231"/>
      <c r="FC115" s="231"/>
      <c r="FD115" s="231"/>
      <c r="FE115" s="231"/>
      <c r="FF115" s="231"/>
      <c r="FG115" s="231"/>
      <c r="FH115" s="231"/>
      <c r="FI115" s="231"/>
      <c r="FJ115" s="231"/>
      <c r="FK115" s="231"/>
      <c r="FL115" s="231"/>
      <c r="FM115" s="231"/>
      <c r="FN115" s="231"/>
      <c r="FO115" s="231"/>
      <c r="FP115" s="231"/>
      <c r="FQ115" s="231"/>
      <c r="FR115" s="231"/>
      <c r="FS115" s="231"/>
      <c r="FT115" s="231"/>
      <c r="FU115" s="231"/>
      <c r="FV115" s="231"/>
      <c r="FW115" s="231"/>
      <c r="FX115" s="231"/>
      <c r="FY115" s="231"/>
      <c r="FZ115" s="231"/>
      <c r="GA115" s="231"/>
      <c r="GB115" s="231"/>
      <c r="GC115" s="231"/>
      <c r="GD115" s="231"/>
      <c r="GE115" s="231"/>
      <c r="GF115" s="231"/>
      <c r="GG115" s="231"/>
      <c r="GH115" s="231"/>
      <c r="GI115" s="231"/>
      <c r="GJ115" s="231"/>
      <c r="GK115" s="231"/>
      <c r="GL115" s="231"/>
      <c r="GM115" s="231"/>
      <c r="GN115" s="231"/>
      <c r="GO115" s="231"/>
      <c r="GP115" s="231"/>
      <c r="GQ115" s="231"/>
      <c r="GR115" s="231"/>
      <c r="GS115" s="231"/>
      <c r="GT115" s="231"/>
      <c r="GU115" s="231"/>
      <c r="GV115" s="231"/>
      <c r="GW115" s="231"/>
      <c r="GX115" s="231"/>
      <c r="GY115" s="231"/>
      <c r="GZ115" s="231"/>
      <c r="HA115" s="231"/>
      <c r="HB115" s="231"/>
      <c r="HC115" s="231"/>
      <c r="HD115" s="231"/>
      <c r="HE115" s="231"/>
      <c r="HF115" s="231"/>
      <c r="HG115" s="231"/>
      <c r="HH115" s="231"/>
      <c r="HI115" s="231"/>
      <c r="HJ115" s="231"/>
      <c r="HK115" s="231"/>
      <c r="HL115" s="231"/>
      <c r="HM115" s="231"/>
      <c r="HN115" s="231"/>
      <c r="HO115" s="231"/>
      <c r="HP115" s="231"/>
      <c r="HQ115" s="231"/>
      <c r="HR115" s="231"/>
      <c r="HS115" s="231"/>
      <c r="HT115" s="231"/>
      <c r="HU115" s="231"/>
      <c r="HV115" s="231"/>
      <c r="HW115" s="231"/>
      <c r="HX115" s="231"/>
      <c r="HY115" s="231"/>
      <c r="HZ115" s="231"/>
      <c r="IA115" s="231"/>
    </row>
    <row r="116" spans="1:236" s="233" customFormat="1" ht="13.15" customHeight="1">
      <c r="A116" s="223"/>
      <c r="B116" s="224">
        <v>9</v>
      </c>
      <c r="C116" s="688"/>
      <c r="D116" s="496" t="s">
        <v>250</v>
      </c>
      <c r="E116" s="564">
        <v>3.4874000000000002E-2</v>
      </c>
      <c r="F116" s="445">
        <f>+E116*'Resumen Pelagicos'!$D$40</f>
        <v>478.22716200000002</v>
      </c>
      <c r="G116" s="499">
        <f>-330-114</f>
        <v>-444</v>
      </c>
      <c r="H116" s="445">
        <f t="shared" si="14"/>
        <v>34.227162000000021</v>
      </c>
      <c r="I116" s="446">
        <v>0</v>
      </c>
      <c r="J116" s="446">
        <v>0</v>
      </c>
      <c r="K116" s="447">
        <v>0</v>
      </c>
      <c r="L116" s="443">
        <f t="shared" si="11"/>
        <v>34.227162000000021</v>
      </c>
      <c r="M116" s="448">
        <f t="shared" si="7"/>
        <v>0</v>
      </c>
      <c r="N116" s="283" t="s">
        <v>142</v>
      </c>
      <c r="O116" s="578"/>
      <c r="P116" s="578"/>
      <c r="Q116" s="578"/>
      <c r="R116" s="578"/>
      <c r="S116" s="578"/>
      <c r="T116" s="229"/>
      <c r="U116" s="229"/>
      <c r="V116" s="229"/>
      <c r="W116" s="229"/>
      <c r="X116" s="229"/>
      <c r="Y116" s="229"/>
      <c r="Z116" s="229"/>
      <c r="AA116" s="229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0"/>
      <c r="BW116" s="230"/>
      <c r="BX116" s="230"/>
      <c r="BY116" s="230"/>
      <c r="BZ116" s="230"/>
      <c r="CA116" s="230"/>
      <c r="CB116" s="230"/>
      <c r="CC116" s="230"/>
      <c r="CD116" s="230"/>
      <c r="CE116" s="230"/>
      <c r="CF116" s="230"/>
      <c r="CG116" s="230"/>
      <c r="CH116" s="230"/>
      <c r="CI116" s="230"/>
      <c r="CJ116" s="230"/>
      <c r="CK116" s="230"/>
      <c r="CL116" s="230"/>
      <c r="CM116" s="230"/>
      <c r="CN116" s="231"/>
      <c r="CO116" s="231"/>
      <c r="CP116" s="231"/>
      <c r="CQ116" s="231"/>
      <c r="CR116" s="231"/>
      <c r="CS116" s="231"/>
      <c r="CT116" s="231"/>
      <c r="CU116" s="231"/>
      <c r="CV116" s="231"/>
      <c r="CW116" s="231"/>
      <c r="CX116" s="231"/>
      <c r="CY116" s="231"/>
      <c r="CZ116" s="231"/>
      <c r="DA116" s="231"/>
      <c r="DB116" s="231"/>
      <c r="DC116" s="231"/>
      <c r="DD116" s="231"/>
      <c r="DE116" s="231"/>
      <c r="DF116" s="231"/>
      <c r="DG116" s="231"/>
      <c r="DH116" s="231"/>
      <c r="DI116" s="231"/>
      <c r="DJ116" s="231"/>
      <c r="DK116" s="231"/>
      <c r="DL116" s="231"/>
      <c r="DM116" s="231"/>
      <c r="DN116" s="231"/>
      <c r="DO116" s="231"/>
      <c r="DP116" s="231"/>
      <c r="DQ116" s="231"/>
      <c r="DR116" s="231"/>
      <c r="DS116" s="231"/>
      <c r="DT116" s="231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  <c r="EG116" s="231"/>
      <c r="EH116" s="231"/>
      <c r="EI116" s="231"/>
      <c r="EJ116" s="231"/>
      <c r="EK116" s="231"/>
      <c r="EL116" s="231"/>
      <c r="EM116" s="231"/>
      <c r="EN116" s="231"/>
      <c r="EO116" s="231"/>
      <c r="EP116" s="231"/>
      <c r="EQ116" s="231"/>
      <c r="ER116" s="231"/>
      <c r="ES116" s="231"/>
      <c r="ET116" s="231"/>
      <c r="EU116" s="231"/>
      <c r="EV116" s="231"/>
      <c r="EW116" s="231"/>
      <c r="EX116" s="231"/>
      <c r="EY116" s="231"/>
      <c r="EZ116" s="231"/>
      <c r="FA116" s="231"/>
      <c r="FB116" s="231"/>
      <c r="FC116" s="231"/>
      <c r="FD116" s="231"/>
      <c r="FE116" s="231"/>
      <c r="FF116" s="231"/>
      <c r="FG116" s="231"/>
      <c r="FH116" s="231"/>
      <c r="FI116" s="231"/>
      <c r="FJ116" s="231"/>
      <c r="FK116" s="231"/>
      <c r="FL116" s="231"/>
      <c r="FM116" s="231"/>
      <c r="FN116" s="231"/>
      <c r="FO116" s="231"/>
      <c r="FP116" s="231"/>
      <c r="FQ116" s="231"/>
      <c r="FR116" s="231"/>
      <c r="FS116" s="231"/>
      <c r="FT116" s="231"/>
      <c r="FU116" s="231"/>
      <c r="FV116" s="231"/>
      <c r="FW116" s="231"/>
      <c r="FX116" s="231"/>
      <c r="FY116" s="231"/>
      <c r="FZ116" s="231"/>
      <c r="GA116" s="231"/>
      <c r="GB116" s="231"/>
      <c r="GC116" s="231"/>
      <c r="GD116" s="231"/>
      <c r="GE116" s="231"/>
      <c r="GF116" s="231"/>
      <c r="GG116" s="231"/>
      <c r="GH116" s="231"/>
      <c r="GI116" s="231"/>
      <c r="GJ116" s="231"/>
      <c r="GK116" s="231"/>
      <c r="GL116" s="231"/>
      <c r="GM116" s="231"/>
      <c r="GN116" s="231"/>
      <c r="GO116" s="231"/>
      <c r="GP116" s="231"/>
      <c r="GQ116" s="231"/>
      <c r="GR116" s="231"/>
      <c r="GS116" s="231"/>
      <c r="GT116" s="231"/>
      <c r="GU116" s="231"/>
      <c r="GV116" s="231"/>
      <c r="GW116" s="231"/>
      <c r="GX116" s="231"/>
      <c r="GY116" s="231"/>
      <c r="GZ116" s="231"/>
      <c r="HA116" s="231"/>
      <c r="HB116" s="231"/>
      <c r="HC116" s="231"/>
      <c r="HD116" s="231"/>
      <c r="HE116" s="231"/>
      <c r="HF116" s="231"/>
      <c r="HG116" s="231"/>
      <c r="HH116" s="231"/>
      <c r="HI116" s="231"/>
      <c r="HJ116" s="231"/>
      <c r="HK116" s="231"/>
      <c r="HL116" s="231"/>
      <c r="HM116" s="231"/>
      <c r="HN116" s="231"/>
      <c r="HO116" s="231"/>
      <c r="HP116" s="231"/>
      <c r="HQ116" s="231"/>
      <c r="HR116" s="231"/>
      <c r="HS116" s="231"/>
      <c r="HT116" s="231"/>
      <c r="HU116" s="231"/>
      <c r="HV116" s="231"/>
      <c r="HW116" s="231"/>
      <c r="HX116" s="231"/>
      <c r="HY116" s="231"/>
      <c r="HZ116" s="231"/>
      <c r="IA116" s="231"/>
      <c r="IB116" s="232"/>
    </row>
    <row r="117" spans="1:236" s="232" customFormat="1" ht="13.15" customHeight="1">
      <c r="A117" s="223"/>
      <c r="B117" s="224">
        <v>10</v>
      </c>
      <c r="C117" s="688"/>
      <c r="D117" s="442" t="s">
        <v>240</v>
      </c>
      <c r="E117" s="564">
        <v>2.5426000000000001E-2</v>
      </c>
      <c r="F117" s="445">
        <f>+E117*'Resumen Pelagicos'!$D$40</f>
        <v>348.66673800000001</v>
      </c>
      <c r="G117" s="444"/>
      <c r="H117" s="445">
        <f t="shared" si="14"/>
        <v>348.66673800000001</v>
      </c>
      <c r="I117" s="446">
        <v>0.30000000000000004</v>
      </c>
      <c r="J117" s="446">
        <v>0</v>
      </c>
      <c r="K117" s="447">
        <v>0</v>
      </c>
      <c r="L117" s="443">
        <f t="shared" si="11"/>
        <v>348.366738</v>
      </c>
      <c r="M117" s="448">
        <f t="shared" si="7"/>
        <v>8.6042047406311535E-4</v>
      </c>
      <c r="N117" s="283" t="s">
        <v>142</v>
      </c>
      <c r="O117" s="578"/>
      <c r="P117" s="578"/>
      <c r="Q117" s="578"/>
      <c r="R117" s="578"/>
      <c r="S117" s="578"/>
      <c r="T117" s="253"/>
      <c r="U117" s="253"/>
      <c r="V117" s="253"/>
      <c r="W117" s="253"/>
      <c r="X117" s="253"/>
      <c r="Y117" s="229"/>
      <c r="Z117" s="229"/>
      <c r="AA117" s="229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  <c r="DE117" s="231"/>
      <c r="DF117" s="231"/>
      <c r="DG117" s="231"/>
      <c r="DH117" s="231"/>
      <c r="DI117" s="231"/>
      <c r="DJ117" s="231"/>
      <c r="DK117" s="231"/>
      <c r="DL117" s="231"/>
      <c r="DM117" s="231"/>
      <c r="DN117" s="231"/>
      <c r="DO117" s="231"/>
      <c r="DP117" s="231"/>
      <c r="DQ117" s="231"/>
      <c r="DR117" s="231"/>
      <c r="DS117" s="231"/>
      <c r="DT117" s="231"/>
      <c r="DU117" s="231"/>
      <c r="DV117" s="231"/>
      <c r="DW117" s="231"/>
      <c r="DX117" s="231"/>
      <c r="DY117" s="231"/>
      <c r="DZ117" s="231"/>
      <c r="EA117" s="231"/>
      <c r="EB117" s="231"/>
      <c r="EC117" s="231"/>
      <c r="ED117" s="231"/>
      <c r="EE117" s="231"/>
      <c r="EF117" s="231"/>
      <c r="EG117" s="231"/>
      <c r="EH117" s="231"/>
      <c r="EI117" s="231"/>
      <c r="EJ117" s="231"/>
      <c r="EK117" s="231"/>
      <c r="EL117" s="231"/>
      <c r="EM117" s="231"/>
      <c r="EN117" s="231"/>
      <c r="EO117" s="231"/>
      <c r="EP117" s="231"/>
      <c r="EQ117" s="231"/>
      <c r="ER117" s="231"/>
      <c r="ES117" s="231"/>
      <c r="ET117" s="231"/>
      <c r="EU117" s="231"/>
      <c r="EV117" s="231"/>
      <c r="EW117" s="231"/>
      <c r="EX117" s="231"/>
      <c r="EY117" s="231"/>
      <c r="EZ117" s="231"/>
      <c r="FA117" s="231"/>
      <c r="FB117" s="231"/>
      <c r="FC117" s="231"/>
      <c r="FD117" s="231"/>
      <c r="FE117" s="231"/>
      <c r="FF117" s="231"/>
      <c r="FG117" s="231"/>
      <c r="FH117" s="231"/>
      <c r="FI117" s="231"/>
      <c r="FJ117" s="231"/>
      <c r="FK117" s="231"/>
      <c r="FL117" s="231"/>
      <c r="FM117" s="231"/>
      <c r="FN117" s="231"/>
      <c r="FO117" s="231"/>
      <c r="FP117" s="231"/>
      <c r="FQ117" s="231"/>
      <c r="FR117" s="231"/>
      <c r="FS117" s="231"/>
      <c r="FT117" s="231"/>
      <c r="FU117" s="231"/>
      <c r="FV117" s="231"/>
      <c r="FW117" s="231"/>
      <c r="FX117" s="231"/>
      <c r="FY117" s="231"/>
      <c r="FZ117" s="231"/>
      <c r="GA117" s="231"/>
      <c r="GB117" s="231"/>
      <c r="GC117" s="231"/>
      <c r="GD117" s="231"/>
      <c r="GE117" s="231"/>
      <c r="GF117" s="231"/>
      <c r="GG117" s="231"/>
      <c r="GH117" s="231"/>
      <c r="GI117" s="231"/>
      <c r="GJ117" s="231"/>
      <c r="GK117" s="231"/>
      <c r="GL117" s="231"/>
      <c r="GM117" s="231"/>
      <c r="GN117" s="231"/>
      <c r="GO117" s="231"/>
      <c r="GP117" s="231"/>
      <c r="GQ117" s="231"/>
      <c r="GR117" s="231"/>
      <c r="GS117" s="231"/>
      <c r="GT117" s="231"/>
      <c r="GU117" s="231"/>
      <c r="GV117" s="231"/>
      <c r="GW117" s="231"/>
      <c r="GX117" s="231"/>
      <c r="GY117" s="231"/>
      <c r="GZ117" s="231"/>
      <c r="HA117" s="231"/>
      <c r="HB117" s="231"/>
      <c r="HC117" s="231"/>
      <c r="HD117" s="231"/>
      <c r="HE117" s="231"/>
      <c r="HF117" s="231"/>
      <c r="HG117" s="231"/>
      <c r="HH117" s="231"/>
      <c r="HI117" s="231"/>
      <c r="HJ117" s="231"/>
      <c r="HK117" s="231"/>
      <c r="HL117" s="231"/>
      <c r="HM117" s="231"/>
      <c r="HN117" s="231"/>
      <c r="HO117" s="231"/>
      <c r="HP117" s="231"/>
      <c r="HQ117" s="231"/>
      <c r="HR117" s="231"/>
      <c r="HS117" s="231"/>
      <c r="HT117" s="231"/>
      <c r="HU117" s="231"/>
      <c r="HV117" s="231"/>
      <c r="HW117" s="231"/>
      <c r="HX117" s="231"/>
      <c r="HY117" s="231"/>
      <c r="HZ117" s="231"/>
      <c r="IA117" s="231"/>
    </row>
    <row r="118" spans="1:236" s="285" customFormat="1" ht="13.15" customHeight="1">
      <c r="A118" s="223"/>
      <c r="B118" s="224">
        <v>11</v>
      </c>
      <c r="C118" s="689"/>
      <c r="D118" s="442" t="s">
        <v>252</v>
      </c>
      <c r="E118" s="564">
        <v>0</v>
      </c>
      <c r="F118" s="445">
        <f>+E118*'Resumen Pelagicos'!$D$40</f>
        <v>0</v>
      </c>
      <c r="G118" s="443"/>
      <c r="H118" s="445">
        <f>F118+G118</f>
        <v>0</v>
      </c>
      <c r="I118" s="446">
        <v>0</v>
      </c>
      <c r="J118" s="446">
        <v>0</v>
      </c>
      <c r="K118" s="447">
        <v>0</v>
      </c>
      <c r="L118" s="443">
        <f>H118-(I118+J118+K118)</f>
        <v>0</v>
      </c>
      <c r="M118" s="448">
        <v>0</v>
      </c>
      <c r="N118" s="283" t="s">
        <v>142</v>
      </c>
      <c r="O118" s="578"/>
      <c r="P118" s="578"/>
      <c r="Q118" s="578"/>
      <c r="R118" s="578"/>
      <c r="S118" s="578"/>
      <c r="T118" s="229"/>
      <c r="U118" s="229"/>
      <c r="V118" s="229"/>
      <c r="W118" s="229"/>
      <c r="X118" s="229"/>
      <c r="Y118" s="253"/>
      <c r="Z118" s="253"/>
      <c r="AA118" s="253"/>
    </row>
    <row r="119" spans="1:236" s="246" customFormat="1" ht="13.15" customHeight="1">
      <c r="B119" s="224"/>
      <c r="C119" s="278"/>
      <c r="D119" s="441" t="s">
        <v>256</v>
      </c>
      <c r="E119" s="248"/>
      <c r="F119" s="286">
        <f>SUM(F108:F117)</f>
        <v>13712.999999999998</v>
      </c>
      <c r="G119" s="286">
        <f>SUM(G108:G117)</f>
        <v>-11702</v>
      </c>
      <c r="H119" s="286">
        <f>+F119+G119</f>
        <v>2010.9999999999982</v>
      </c>
      <c r="I119" s="286">
        <f>SUM(I108:I118)</f>
        <v>432.00399999999996</v>
      </c>
      <c r="J119" s="286">
        <f>SUM(J108:J117)</f>
        <v>0</v>
      </c>
      <c r="K119" s="286">
        <f>SUM(K108:K117)</f>
        <v>0</v>
      </c>
      <c r="L119" s="286">
        <f>H119-(I119+J119+K119)</f>
        <v>1578.9959999999983</v>
      </c>
      <c r="M119" s="287">
        <f>+(I119+J119+K119)/H119</f>
        <v>0.2148204873197416</v>
      </c>
      <c r="N119" s="288" t="s">
        <v>142</v>
      </c>
      <c r="O119" s="578"/>
      <c r="P119" s="578"/>
      <c r="Q119" s="578"/>
      <c r="R119" s="578"/>
      <c r="S119" s="578"/>
    </row>
    <row r="120" spans="1:236" s="230" customFormat="1" ht="13.15" customHeight="1">
      <c r="A120" s="223"/>
      <c r="B120" s="224"/>
      <c r="C120" s="289"/>
      <c r="D120" s="285"/>
      <c r="E120" s="285"/>
      <c r="F120" s="285"/>
      <c r="G120" s="290"/>
      <c r="H120" s="291"/>
      <c r="I120" s="291"/>
      <c r="J120" s="285"/>
      <c r="K120" s="285"/>
      <c r="L120" s="291"/>
      <c r="M120" s="292"/>
      <c r="N120" s="293"/>
      <c r="O120" s="578"/>
      <c r="P120" s="578"/>
      <c r="Q120" s="578"/>
      <c r="R120" s="578"/>
      <c r="S120" s="578"/>
      <c r="T120" s="229"/>
      <c r="U120" s="229"/>
      <c r="V120" s="229"/>
      <c r="W120" s="229"/>
      <c r="X120" s="229"/>
      <c r="Y120" s="229"/>
      <c r="Z120" s="229"/>
    </row>
    <row r="121" spans="1:236" s="230" customFormat="1" ht="13.15" customHeight="1">
      <c r="A121" s="223"/>
      <c r="B121" s="224"/>
      <c r="C121" s="294"/>
      <c r="M121" s="295"/>
      <c r="N121" s="293"/>
      <c r="O121" s="578"/>
      <c r="P121" s="578"/>
      <c r="Q121" s="578"/>
      <c r="R121" s="578"/>
      <c r="S121" s="578"/>
      <c r="T121" s="229"/>
      <c r="U121" s="229"/>
      <c r="V121" s="229"/>
      <c r="W121" s="229"/>
      <c r="X121" s="229"/>
      <c r="Y121" s="229"/>
      <c r="Z121" s="229"/>
    </row>
    <row r="122" spans="1:236" s="230" customFormat="1" ht="13.15" customHeight="1">
      <c r="A122" s="223"/>
      <c r="B122" s="224"/>
      <c r="C122" s="294"/>
      <c r="M122" s="295"/>
      <c r="N122" s="293"/>
      <c r="O122" s="578"/>
      <c r="P122" s="578"/>
      <c r="Q122" s="578"/>
      <c r="R122" s="578"/>
      <c r="S122" s="578"/>
      <c r="T122" s="229"/>
      <c r="U122" s="229"/>
      <c r="V122" s="229"/>
      <c r="W122" s="229"/>
      <c r="X122" s="229"/>
      <c r="Y122" s="229"/>
      <c r="Z122" s="229"/>
    </row>
    <row r="123" spans="1:236" s="230" customFormat="1" ht="13.15" customHeight="1">
      <c r="A123" s="223"/>
      <c r="B123" s="224"/>
      <c r="C123" s="294"/>
      <c r="M123" s="295"/>
      <c r="N123" s="293"/>
      <c r="O123" s="578"/>
      <c r="P123" s="578"/>
      <c r="Q123" s="578"/>
      <c r="R123" s="578"/>
      <c r="S123" s="578"/>
      <c r="T123" s="229"/>
      <c r="U123" s="229"/>
      <c r="V123" s="229"/>
      <c r="W123" s="229"/>
      <c r="X123" s="229"/>
      <c r="Y123" s="229"/>
      <c r="Z123" s="229"/>
    </row>
    <row r="124" spans="1:236" s="230" customFormat="1" ht="13.15" customHeight="1">
      <c r="A124" s="223"/>
      <c r="B124" s="224"/>
      <c r="C124" s="294"/>
      <c r="M124" s="295"/>
      <c r="N124" s="293"/>
      <c r="O124" s="578"/>
      <c r="P124" s="578"/>
      <c r="Q124" s="578"/>
      <c r="R124" s="578"/>
      <c r="S124" s="578"/>
      <c r="T124" s="229"/>
      <c r="U124" s="229"/>
      <c r="V124" s="229"/>
      <c r="W124" s="229"/>
      <c r="X124" s="229"/>
      <c r="Y124" s="229"/>
      <c r="Z124" s="229"/>
    </row>
    <row r="125" spans="1:236" s="230" customFormat="1" ht="13.15" customHeight="1">
      <c r="A125" s="223"/>
      <c r="B125" s="224"/>
      <c r="C125" s="294"/>
      <c r="M125" s="295"/>
      <c r="N125" s="293"/>
      <c r="O125" s="578"/>
      <c r="P125" s="578"/>
      <c r="Q125" s="578"/>
      <c r="R125" s="578"/>
      <c r="S125" s="578"/>
      <c r="T125" s="229"/>
      <c r="U125" s="229"/>
      <c r="V125" s="229"/>
      <c r="W125" s="229"/>
      <c r="X125" s="229"/>
      <c r="Y125" s="229"/>
      <c r="Z125" s="229"/>
    </row>
    <row r="126" spans="1:236" s="230" customFormat="1" ht="13.15" customHeight="1">
      <c r="A126" s="223"/>
      <c r="B126" s="224"/>
      <c r="C126" s="294"/>
      <c r="M126" s="295"/>
      <c r="N126" s="293"/>
      <c r="O126" s="578"/>
      <c r="P126" s="578"/>
      <c r="Q126" s="578"/>
      <c r="R126" s="578"/>
      <c r="S126" s="578"/>
      <c r="T126" s="229"/>
      <c r="U126" s="229"/>
      <c r="V126" s="229"/>
      <c r="W126" s="229"/>
      <c r="X126" s="229"/>
      <c r="Y126" s="229"/>
      <c r="Z126" s="229"/>
    </row>
    <row r="127" spans="1:236" s="230" customFormat="1" ht="13.15" customHeight="1">
      <c r="A127" s="223"/>
      <c r="B127" s="224"/>
      <c r="C127" s="294"/>
      <c r="M127" s="295"/>
      <c r="N127" s="293"/>
      <c r="O127" s="578"/>
      <c r="P127" s="578"/>
      <c r="Q127" s="578"/>
      <c r="R127" s="578"/>
      <c r="S127" s="578"/>
      <c r="T127" s="229"/>
      <c r="U127" s="229"/>
      <c r="V127" s="229"/>
      <c r="W127" s="229"/>
      <c r="X127" s="229"/>
      <c r="Y127" s="229"/>
      <c r="Z127" s="229"/>
    </row>
    <row r="128" spans="1:236" s="230" customFormat="1" ht="13.15" customHeight="1">
      <c r="A128" s="223"/>
      <c r="B128" s="224"/>
      <c r="C128" s="294"/>
      <c r="M128" s="295"/>
      <c r="N128" s="293"/>
      <c r="O128" s="578"/>
      <c r="P128" s="578"/>
      <c r="Q128" s="578"/>
      <c r="R128" s="578"/>
      <c r="S128" s="578"/>
      <c r="T128" s="229"/>
      <c r="U128" s="229"/>
      <c r="V128" s="229"/>
      <c r="W128" s="229"/>
      <c r="X128" s="229"/>
      <c r="Y128" s="229"/>
      <c r="Z128" s="229"/>
    </row>
    <row r="129" spans="1:26" s="230" customFormat="1" ht="13.15" customHeight="1">
      <c r="A129" s="223"/>
      <c r="B129" s="224"/>
      <c r="C129" s="294"/>
      <c r="M129" s="295"/>
      <c r="N129" s="293"/>
      <c r="O129" s="578"/>
      <c r="P129" s="578"/>
      <c r="Q129" s="578"/>
      <c r="R129" s="578"/>
      <c r="S129" s="578"/>
      <c r="T129" s="229"/>
      <c r="U129" s="229"/>
      <c r="V129" s="229"/>
      <c r="W129" s="229"/>
      <c r="X129" s="229"/>
      <c r="Y129" s="229"/>
      <c r="Z129" s="229"/>
    </row>
    <row r="130" spans="1:26" s="230" customFormat="1" ht="13.15" customHeight="1">
      <c r="A130" s="223"/>
      <c r="B130" s="224"/>
      <c r="C130" s="294"/>
      <c r="M130" s="295"/>
      <c r="N130" s="293"/>
      <c r="O130" s="578"/>
      <c r="P130" s="578"/>
      <c r="Q130" s="578"/>
      <c r="R130" s="578"/>
      <c r="S130" s="578"/>
      <c r="T130" s="229"/>
      <c r="U130" s="229"/>
      <c r="V130" s="229"/>
      <c r="W130" s="229"/>
      <c r="X130" s="229"/>
      <c r="Y130" s="229"/>
      <c r="Z130" s="229"/>
    </row>
    <row r="131" spans="1:26" s="230" customFormat="1" ht="13.15" customHeight="1">
      <c r="A131" s="223"/>
      <c r="B131" s="224"/>
      <c r="C131" s="294"/>
      <c r="M131" s="295"/>
      <c r="N131" s="293"/>
      <c r="O131" s="578"/>
      <c r="P131" s="578"/>
      <c r="Q131" s="578"/>
      <c r="R131" s="578"/>
      <c r="S131" s="578"/>
      <c r="T131" s="229"/>
      <c r="U131" s="229"/>
      <c r="V131" s="229"/>
      <c r="W131" s="229"/>
      <c r="X131" s="229"/>
      <c r="Y131" s="229"/>
      <c r="Z131" s="229"/>
    </row>
    <row r="132" spans="1:26" s="230" customFormat="1" ht="13.15" customHeight="1">
      <c r="A132" s="223"/>
      <c r="B132" s="224"/>
      <c r="C132" s="294"/>
      <c r="M132" s="295"/>
      <c r="N132" s="293"/>
      <c r="O132" s="578"/>
      <c r="P132" s="578"/>
      <c r="Q132" s="578"/>
      <c r="R132" s="578"/>
      <c r="S132" s="578"/>
      <c r="T132" s="229"/>
      <c r="U132" s="229"/>
      <c r="V132" s="229"/>
      <c r="W132" s="229"/>
      <c r="X132" s="229"/>
      <c r="Y132" s="229"/>
      <c r="Z132" s="229"/>
    </row>
    <row r="133" spans="1:26" s="230" customFormat="1" ht="13.15" customHeight="1">
      <c r="A133" s="223"/>
      <c r="B133" s="224"/>
      <c r="C133" s="294"/>
      <c r="M133" s="295"/>
      <c r="N133" s="293"/>
      <c r="O133" s="578"/>
      <c r="P133" s="578"/>
      <c r="Q133" s="578"/>
      <c r="R133" s="578"/>
      <c r="S133" s="578"/>
      <c r="T133" s="229"/>
      <c r="U133" s="229"/>
      <c r="V133" s="229"/>
      <c r="W133" s="229"/>
      <c r="X133" s="229"/>
      <c r="Y133" s="229"/>
      <c r="Z133" s="229"/>
    </row>
    <row r="134" spans="1:26" s="230" customFormat="1" ht="13.15" customHeight="1">
      <c r="A134" s="223"/>
      <c r="B134" s="224"/>
      <c r="C134" s="294"/>
      <c r="M134" s="295"/>
      <c r="N134" s="293"/>
      <c r="O134" s="578"/>
      <c r="P134" s="578"/>
      <c r="Q134" s="578"/>
      <c r="R134" s="578"/>
      <c r="S134" s="578"/>
      <c r="T134" s="229"/>
      <c r="U134" s="229"/>
      <c r="V134" s="229"/>
      <c r="W134" s="229"/>
      <c r="X134" s="229"/>
      <c r="Y134" s="229"/>
      <c r="Z134" s="229"/>
    </row>
    <row r="135" spans="1:26" s="230" customFormat="1" ht="13.15" customHeight="1">
      <c r="A135" s="223"/>
      <c r="B135" s="224"/>
      <c r="C135" s="294"/>
      <c r="M135" s="295"/>
      <c r="N135" s="293"/>
      <c r="O135" s="578"/>
      <c r="P135" s="578"/>
      <c r="Q135" s="578"/>
      <c r="R135" s="578"/>
      <c r="S135" s="578"/>
      <c r="T135" s="229"/>
      <c r="U135" s="229"/>
      <c r="V135" s="229"/>
      <c r="W135" s="229"/>
      <c r="X135" s="229"/>
      <c r="Y135" s="229"/>
      <c r="Z135" s="229"/>
    </row>
    <row r="136" spans="1:26" s="230" customFormat="1" ht="13.15" customHeight="1">
      <c r="A136" s="223"/>
      <c r="B136" s="224"/>
      <c r="C136" s="294"/>
      <c r="M136" s="295"/>
      <c r="N136" s="293"/>
      <c r="O136" s="578"/>
      <c r="P136" s="578"/>
      <c r="Q136" s="578"/>
      <c r="R136" s="578"/>
      <c r="S136" s="578"/>
      <c r="T136" s="229"/>
      <c r="U136" s="229"/>
      <c r="V136" s="229"/>
      <c r="W136" s="229"/>
      <c r="X136" s="229"/>
      <c r="Y136" s="229"/>
      <c r="Z136" s="229"/>
    </row>
    <row r="137" spans="1:26" s="230" customFormat="1" ht="13.15" customHeight="1">
      <c r="A137" s="223"/>
      <c r="B137" s="224"/>
      <c r="C137" s="294"/>
      <c r="M137" s="295"/>
      <c r="N137" s="293"/>
      <c r="O137" s="578"/>
      <c r="P137" s="578"/>
      <c r="Q137" s="578"/>
      <c r="R137" s="578"/>
      <c r="S137" s="578"/>
      <c r="T137" s="229"/>
      <c r="U137" s="229"/>
      <c r="V137" s="229"/>
      <c r="W137" s="229"/>
      <c r="X137" s="229"/>
      <c r="Y137" s="229"/>
      <c r="Z137" s="229"/>
    </row>
    <row r="138" spans="1:26" s="230" customFormat="1" ht="13.15" customHeight="1">
      <c r="A138" s="223"/>
      <c r="B138" s="224"/>
      <c r="C138" s="294"/>
      <c r="M138" s="295"/>
      <c r="N138" s="293"/>
      <c r="O138" s="578"/>
      <c r="P138" s="578"/>
      <c r="Q138" s="578"/>
      <c r="R138" s="578"/>
      <c r="S138" s="578"/>
      <c r="T138" s="229"/>
      <c r="U138" s="229"/>
      <c r="V138" s="229"/>
      <c r="W138" s="229"/>
      <c r="X138" s="229"/>
      <c r="Y138" s="229"/>
      <c r="Z138" s="229"/>
    </row>
    <row r="139" spans="1:26" s="230" customFormat="1" ht="13.15" customHeight="1">
      <c r="A139" s="223"/>
      <c r="B139" s="224"/>
      <c r="C139" s="294"/>
      <c r="M139" s="295"/>
      <c r="N139" s="293"/>
      <c r="O139" s="578"/>
      <c r="P139" s="578"/>
      <c r="Q139" s="578"/>
      <c r="R139" s="578"/>
      <c r="S139" s="578"/>
      <c r="T139" s="229"/>
      <c r="U139" s="229"/>
      <c r="V139" s="229"/>
      <c r="W139" s="229"/>
      <c r="X139" s="229"/>
      <c r="Y139" s="229"/>
      <c r="Z139" s="229"/>
    </row>
    <row r="140" spans="1:26" s="230" customFormat="1" ht="13.15" customHeight="1">
      <c r="A140" s="223"/>
      <c r="B140" s="224"/>
      <c r="C140" s="294"/>
      <c r="M140" s="295"/>
      <c r="N140" s="293"/>
      <c r="O140" s="578"/>
      <c r="P140" s="578"/>
      <c r="Q140" s="578"/>
      <c r="R140" s="578"/>
      <c r="S140" s="578"/>
      <c r="T140" s="229"/>
      <c r="U140" s="229"/>
      <c r="V140" s="229"/>
      <c r="W140" s="229"/>
      <c r="X140" s="229"/>
      <c r="Y140" s="229"/>
      <c r="Z140" s="229"/>
    </row>
    <row r="141" spans="1:26" s="230" customFormat="1" ht="13.15" customHeight="1">
      <c r="A141" s="223"/>
      <c r="B141" s="224"/>
      <c r="C141" s="294"/>
      <c r="M141" s="295"/>
      <c r="N141" s="293"/>
      <c r="O141" s="578"/>
      <c r="P141" s="578"/>
      <c r="Q141" s="578"/>
      <c r="R141" s="578"/>
      <c r="S141" s="578"/>
      <c r="T141" s="229"/>
      <c r="U141" s="229"/>
      <c r="V141" s="229"/>
      <c r="W141" s="229"/>
      <c r="X141" s="229"/>
      <c r="Y141" s="229"/>
      <c r="Z141" s="229"/>
    </row>
    <row r="142" spans="1:26" s="230" customFormat="1" ht="13.15" customHeight="1">
      <c r="A142" s="223"/>
      <c r="B142" s="224"/>
      <c r="C142" s="294"/>
      <c r="M142" s="295"/>
      <c r="N142" s="293"/>
      <c r="O142" s="578"/>
      <c r="P142" s="578"/>
      <c r="Q142" s="578"/>
      <c r="R142" s="578"/>
      <c r="S142" s="578"/>
      <c r="T142" s="229"/>
      <c r="U142" s="229"/>
      <c r="V142" s="229"/>
      <c r="W142" s="229"/>
      <c r="X142" s="229"/>
      <c r="Y142" s="229"/>
      <c r="Z142" s="229"/>
    </row>
    <row r="143" spans="1:26" s="230" customFormat="1" ht="13.15" customHeight="1">
      <c r="A143" s="223"/>
      <c r="B143" s="224"/>
      <c r="C143" s="294"/>
      <c r="M143" s="295"/>
      <c r="N143" s="293"/>
      <c r="O143" s="578"/>
      <c r="P143" s="578"/>
      <c r="Q143" s="578"/>
      <c r="R143" s="578"/>
      <c r="S143" s="578"/>
      <c r="T143" s="229"/>
      <c r="U143" s="229"/>
      <c r="V143" s="229"/>
      <c r="W143" s="229"/>
      <c r="X143" s="229"/>
      <c r="Y143" s="229"/>
      <c r="Z143" s="229"/>
    </row>
    <row r="144" spans="1:26" s="230" customFormat="1" ht="13.15" customHeight="1">
      <c r="A144" s="223"/>
      <c r="B144" s="224"/>
      <c r="C144" s="294"/>
      <c r="M144" s="295"/>
      <c r="N144" s="293"/>
      <c r="O144" s="578"/>
      <c r="P144" s="578"/>
      <c r="Q144" s="578"/>
      <c r="R144" s="578"/>
      <c r="S144" s="578"/>
      <c r="T144" s="229"/>
      <c r="U144" s="229"/>
      <c r="V144" s="229"/>
      <c r="W144" s="229"/>
      <c r="X144" s="229"/>
      <c r="Y144" s="229"/>
      <c r="Z144" s="229"/>
    </row>
    <row r="145" spans="1:26" s="230" customFormat="1" ht="13.15" customHeight="1">
      <c r="A145" s="223"/>
      <c r="B145" s="224"/>
      <c r="C145" s="294"/>
      <c r="M145" s="295"/>
      <c r="N145" s="293"/>
      <c r="O145" s="578"/>
      <c r="P145" s="578"/>
      <c r="Q145" s="578"/>
      <c r="R145" s="578"/>
      <c r="S145" s="578"/>
      <c r="T145" s="229"/>
      <c r="U145" s="229"/>
      <c r="V145" s="229"/>
      <c r="W145" s="229"/>
      <c r="X145" s="229"/>
      <c r="Y145" s="229"/>
      <c r="Z145" s="229"/>
    </row>
    <row r="146" spans="1:26" s="230" customFormat="1" ht="13.15" customHeight="1">
      <c r="A146" s="223"/>
      <c r="B146" s="224"/>
      <c r="C146" s="294"/>
      <c r="M146" s="295"/>
      <c r="N146" s="293"/>
      <c r="O146" s="578"/>
      <c r="P146" s="578"/>
      <c r="Q146" s="578"/>
      <c r="R146" s="578"/>
      <c r="S146" s="578"/>
      <c r="T146" s="229"/>
      <c r="U146" s="229"/>
      <c r="V146" s="229"/>
      <c r="W146" s="229"/>
      <c r="X146" s="229"/>
      <c r="Y146" s="229"/>
      <c r="Z146" s="229"/>
    </row>
    <row r="147" spans="1:26" s="230" customFormat="1" ht="13.15" customHeight="1">
      <c r="A147" s="223"/>
      <c r="B147" s="224"/>
      <c r="C147" s="294"/>
      <c r="M147" s="295"/>
      <c r="N147" s="293"/>
      <c r="O147" s="578"/>
      <c r="P147" s="578"/>
      <c r="Q147" s="578"/>
      <c r="R147" s="578"/>
      <c r="S147" s="578"/>
      <c r="T147" s="229"/>
      <c r="U147" s="229"/>
      <c r="V147" s="229"/>
      <c r="W147" s="229"/>
      <c r="X147" s="229"/>
      <c r="Y147" s="229"/>
      <c r="Z147" s="229"/>
    </row>
    <row r="148" spans="1:26" s="230" customFormat="1" ht="13.15" customHeight="1">
      <c r="A148" s="223"/>
      <c r="B148" s="224"/>
      <c r="C148" s="294"/>
      <c r="M148" s="295"/>
      <c r="N148" s="293"/>
      <c r="O148" s="578"/>
      <c r="P148" s="578"/>
      <c r="Q148" s="578"/>
      <c r="R148" s="578"/>
      <c r="S148" s="578"/>
      <c r="T148" s="229"/>
      <c r="U148" s="229"/>
      <c r="V148" s="229"/>
      <c r="W148" s="229"/>
      <c r="X148" s="229"/>
      <c r="Y148" s="229"/>
      <c r="Z148" s="229"/>
    </row>
    <row r="149" spans="1:26" s="230" customFormat="1" ht="13.15" customHeight="1">
      <c r="A149" s="223"/>
      <c r="B149" s="224"/>
      <c r="C149" s="294"/>
      <c r="M149" s="295"/>
      <c r="N149" s="293"/>
      <c r="O149" s="578"/>
      <c r="P149" s="578"/>
      <c r="Q149" s="578"/>
      <c r="R149" s="578"/>
      <c r="S149" s="578"/>
      <c r="T149" s="229"/>
      <c r="U149" s="229"/>
      <c r="V149" s="229"/>
      <c r="W149" s="229"/>
      <c r="X149" s="229"/>
      <c r="Y149" s="229"/>
      <c r="Z149" s="229"/>
    </row>
    <row r="150" spans="1:26" s="230" customFormat="1" ht="13.15" customHeight="1">
      <c r="A150" s="223"/>
      <c r="B150" s="224"/>
      <c r="C150" s="294"/>
      <c r="D150" s="296"/>
      <c r="E150" s="296"/>
      <c r="F150" s="296"/>
      <c r="G150" s="296"/>
      <c r="H150" s="296"/>
      <c r="I150" s="296"/>
      <c r="J150" s="296"/>
      <c r="K150" s="296"/>
      <c r="L150" s="296"/>
      <c r="M150" s="297"/>
      <c r="N150" s="298"/>
      <c r="O150" s="578"/>
      <c r="P150" s="578"/>
      <c r="Q150" s="578"/>
      <c r="R150" s="578"/>
      <c r="S150" s="578"/>
      <c r="T150" s="229"/>
      <c r="U150" s="229"/>
      <c r="V150" s="229"/>
      <c r="W150" s="229"/>
      <c r="X150" s="229"/>
      <c r="Y150" s="229"/>
      <c r="Z150" s="229"/>
    </row>
    <row r="151" spans="1:26" s="230" customFormat="1" ht="13.15" customHeight="1">
      <c r="A151" s="223"/>
      <c r="B151" s="224"/>
      <c r="C151" s="294"/>
      <c r="D151" s="296"/>
      <c r="E151" s="296"/>
      <c r="F151" s="296"/>
      <c r="G151" s="296"/>
      <c r="H151" s="296"/>
      <c r="I151" s="296"/>
      <c r="J151" s="296"/>
      <c r="K151" s="296"/>
      <c r="L151" s="296"/>
      <c r="M151" s="297"/>
      <c r="N151" s="298"/>
      <c r="O151" s="578"/>
      <c r="P151" s="578"/>
      <c r="Q151" s="578"/>
      <c r="R151" s="578"/>
      <c r="S151" s="578"/>
      <c r="T151" s="229"/>
      <c r="U151" s="229"/>
      <c r="V151" s="229"/>
      <c r="W151" s="229"/>
      <c r="X151" s="229"/>
      <c r="Y151" s="229"/>
      <c r="Z151" s="229"/>
    </row>
    <row r="152" spans="1:26" s="230" customFormat="1" ht="13.15" customHeight="1">
      <c r="A152" s="223"/>
      <c r="B152" s="224"/>
      <c r="C152" s="294"/>
      <c r="M152" s="295"/>
      <c r="N152" s="293"/>
      <c r="O152" s="578"/>
      <c r="P152" s="578"/>
      <c r="Q152" s="578"/>
      <c r="R152" s="578"/>
      <c r="S152" s="578"/>
      <c r="T152" s="229"/>
      <c r="U152" s="229"/>
      <c r="V152" s="229"/>
      <c r="W152" s="229"/>
      <c r="X152" s="229"/>
      <c r="Y152" s="229"/>
      <c r="Z152" s="229"/>
    </row>
    <row r="153" spans="1:26" s="230" customFormat="1" ht="13.15" customHeight="1">
      <c r="A153" s="223"/>
      <c r="B153" s="224"/>
      <c r="C153" s="294"/>
      <c r="M153" s="295"/>
      <c r="N153" s="293"/>
      <c r="O153" s="578"/>
      <c r="P153" s="578"/>
      <c r="Q153" s="578"/>
      <c r="R153" s="578"/>
      <c r="S153" s="578"/>
      <c r="T153" s="229"/>
      <c r="U153" s="229"/>
      <c r="V153" s="229"/>
      <c r="W153" s="229"/>
      <c r="X153" s="229"/>
      <c r="Y153" s="229"/>
      <c r="Z153" s="229"/>
    </row>
    <row r="154" spans="1:26" s="230" customFormat="1" ht="13.15" customHeight="1">
      <c r="A154" s="223"/>
      <c r="B154" s="224"/>
      <c r="C154" s="294"/>
      <c r="M154" s="295"/>
      <c r="N154" s="293"/>
      <c r="O154" s="578"/>
      <c r="P154" s="578"/>
      <c r="Q154" s="578"/>
      <c r="R154" s="578"/>
      <c r="S154" s="578"/>
      <c r="T154" s="229"/>
      <c r="U154" s="229"/>
      <c r="V154" s="229"/>
      <c r="W154" s="229"/>
      <c r="X154" s="229"/>
      <c r="Y154" s="229"/>
      <c r="Z154" s="229"/>
    </row>
    <row r="155" spans="1:26" s="230" customFormat="1" ht="13.15" customHeight="1">
      <c r="A155" s="223"/>
      <c r="B155" s="224"/>
      <c r="C155" s="294"/>
      <c r="M155" s="295"/>
      <c r="N155" s="293"/>
      <c r="O155" s="578"/>
      <c r="P155" s="578"/>
      <c r="Q155" s="578"/>
      <c r="R155" s="578"/>
      <c r="S155" s="578"/>
      <c r="T155" s="229"/>
      <c r="U155" s="229"/>
      <c r="V155" s="229"/>
      <c r="W155" s="229"/>
      <c r="X155" s="229"/>
      <c r="Y155" s="229"/>
      <c r="Z155" s="229"/>
    </row>
    <row r="156" spans="1:26" s="230" customFormat="1" ht="13.15" customHeight="1">
      <c r="A156" s="223"/>
      <c r="B156" s="224"/>
      <c r="C156" s="294"/>
      <c r="M156" s="295"/>
      <c r="N156" s="293"/>
      <c r="O156" s="578"/>
      <c r="P156" s="578"/>
      <c r="Q156" s="578"/>
      <c r="R156" s="578"/>
      <c r="S156" s="578"/>
      <c r="T156" s="229"/>
      <c r="U156" s="229"/>
      <c r="V156" s="229"/>
      <c r="W156" s="229"/>
      <c r="X156" s="229"/>
      <c r="Y156" s="229"/>
      <c r="Z156" s="229"/>
    </row>
    <row r="157" spans="1:26" s="230" customFormat="1" ht="13.15" customHeight="1">
      <c r="A157" s="223"/>
      <c r="B157" s="224"/>
      <c r="C157" s="294"/>
      <c r="M157" s="295"/>
      <c r="N157" s="293"/>
      <c r="O157" s="578"/>
      <c r="P157" s="578"/>
      <c r="Q157" s="578"/>
      <c r="R157" s="578"/>
      <c r="S157" s="578"/>
      <c r="T157" s="229"/>
      <c r="U157" s="229"/>
      <c r="V157" s="229"/>
      <c r="W157" s="229"/>
      <c r="X157" s="229"/>
      <c r="Y157" s="229"/>
      <c r="Z157" s="229"/>
    </row>
    <row r="158" spans="1:26" s="230" customFormat="1" ht="13.15" customHeight="1">
      <c r="A158" s="223"/>
      <c r="B158" s="224"/>
      <c r="C158" s="294"/>
      <c r="M158" s="295"/>
      <c r="N158" s="293"/>
      <c r="O158" s="578"/>
      <c r="P158" s="578"/>
      <c r="Q158" s="578"/>
      <c r="R158" s="578"/>
      <c r="S158" s="578"/>
      <c r="T158" s="229"/>
      <c r="U158" s="229"/>
      <c r="V158" s="229"/>
      <c r="W158" s="229"/>
      <c r="X158" s="229"/>
      <c r="Y158" s="229"/>
      <c r="Z158" s="229"/>
    </row>
    <row r="159" spans="1:26" s="230" customFormat="1" ht="13.15" customHeight="1">
      <c r="A159" s="223"/>
      <c r="B159" s="224"/>
      <c r="C159" s="294"/>
      <c r="M159" s="295"/>
      <c r="N159" s="293"/>
      <c r="O159" s="578"/>
      <c r="P159" s="578"/>
      <c r="Q159" s="578"/>
      <c r="R159" s="578"/>
      <c r="S159" s="578"/>
      <c r="T159" s="229"/>
      <c r="U159" s="229"/>
      <c r="V159" s="229"/>
      <c r="W159" s="229"/>
      <c r="X159" s="229"/>
      <c r="Y159" s="229"/>
      <c r="Z159" s="229"/>
    </row>
    <row r="160" spans="1:26" s="230" customFormat="1" ht="13.15" customHeight="1">
      <c r="A160" s="223"/>
      <c r="B160" s="224"/>
      <c r="C160" s="294"/>
      <c r="M160" s="295"/>
      <c r="N160" s="293"/>
      <c r="O160" s="578"/>
      <c r="P160" s="578"/>
      <c r="Q160" s="578"/>
      <c r="R160" s="578"/>
      <c r="S160" s="578"/>
      <c r="T160" s="229"/>
      <c r="U160" s="229"/>
      <c r="V160" s="229"/>
      <c r="W160" s="229"/>
      <c r="X160" s="229"/>
      <c r="Y160" s="229"/>
      <c r="Z160" s="229"/>
    </row>
    <row r="161" spans="1:26" s="230" customFormat="1" ht="13.15" customHeight="1">
      <c r="A161" s="223"/>
      <c r="B161" s="224"/>
      <c r="C161" s="294"/>
      <c r="M161" s="295"/>
      <c r="N161" s="293"/>
      <c r="O161" s="578"/>
      <c r="P161" s="578"/>
      <c r="Q161" s="578"/>
      <c r="R161" s="578"/>
      <c r="S161" s="578"/>
      <c r="T161" s="229"/>
      <c r="U161" s="229"/>
      <c r="V161" s="229"/>
      <c r="W161" s="229"/>
      <c r="X161" s="229"/>
      <c r="Y161" s="229"/>
      <c r="Z161" s="229"/>
    </row>
    <row r="162" spans="1:26" s="230" customFormat="1" ht="13.15" customHeight="1">
      <c r="A162" s="223"/>
      <c r="B162" s="224"/>
      <c r="C162" s="294"/>
      <c r="M162" s="295"/>
      <c r="N162" s="293"/>
      <c r="O162" s="578"/>
      <c r="P162" s="578"/>
      <c r="Q162" s="578"/>
      <c r="R162" s="578"/>
      <c r="S162" s="578"/>
      <c r="T162" s="229"/>
      <c r="U162" s="229"/>
      <c r="V162" s="229"/>
      <c r="W162" s="229"/>
      <c r="X162" s="229"/>
      <c r="Y162" s="229"/>
      <c r="Z162" s="229"/>
    </row>
    <row r="163" spans="1:26" s="230" customFormat="1" ht="13.15" customHeight="1">
      <c r="A163" s="223"/>
      <c r="B163" s="224"/>
      <c r="C163" s="294"/>
      <c r="M163" s="295"/>
      <c r="N163" s="293"/>
      <c r="O163" s="578"/>
      <c r="P163" s="578"/>
      <c r="Q163" s="578"/>
      <c r="R163" s="578"/>
      <c r="S163" s="578"/>
      <c r="T163" s="229"/>
      <c r="U163" s="229"/>
      <c r="V163" s="229"/>
      <c r="W163" s="229"/>
      <c r="X163" s="229"/>
      <c r="Y163" s="229"/>
      <c r="Z163" s="229"/>
    </row>
    <row r="164" spans="1:26" s="230" customFormat="1" ht="13.15" customHeight="1">
      <c r="A164" s="223"/>
      <c r="B164" s="224"/>
      <c r="C164" s="294"/>
      <c r="M164" s="295"/>
      <c r="N164" s="293"/>
      <c r="O164" s="578"/>
      <c r="P164" s="578"/>
      <c r="Q164" s="578"/>
      <c r="R164" s="578"/>
      <c r="S164" s="578"/>
      <c r="T164" s="229"/>
      <c r="U164" s="229"/>
      <c r="V164" s="229"/>
      <c r="W164" s="229"/>
      <c r="X164" s="229"/>
      <c r="Y164" s="229"/>
      <c r="Z164" s="229"/>
    </row>
    <row r="165" spans="1:26" s="230" customFormat="1" ht="13.15" customHeight="1">
      <c r="A165" s="223"/>
      <c r="B165" s="224"/>
      <c r="C165" s="294"/>
      <c r="M165" s="295"/>
      <c r="N165" s="293"/>
      <c r="O165" s="578"/>
      <c r="P165" s="578"/>
      <c r="Q165" s="578"/>
      <c r="R165" s="578"/>
      <c r="S165" s="578"/>
      <c r="T165" s="229"/>
      <c r="U165" s="229"/>
      <c r="V165" s="229"/>
      <c r="W165" s="229"/>
      <c r="X165" s="229"/>
      <c r="Y165" s="229"/>
      <c r="Z165" s="229"/>
    </row>
    <row r="166" spans="1:26" s="230" customFormat="1" ht="13.15" customHeight="1">
      <c r="A166" s="223"/>
      <c r="B166" s="224"/>
      <c r="C166" s="294"/>
      <c r="M166" s="295"/>
      <c r="N166" s="293"/>
      <c r="O166" s="578"/>
      <c r="P166" s="578"/>
      <c r="Q166" s="578"/>
      <c r="R166" s="578"/>
      <c r="S166" s="578"/>
      <c r="T166" s="229"/>
      <c r="U166" s="229"/>
      <c r="V166" s="229"/>
      <c r="W166" s="229"/>
      <c r="X166" s="229"/>
      <c r="Y166" s="229"/>
      <c r="Z166" s="229"/>
    </row>
    <row r="167" spans="1:26" s="230" customFormat="1" ht="13.15" customHeight="1">
      <c r="A167" s="223"/>
      <c r="B167" s="224"/>
      <c r="C167" s="294"/>
      <c r="M167" s="295"/>
      <c r="N167" s="293"/>
      <c r="O167" s="578"/>
      <c r="P167" s="578"/>
      <c r="Q167" s="578"/>
      <c r="R167" s="578"/>
      <c r="S167" s="578"/>
      <c r="T167" s="229"/>
      <c r="U167" s="229"/>
      <c r="V167" s="229"/>
      <c r="W167" s="229"/>
      <c r="X167" s="229"/>
      <c r="Y167" s="229"/>
      <c r="Z167" s="229"/>
    </row>
    <row r="168" spans="1:26" s="230" customFormat="1" ht="13.15" customHeight="1">
      <c r="A168" s="223"/>
      <c r="B168" s="224"/>
      <c r="C168" s="294"/>
      <c r="M168" s="295"/>
      <c r="N168" s="293"/>
      <c r="O168" s="578"/>
      <c r="P168" s="578"/>
      <c r="Q168" s="578"/>
      <c r="R168" s="578"/>
      <c r="S168" s="578"/>
      <c r="T168" s="229"/>
      <c r="U168" s="229"/>
      <c r="V168" s="229"/>
      <c r="W168" s="229"/>
      <c r="X168" s="229"/>
      <c r="Y168" s="229"/>
      <c r="Z168" s="229"/>
    </row>
    <row r="169" spans="1:26" s="230" customFormat="1" ht="13.15" customHeight="1">
      <c r="A169" s="223"/>
      <c r="B169" s="224"/>
      <c r="C169" s="294"/>
      <c r="M169" s="295"/>
      <c r="N169" s="293"/>
      <c r="O169" s="578"/>
      <c r="P169" s="578"/>
      <c r="Q169" s="578"/>
      <c r="R169" s="578"/>
      <c r="S169" s="578"/>
      <c r="T169" s="229"/>
      <c r="U169" s="229"/>
      <c r="V169" s="229"/>
      <c r="W169" s="229"/>
      <c r="X169" s="229"/>
      <c r="Y169" s="229"/>
      <c r="Z169" s="229"/>
    </row>
    <row r="170" spans="1:26" s="230" customFormat="1" ht="13.15" customHeight="1">
      <c r="A170" s="223"/>
      <c r="B170" s="224"/>
      <c r="C170" s="294"/>
      <c r="M170" s="295"/>
      <c r="N170" s="293"/>
      <c r="O170" s="578"/>
      <c r="P170" s="578"/>
      <c r="Q170" s="578"/>
      <c r="R170" s="578"/>
      <c r="S170" s="578"/>
      <c r="T170" s="229"/>
      <c r="U170" s="229"/>
      <c r="V170" s="229"/>
      <c r="W170" s="229"/>
      <c r="X170" s="229"/>
      <c r="Y170" s="229"/>
      <c r="Z170" s="229"/>
    </row>
    <row r="171" spans="1:26" s="230" customFormat="1" ht="13.15" customHeight="1">
      <c r="A171" s="223"/>
      <c r="B171" s="224"/>
      <c r="C171" s="294"/>
      <c r="M171" s="295"/>
      <c r="N171" s="293"/>
      <c r="O171" s="578"/>
      <c r="P171" s="578"/>
      <c r="Q171" s="578"/>
      <c r="R171" s="578"/>
      <c r="S171" s="578"/>
      <c r="T171" s="229"/>
      <c r="U171" s="229"/>
      <c r="V171" s="229"/>
      <c r="W171" s="229"/>
      <c r="X171" s="229"/>
      <c r="Y171" s="229"/>
      <c r="Z171" s="229"/>
    </row>
    <row r="172" spans="1:26" s="230" customFormat="1" ht="13.15" customHeight="1">
      <c r="A172" s="223"/>
      <c r="B172" s="224"/>
      <c r="C172" s="294"/>
      <c r="M172" s="295"/>
      <c r="N172" s="293"/>
      <c r="O172" s="578"/>
      <c r="P172" s="578"/>
      <c r="Q172" s="578"/>
      <c r="R172" s="578"/>
      <c r="S172" s="578"/>
      <c r="T172" s="229"/>
      <c r="U172" s="229"/>
      <c r="V172" s="229"/>
      <c r="W172" s="229"/>
      <c r="X172" s="229"/>
      <c r="Y172" s="229"/>
      <c r="Z172" s="229"/>
    </row>
    <row r="173" spans="1:26" s="230" customFormat="1" ht="13.15" customHeight="1">
      <c r="A173" s="223"/>
      <c r="B173" s="224"/>
      <c r="C173" s="294"/>
      <c r="M173" s="295"/>
      <c r="N173" s="293"/>
      <c r="O173" s="578"/>
      <c r="P173" s="578"/>
      <c r="Q173" s="578"/>
      <c r="R173" s="578"/>
      <c r="S173" s="578"/>
      <c r="T173" s="229"/>
      <c r="U173" s="229"/>
      <c r="V173" s="229"/>
      <c r="W173" s="229"/>
      <c r="X173" s="229"/>
      <c r="Y173" s="229"/>
      <c r="Z173" s="229"/>
    </row>
    <row r="174" spans="1:26" s="230" customFormat="1" ht="13.15" customHeight="1">
      <c r="A174" s="223"/>
      <c r="B174" s="224"/>
      <c r="C174" s="294"/>
      <c r="M174" s="295"/>
      <c r="N174" s="293"/>
      <c r="O174" s="578"/>
      <c r="P174" s="578"/>
      <c r="Q174" s="578"/>
      <c r="R174" s="578"/>
      <c r="S174" s="578"/>
      <c r="T174" s="229"/>
      <c r="U174" s="229"/>
      <c r="V174" s="229"/>
      <c r="W174" s="229"/>
      <c r="X174" s="229"/>
      <c r="Y174" s="229"/>
      <c r="Z174" s="229"/>
    </row>
    <row r="175" spans="1:26" s="230" customFormat="1" ht="13.15" customHeight="1">
      <c r="A175" s="223"/>
      <c r="B175" s="224"/>
      <c r="C175" s="294"/>
      <c r="M175" s="295"/>
      <c r="N175" s="293"/>
      <c r="O175" s="578"/>
      <c r="P175" s="578"/>
      <c r="Q175" s="578"/>
      <c r="R175" s="578"/>
      <c r="S175" s="578"/>
      <c r="T175" s="229"/>
      <c r="U175" s="229"/>
      <c r="V175" s="229"/>
      <c r="W175" s="229"/>
      <c r="X175" s="229"/>
      <c r="Y175" s="229"/>
      <c r="Z175" s="229"/>
    </row>
    <row r="176" spans="1:26" s="230" customFormat="1" ht="13.15" customHeight="1">
      <c r="A176" s="223"/>
      <c r="B176" s="224"/>
      <c r="C176" s="294"/>
      <c r="M176" s="295"/>
      <c r="N176" s="293"/>
      <c r="O176" s="578"/>
      <c r="P176" s="578"/>
      <c r="Q176" s="578"/>
      <c r="R176" s="578"/>
      <c r="S176" s="578"/>
      <c r="T176" s="229"/>
      <c r="U176" s="229"/>
      <c r="V176" s="229"/>
      <c r="W176" s="229"/>
      <c r="X176" s="229"/>
      <c r="Y176" s="229"/>
      <c r="Z176" s="229"/>
    </row>
    <row r="177" spans="1:26" s="230" customFormat="1" ht="13.15" customHeight="1">
      <c r="A177" s="223"/>
      <c r="B177" s="224"/>
      <c r="C177" s="294"/>
      <c r="M177" s="295"/>
      <c r="N177" s="293"/>
      <c r="O177" s="578"/>
      <c r="P177" s="578"/>
      <c r="Q177" s="578"/>
      <c r="R177" s="578"/>
      <c r="S177" s="578"/>
      <c r="T177" s="229"/>
      <c r="U177" s="229"/>
      <c r="V177" s="229"/>
      <c r="W177" s="229"/>
      <c r="X177" s="229"/>
      <c r="Y177" s="229"/>
      <c r="Z177" s="229"/>
    </row>
    <row r="178" spans="1:26" s="230" customFormat="1" ht="13.15" customHeight="1">
      <c r="A178" s="223"/>
      <c r="B178" s="224"/>
      <c r="C178" s="294"/>
      <c r="M178" s="295"/>
      <c r="N178" s="293"/>
      <c r="O178" s="578"/>
      <c r="P178" s="578"/>
      <c r="Q178" s="578"/>
      <c r="R178" s="578"/>
      <c r="S178" s="578"/>
      <c r="T178" s="229"/>
      <c r="U178" s="229"/>
      <c r="V178" s="229"/>
      <c r="W178" s="229"/>
      <c r="X178" s="229"/>
      <c r="Y178" s="229"/>
      <c r="Z178" s="229"/>
    </row>
    <row r="179" spans="1:26" s="230" customFormat="1" ht="13.15" customHeight="1">
      <c r="A179" s="223"/>
      <c r="B179" s="224"/>
      <c r="C179" s="294"/>
      <c r="M179" s="295"/>
      <c r="N179" s="293"/>
      <c r="O179" s="578"/>
      <c r="P179" s="578"/>
      <c r="Q179" s="578"/>
      <c r="R179" s="578"/>
      <c r="S179" s="578"/>
      <c r="T179" s="229"/>
      <c r="U179" s="229"/>
      <c r="V179" s="229"/>
      <c r="W179" s="229"/>
      <c r="X179" s="229"/>
      <c r="Y179" s="229"/>
      <c r="Z179" s="229"/>
    </row>
    <row r="180" spans="1:26" s="230" customFormat="1" ht="13.15" customHeight="1">
      <c r="A180" s="223"/>
      <c r="B180" s="224"/>
      <c r="C180" s="294"/>
      <c r="M180" s="295"/>
      <c r="N180" s="293"/>
      <c r="O180" s="578"/>
      <c r="P180" s="578"/>
      <c r="Q180" s="578"/>
      <c r="R180" s="578"/>
      <c r="S180" s="578"/>
      <c r="T180" s="229"/>
      <c r="U180" s="229"/>
      <c r="V180" s="229"/>
      <c r="W180" s="229"/>
      <c r="X180" s="229"/>
      <c r="Y180" s="229"/>
      <c r="Z180" s="229"/>
    </row>
    <row r="181" spans="1:26" s="230" customFormat="1" ht="13.15" customHeight="1">
      <c r="A181" s="223"/>
      <c r="B181" s="224"/>
      <c r="C181" s="294"/>
      <c r="M181" s="295"/>
      <c r="N181" s="293"/>
      <c r="O181" s="578"/>
      <c r="P181" s="578"/>
      <c r="Q181" s="578"/>
      <c r="R181" s="578"/>
      <c r="S181" s="578"/>
      <c r="T181" s="229"/>
      <c r="U181" s="229"/>
      <c r="V181" s="229"/>
      <c r="W181" s="229"/>
      <c r="X181" s="229"/>
      <c r="Y181" s="229"/>
      <c r="Z181" s="229"/>
    </row>
    <row r="182" spans="1:26" s="230" customFormat="1" ht="13.15" customHeight="1">
      <c r="A182" s="223"/>
      <c r="B182" s="224"/>
      <c r="C182" s="294"/>
      <c r="M182" s="295"/>
      <c r="N182" s="293"/>
      <c r="O182" s="578"/>
      <c r="P182" s="578"/>
      <c r="Q182" s="578"/>
      <c r="R182" s="578"/>
      <c r="S182" s="578"/>
      <c r="T182" s="229"/>
      <c r="U182" s="229"/>
      <c r="V182" s="229"/>
      <c r="W182" s="229"/>
      <c r="X182" s="229"/>
      <c r="Y182" s="229"/>
      <c r="Z182" s="229"/>
    </row>
    <row r="183" spans="1:26" s="230" customFormat="1" ht="13.15" customHeight="1">
      <c r="A183" s="223"/>
      <c r="B183" s="224"/>
      <c r="C183" s="294"/>
      <c r="M183" s="295"/>
      <c r="N183" s="293"/>
      <c r="O183" s="578"/>
      <c r="P183" s="578"/>
      <c r="Q183" s="578"/>
      <c r="R183" s="578"/>
      <c r="S183" s="578"/>
      <c r="T183" s="229"/>
      <c r="U183" s="229"/>
      <c r="V183" s="229"/>
      <c r="W183" s="229"/>
      <c r="X183" s="229"/>
      <c r="Y183" s="229"/>
      <c r="Z183" s="229"/>
    </row>
    <row r="184" spans="1:26" s="230" customFormat="1" ht="13.15" customHeight="1">
      <c r="A184" s="223"/>
      <c r="B184" s="224"/>
      <c r="C184" s="294"/>
      <c r="M184" s="295"/>
      <c r="N184" s="293"/>
      <c r="O184" s="578"/>
      <c r="P184" s="578"/>
      <c r="Q184" s="578"/>
      <c r="R184" s="578"/>
      <c r="S184" s="578"/>
      <c r="T184" s="229"/>
      <c r="U184" s="229"/>
      <c r="V184" s="229"/>
      <c r="W184" s="229"/>
      <c r="X184" s="229"/>
      <c r="Y184" s="229"/>
      <c r="Z184" s="229"/>
    </row>
    <row r="185" spans="1:26" s="230" customFormat="1" ht="13.15" customHeight="1">
      <c r="A185" s="223"/>
      <c r="B185" s="224"/>
      <c r="C185" s="294"/>
      <c r="M185" s="295"/>
      <c r="N185" s="293"/>
      <c r="O185" s="578"/>
      <c r="P185" s="578"/>
      <c r="Q185" s="578"/>
      <c r="R185" s="578"/>
      <c r="S185" s="578"/>
      <c r="T185" s="229"/>
      <c r="U185" s="229"/>
      <c r="V185" s="229"/>
      <c r="W185" s="229"/>
      <c r="X185" s="229"/>
      <c r="Y185" s="229"/>
      <c r="Z185" s="229"/>
    </row>
    <row r="186" spans="1:26" s="230" customFormat="1" ht="13.15" customHeight="1">
      <c r="A186" s="223"/>
      <c r="B186" s="224"/>
      <c r="C186" s="294"/>
      <c r="M186" s="295"/>
      <c r="N186" s="293"/>
      <c r="O186" s="578"/>
      <c r="P186" s="578"/>
      <c r="Q186" s="578"/>
      <c r="R186" s="578"/>
      <c r="S186" s="578"/>
      <c r="T186" s="229"/>
      <c r="U186" s="229"/>
      <c r="V186" s="229"/>
      <c r="W186" s="229"/>
      <c r="X186" s="229"/>
      <c r="Y186" s="229"/>
      <c r="Z186" s="229"/>
    </row>
    <row r="187" spans="1:26" s="230" customFormat="1" ht="13.15" customHeight="1">
      <c r="A187" s="223"/>
      <c r="B187" s="224"/>
      <c r="C187" s="294"/>
      <c r="M187" s="295"/>
      <c r="N187" s="293"/>
      <c r="O187" s="578"/>
      <c r="P187" s="578"/>
      <c r="Q187" s="578"/>
      <c r="R187" s="578"/>
      <c r="S187" s="578"/>
      <c r="T187" s="229"/>
      <c r="U187" s="229"/>
      <c r="V187" s="229"/>
      <c r="W187" s="229"/>
      <c r="X187" s="229"/>
      <c r="Y187" s="229"/>
      <c r="Z187" s="229"/>
    </row>
    <row r="188" spans="1:26" s="230" customFormat="1" ht="13.15" customHeight="1">
      <c r="A188" s="223"/>
      <c r="B188" s="224"/>
      <c r="C188" s="294"/>
      <c r="M188" s="295"/>
      <c r="N188" s="293"/>
      <c r="O188" s="578"/>
      <c r="P188" s="578"/>
      <c r="Q188" s="578"/>
      <c r="R188" s="578"/>
      <c r="S188" s="578"/>
      <c r="T188" s="229"/>
      <c r="U188" s="229"/>
      <c r="V188" s="229"/>
      <c r="W188" s="229"/>
      <c r="X188" s="229"/>
      <c r="Y188" s="229"/>
      <c r="Z188" s="229"/>
    </row>
    <row r="189" spans="1:26" s="230" customFormat="1" ht="13.15" customHeight="1">
      <c r="A189" s="223"/>
      <c r="B189" s="224"/>
      <c r="C189" s="294"/>
      <c r="M189" s="295"/>
      <c r="N189" s="293"/>
      <c r="O189" s="578"/>
      <c r="P189" s="578"/>
      <c r="Q189" s="578"/>
      <c r="R189" s="578"/>
      <c r="S189" s="578"/>
      <c r="T189" s="229"/>
      <c r="U189" s="229"/>
      <c r="V189" s="229"/>
      <c r="W189" s="229"/>
      <c r="X189" s="229"/>
      <c r="Y189" s="229"/>
      <c r="Z189" s="229"/>
    </row>
    <row r="190" spans="1:26" s="230" customFormat="1" ht="13.15" customHeight="1">
      <c r="A190" s="223"/>
      <c r="B190" s="224"/>
      <c r="C190" s="294"/>
      <c r="M190" s="295"/>
      <c r="N190" s="293"/>
      <c r="O190" s="578"/>
      <c r="P190" s="578"/>
      <c r="Q190" s="578"/>
      <c r="R190" s="578"/>
      <c r="S190" s="578"/>
      <c r="T190" s="229"/>
      <c r="U190" s="229"/>
      <c r="V190" s="229"/>
      <c r="W190" s="229"/>
      <c r="X190" s="229"/>
      <c r="Y190" s="229"/>
      <c r="Z190" s="229"/>
    </row>
    <row r="191" spans="1:26" s="209" customFormat="1" ht="13.15" customHeight="1">
      <c r="A191" s="217"/>
      <c r="B191" s="218"/>
      <c r="C191" s="299"/>
      <c r="M191" s="300"/>
      <c r="N191" s="301"/>
      <c r="O191" s="356"/>
      <c r="P191" s="356"/>
      <c r="Q191" s="356"/>
      <c r="R191" s="356"/>
      <c r="S191" s="356"/>
      <c r="T191" s="219"/>
      <c r="U191" s="219"/>
      <c r="V191" s="219"/>
      <c r="W191" s="219"/>
      <c r="X191" s="219"/>
      <c r="Y191" s="219"/>
      <c r="Z191" s="219"/>
    </row>
    <row r="192" spans="1:26" s="210" customFormat="1" ht="13.15" customHeight="1">
      <c r="A192" s="206"/>
      <c r="B192" s="207"/>
      <c r="C192" s="208"/>
      <c r="D192" s="209"/>
      <c r="M192" s="211"/>
      <c r="N192" s="302"/>
      <c r="O192" s="577"/>
      <c r="P192" s="577"/>
      <c r="Q192" s="577"/>
      <c r="R192" s="577"/>
      <c r="S192" s="577"/>
      <c r="T192" s="213"/>
      <c r="U192" s="213"/>
      <c r="V192" s="213"/>
      <c r="W192" s="213"/>
      <c r="X192" s="213"/>
      <c r="Y192" s="213"/>
      <c r="Z192" s="213"/>
    </row>
    <row r="193" spans="1:26" s="210" customFormat="1" ht="13.15" customHeight="1">
      <c r="A193" s="206"/>
      <c r="B193" s="207"/>
      <c r="C193" s="208"/>
      <c r="D193" s="209"/>
      <c r="M193" s="211"/>
      <c r="N193" s="302"/>
      <c r="O193" s="577"/>
      <c r="P193" s="577"/>
      <c r="Q193" s="577"/>
      <c r="R193" s="577"/>
      <c r="S193" s="577"/>
      <c r="T193" s="213"/>
      <c r="U193" s="213"/>
      <c r="V193" s="213"/>
      <c r="W193" s="213"/>
      <c r="X193" s="213"/>
      <c r="Y193" s="213"/>
      <c r="Z193" s="213"/>
    </row>
    <row r="194" spans="1:26" s="210" customFormat="1" ht="13.15" customHeight="1">
      <c r="A194" s="206"/>
      <c r="B194" s="207"/>
      <c r="C194" s="208"/>
      <c r="D194" s="209"/>
      <c r="M194" s="211"/>
      <c r="N194" s="302"/>
      <c r="O194" s="577"/>
      <c r="P194" s="577"/>
      <c r="Q194" s="577"/>
      <c r="R194" s="577"/>
      <c r="S194" s="577"/>
      <c r="T194" s="213"/>
      <c r="U194" s="213"/>
      <c r="V194" s="213"/>
      <c r="W194" s="213"/>
      <c r="X194" s="213"/>
      <c r="Y194" s="213"/>
      <c r="Z194" s="213"/>
    </row>
    <row r="195" spans="1:26" s="210" customFormat="1" ht="13.15" customHeight="1">
      <c r="A195" s="206"/>
      <c r="B195" s="207"/>
      <c r="C195" s="208"/>
      <c r="D195" s="209"/>
      <c r="M195" s="211"/>
      <c r="N195" s="302"/>
      <c r="O195" s="577"/>
      <c r="P195" s="577"/>
      <c r="Q195" s="577"/>
      <c r="R195" s="577"/>
      <c r="S195" s="577"/>
      <c r="T195" s="213"/>
      <c r="U195" s="213"/>
      <c r="V195" s="213"/>
      <c r="W195" s="213"/>
      <c r="X195" s="213"/>
      <c r="Y195" s="213"/>
      <c r="Z195" s="213"/>
    </row>
    <row r="196" spans="1:26" s="210" customFormat="1" ht="13.15" customHeight="1">
      <c r="A196" s="206"/>
      <c r="B196" s="207"/>
      <c r="C196" s="208"/>
      <c r="D196" s="209"/>
      <c r="M196" s="211"/>
      <c r="N196" s="302"/>
      <c r="O196" s="577"/>
      <c r="P196" s="577"/>
      <c r="Q196" s="577"/>
      <c r="R196" s="577"/>
      <c r="S196" s="577"/>
      <c r="T196" s="213"/>
      <c r="U196" s="213"/>
      <c r="V196" s="213"/>
      <c r="W196" s="213"/>
      <c r="X196" s="213"/>
      <c r="Y196" s="213"/>
      <c r="Z196" s="213"/>
    </row>
    <row r="197" spans="1:26" s="210" customFormat="1" ht="13.15" customHeight="1">
      <c r="A197" s="206"/>
      <c r="B197" s="207"/>
      <c r="C197" s="208"/>
      <c r="D197" s="209"/>
      <c r="M197" s="211"/>
      <c r="N197" s="212"/>
      <c r="O197" s="577"/>
      <c r="P197" s="577"/>
      <c r="Q197" s="577"/>
      <c r="R197" s="577"/>
      <c r="S197" s="577"/>
      <c r="T197" s="213"/>
      <c r="U197" s="213"/>
      <c r="V197" s="213"/>
      <c r="W197" s="213"/>
      <c r="X197" s="213"/>
      <c r="Y197" s="213"/>
      <c r="Z197" s="213"/>
    </row>
    <row r="198" spans="1:26" s="210" customFormat="1" ht="13.15" customHeight="1">
      <c r="A198" s="206"/>
      <c r="B198" s="207"/>
      <c r="C198" s="208"/>
      <c r="D198" s="209"/>
      <c r="M198" s="211"/>
      <c r="N198" s="212"/>
      <c r="O198" s="577"/>
      <c r="P198" s="577"/>
      <c r="Q198" s="577"/>
      <c r="R198" s="577"/>
      <c r="S198" s="577"/>
      <c r="T198" s="213"/>
      <c r="U198" s="213"/>
      <c r="V198" s="213"/>
      <c r="W198" s="213"/>
      <c r="X198" s="213"/>
      <c r="Y198" s="213"/>
      <c r="Z198" s="213"/>
    </row>
    <row r="199" spans="1:26" s="210" customFormat="1" ht="13.15" customHeight="1">
      <c r="A199" s="206"/>
      <c r="B199" s="207"/>
      <c r="C199" s="208"/>
      <c r="D199" s="209"/>
      <c r="M199" s="211"/>
      <c r="N199" s="212"/>
      <c r="O199" s="577"/>
      <c r="P199" s="577"/>
      <c r="Q199" s="577"/>
      <c r="R199" s="577"/>
      <c r="S199" s="577"/>
      <c r="T199" s="213"/>
      <c r="U199" s="213"/>
      <c r="V199" s="213"/>
      <c r="W199" s="213"/>
      <c r="X199" s="213"/>
      <c r="Y199" s="213"/>
      <c r="Z199" s="213"/>
    </row>
    <row r="200" spans="1:26" s="210" customFormat="1" ht="13.15" customHeight="1">
      <c r="A200" s="206"/>
      <c r="B200" s="207"/>
      <c r="C200" s="208"/>
      <c r="D200" s="209"/>
      <c r="M200" s="211"/>
      <c r="N200" s="212"/>
      <c r="O200" s="577"/>
      <c r="P200" s="577"/>
      <c r="Q200" s="577"/>
      <c r="R200" s="577"/>
      <c r="S200" s="577"/>
      <c r="T200" s="213"/>
      <c r="U200" s="213"/>
      <c r="V200" s="213"/>
      <c r="W200" s="213"/>
      <c r="X200" s="213"/>
      <c r="Y200" s="213"/>
      <c r="Z200" s="213"/>
    </row>
    <row r="201" spans="1:26" s="210" customFormat="1" ht="13.15" customHeight="1">
      <c r="A201" s="206"/>
      <c r="B201" s="207"/>
      <c r="C201" s="208"/>
      <c r="D201" s="209"/>
      <c r="M201" s="211"/>
      <c r="N201" s="212"/>
      <c r="O201" s="577"/>
      <c r="P201" s="577"/>
      <c r="Q201" s="577"/>
      <c r="R201" s="577"/>
      <c r="S201" s="577"/>
      <c r="T201" s="213"/>
      <c r="U201" s="213"/>
      <c r="V201" s="213"/>
      <c r="W201" s="213"/>
      <c r="X201" s="213"/>
      <c r="Y201" s="213"/>
      <c r="Z201" s="213"/>
    </row>
    <row r="202" spans="1:26" s="210" customFormat="1" ht="13.15" customHeight="1">
      <c r="A202" s="206"/>
      <c r="B202" s="207"/>
      <c r="C202" s="208"/>
      <c r="D202" s="209"/>
      <c r="M202" s="211"/>
      <c r="N202" s="212"/>
      <c r="O202" s="577"/>
      <c r="P202" s="577"/>
      <c r="Q202" s="577"/>
      <c r="R202" s="577"/>
      <c r="S202" s="577"/>
      <c r="T202" s="213"/>
      <c r="U202" s="213"/>
      <c r="V202" s="213"/>
      <c r="W202" s="213"/>
      <c r="X202" s="213"/>
      <c r="Y202" s="213"/>
      <c r="Z202" s="213"/>
    </row>
    <row r="203" spans="1:26" s="210" customFormat="1" ht="13.15" customHeight="1">
      <c r="A203" s="206"/>
      <c r="B203" s="207"/>
      <c r="C203" s="208"/>
      <c r="D203" s="209"/>
      <c r="M203" s="211"/>
      <c r="N203" s="212"/>
      <c r="O203" s="577"/>
      <c r="P203" s="577"/>
      <c r="Q203" s="577"/>
      <c r="R203" s="577"/>
      <c r="S203" s="577"/>
      <c r="T203" s="213"/>
      <c r="U203" s="213"/>
      <c r="V203" s="213"/>
      <c r="W203" s="213"/>
      <c r="X203" s="213"/>
      <c r="Y203" s="213"/>
      <c r="Z203" s="213"/>
    </row>
    <row r="204" spans="1:26" s="210" customFormat="1" ht="13.15" customHeight="1">
      <c r="A204" s="206"/>
      <c r="B204" s="207"/>
      <c r="C204" s="208"/>
      <c r="D204" s="209"/>
      <c r="M204" s="211"/>
      <c r="N204" s="212"/>
      <c r="O204" s="577"/>
      <c r="P204" s="577"/>
      <c r="Q204" s="577"/>
      <c r="R204" s="577"/>
      <c r="S204" s="577"/>
      <c r="T204" s="213"/>
      <c r="U204" s="213"/>
      <c r="V204" s="213"/>
      <c r="W204" s="213"/>
      <c r="X204" s="213"/>
      <c r="Y204" s="213"/>
      <c r="Z204" s="213"/>
    </row>
    <row r="205" spans="1:26" s="210" customFormat="1" ht="13.15" customHeight="1">
      <c r="A205" s="206"/>
      <c r="B205" s="207"/>
      <c r="C205" s="208"/>
      <c r="D205" s="209"/>
      <c r="M205" s="211"/>
      <c r="N205" s="212"/>
      <c r="O205" s="577"/>
      <c r="P205" s="577"/>
      <c r="Q205" s="577"/>
      <c r="R205" s="577"/>
      <c r="S205" s="577"/>
      <c r="T205" s="213"/>
      <c r="U205" s="213"/>
      <c r="V205" s="213"/>
      <c r="W205" s="213"/>
      <c r="X205" s="213"/>
      <c r="Y205" s="213"/>
      <c r="Z205" s="213"/>
    </row>
    <row r="206" spans="1:26" s="210" customFormat="1" ht="13.15" customHeight="1">
      <c r="A206" s="206"/>
      <c r="B206" s="207"/>
      <c r="C206" s="208"/>
      <c r="D206" s="209"/>
      <c r="M206" s="211"/>
      <c r="N206" s="212"/>
      <c r="O206" s="577"/>
      <c r="P206" s="577"/>
      <c r="Q206" s="577"/>
      <c r="R206" s="577"/>
      <c r="S206" s="577"/>
      <c r="T206" s="213"/>
      <c r="U206" s="213"/>
      <c r="V206" s="213"/>
      <c r="W206" s="213"/>
      <c r="X206" s="213"/>
      <c r="Y206" s="213"/>
      <c r="Z206" s="213"/>
    </row>
    <row r="207" spans="1:26" s="210" customFormat="1" ht="13.15" customHeight="1">
      <c r="A207" s="206"/>
      <c r="B207" s="207"/>
      <c r="C207" s="208"/>
      <c r="D207" s="209"/>
      <c r="M207" s="211"/>
      <c r="N207" s="212"/>
      <c r="O207" s="577"/>
      <c r="P207" s="577"/>
      <c r="Q207" s="577"/>
      <c r="R207" s="577"/>
      <c r="S207" s="577"/>
      <c r="T207" s="213"/>
      <c r="U207" s="213"/>
      <c r="V207" s="213"/>
      <c r="W207" s="213"/>
      <c r="X207" s="213"/>
      <c r="Y207" s="213"/>
      <c r="Z207" s="213"/>
    </row>
    <row r="208" spans="1:26" s="210" customFormat="1" ht="13.15" customHeight="1">
      <c r="A208" s="206"/>
      <c r="B208" s="207"/>
      <c r="C208" s="208"/>
      <c r="D208" s="209"/>
      <c r="M208" s="211"/>
      <c r="N208" s="212"/>
      <c r="O208" s="577"/>
      <c r="P208" s="577"/>
      <c r="Q208" s="577"/>
      <c r="R208" s="577"/>
      <c r="S208" s="577"/>
      <c r="T208" s="213"/>
      <c r="U208" s="213"/>
      <c r="V208" s="213"/>
      <c r="W208" s="213"/>
      <c r="X208" s="213"/>
      <c r="Y208" s="213"/>
      <c r="Z208" s="213"/>
    </row>
    <row r="209" spans="1:26" s="210" customFormat="1" ht="13.15" customHeight="1">
      <c r="A209" s="206"/>
      <c r="B209" s="207"/>
      <c r="C209" s="208"/>
      <c r="D209" s="209"/>
      <c r="M209" s="211"/>
      <c r="N209" s="212"/>
      <c r="O209" s="577"/>
      <c r="P209" s="577"/>
      <c r="Q209" s="577"/>
      <c r="R209" s="577"/>
      <c r="S209" s="577"/>
      <c r="T209" s="213"/>
      <c r="U209" s="213"/>
      <c r="V209" s="213"/>
      <c r="W209" s="213"/>
      <c r="X209" s="213"/>
      <c r="Y209" s="213"/>
      <c r="Z209" s="213"/>
    </row>
    <row r="210" spans="1:26" s="210" customFormat="1" ht="13.15" customHeight="1">
      <c r="A210" s="206"/>
      <c r="B210" s="207"/>
      <c r="C210" s="208"/>
      <c r="D210" s="209"/>
      <c r="M210" s="211"/>
      <c r="N210" s="212"/>
      <c r="O210" s="577"/>
      <c r="P210" s="577"/>
      <c r="Q210" s="577"/>
      <c r="R210" s="577"/>
      <c r="S210" s="577"/>
      <c r="T210" s="213"/>
      <c r="U210" s="213"/>
      <c r="V210" s="213"/>
      <c r="W210" s="213"/>
      <c r="X210" s="213"/>
      <c r="Y210" s="213"/>
      <c r="Z210" s="213"/>
    </row>
    <row r="211" spans="1:26" s="210" customFormat="1" ht="13.15" customHeight="1">
      <c r="A211" s="206"/>
      <c r="B211" s="207"/>
      <c r="C211" s="208"/>
      <c r="D211" s="209"/>
      <c r="M211" s="211"/>
      <c r="N211" s="212"/>
      <c r="O211" s="577"/>
      <c r="P211" s="577"/>
      <c r="Q211" s="577"/>
      <c r="R211" s="577"/>
      <c r="S211" s="577"/>
      <c r="T211" s="213"/>
      <c r="U211" s="213"/>
      <c r="V211" s="213"/>
      <c r="W211" s="213"/>
      <c r="X211" s="213"/>
      <c r="Y211" s="213"/>
      <c r="Z211" s="213"/>
    </row>
    <row r="212" spans="1:26" s="210" customFormat="1" ht="13.15" customHeight="1">
      <c r="A212" s="206"/>
      <c r="B212" s="207"/>
      <c r="C212" s="208"/>
      <c r="D212" s="209"/>
      <c r="M212" s="211"/>
      <c r="N212" s="212"/>
      <c r="O212" s="577"/>
      <c r="P212" s="577"/>
      <c r="Q212" s="577"/>
      <c r="R212" s="577"/>
      <c r="S212" s="577"/>
      <c r="T212" s="213"/>
      <c r="U212" s="213"/>
      <c r="V212" s="213"/>
      <c r="W212" s="213"/>
      <c r="X212" s="213"/>
      <c r="Y212" s="213"/>
      <c r="Z212" s="213"/>
    </row>
    <row r="213" spans="1:26" s="210" customFormat="1" ht="13.15" customHeight="1">
      <c r="A213" s="206"/>
      <c r="B213" s="207"/>
      <c r="C213" s="208"/>
      <c r="D213" s="209"/>
      <c r="M213" s="211"/>
      <c r="N213" s="212"/>
      <c r="O213" s="577"/>
      <c r="P213" s="577"/>
      <c r="Q213" s="577"/>
      <c r="R213" s="577"/>
      <c r="S213" s="577"/>
      <c r="T213" s="213"/>
      <c r="U213" s="213"/>
      <c r="V213" s="213"/>
      <c r="W213" s="213"/>
      <c r="X213" s="213"/>
      <c r="Y213" s="213"/>
      <c r="Z213" s="213"/>
    </row>
    <row r="214" spans="1:26" s="210" customFormat="1" ht="13.15" customHeight="1">
      <c r="A214" s="206"/>
      <c r="B214" s="207"/>
      <c r="C214" s="208"/>
      <c r="D214" s="209"/>
      <c r="M214" s="211"/>
      <c r="N214" s="212"/>
      <c r="O214" s="577"/>
      <c r="P214" s="577"/>
      <c r="Q214" s="577"/>
      <c r="R214" s="577"/>
      <c r="S214" s="577"/>
      <c r="T214" s="213"/>
      <c r="U214" s="213"/>
      <c r="V214" s="213"/>
      <c r="W214" s="213"/>
      <c r="X214" s="213"/>
      <c r="Y214" s="213"/>
      <c r="Z214" s="213"/>
    </row>
    <row r="215" spans="1:26" s="210" customFormat="1" ht="13.15" customHeight="1">
      <c r="A215" s="206"/>
      <c r="B215" s="207"/>
      <c r="C215" s="208"/>
      <c r="D215" s="209"/>
      <c r="M215" s="211"/>
      <c r="N215" s="212"/>
      <c r="O215" s="577"/>
      <c r="P215" s="577"/>
      <c r="Q215" s="577"/>
      <c r="R215" s="577"/>
      <c r="S215" s="577"/>
      <c r="T215" s="213"/>
      <c r="U215" s="213"/>
      <c r="V215" s="213"/>
      <c r="W215" s="213"/>
      <c r="X215" s="213"/>
      <c r="Y215" s="213"/>
      <c r="Z215" s="213"/>
    </row>
    <row r="216" spans="1:26" s="210" customFormat="1" ht="13.15" customHeight="1">
      <c r="A216" s="206"/>
      <c r="B216" s="207"/>
      <c r="C216" s="208"/>
      <c r="D216" s="209"/>
      <c r="M216" s="211"/>
      <c r="N216" s="212"/>
      <c r="O216" s="577"/>
      <c r="P216" s="577"/>
      <c r="Q216" s="577"/>
      <c r="R216" s="577"/>
      <c r="S216" s="577"/>
      <c r="T216" s="213"/>
      <c r="U216" s="213"/>
      <c r="V216" s="213"/>
      <c r="W216" s="213"/>
      <c r="X216" s="213"/>
      <c r="Y216" s="213"/>
      <c r="Z216" s="213"/>
    </row>
    <row r="217" spans="1:26" s="210" customFormat="1" ht="13.15" customHeight="1">
      <c r="A217" s="206"/>
      <c r="B217" s="207"/>
      <c r="C217" s="208"/>
      <c r="D217" s="209"/>
      <c r="M217" s="211"/>
      <c r="N217" s="212"/>
      <c r="O217" s="577"/>
      <c r="P217" s="577"/>
      <c r="Q217" s="577"/>
      <c r="R217" s="577"/>
      <c r="S217" s="577"/>
      <c r="T217" s="213"/>
      <c r="U217" s="213"/>
      <c r="V217" s="213"/>
      <c r="W217" s="213"/>
      <c r="X217" s="213"/>
      <c r="Y217" s="213"/>
      <c r="Z217" s="213"/>
    </row>
    <row r="218" spans="1:26" s="210" customFormat="1" ht="13.15" customHeight="1">
      <c r="A218" s="206"/>
      <c r="B218" s="207"/>
      <c r="C218" s="208"/>
      <c r="D218" s="209"/>
      <c r="M218" s="211"/>
      <c r="N218" s="212"/>
      <c r="O218" s="577"/>
      <c r="P218" s="577"/>
      <c r="Q218" s="577"/>
      <c r="R218" s="577"/>
      <c r="S218" s="577"/>
      <c r="T218" s="213"/>
      <c r="U218" s="213"/>
      <c r="V218" s="213"/>
      <c r="W218" s="213"/>
      <c r="X218" s="213"/>
      <c r="Y218" s="213"/>
      <c r="Z218" s="213"/>
    </row>
    <row r="219" spans="1:26" s="210" customFormat="1" ht="13.15" customHeight="1">
      <c r="A219" s="206"/>
      <c r="B219" s="207"/>
      <c r="C219" s="208"/>
      <c r="D219" s="209"/>
      <c r="M219" s="211"/>
      <c r="N219" s="212"/>
      <c r="O219" s="577"/>
      <c r="P219" s="577"/>
      <c r="Q219" s="577"/>
      <c r="R219" s="577"/>
      <c r="S219" s="577"/>
      <c r="T219" s="213"/>
      <c r="U219" s="213"/>
      <c r="V219" s="213"/>
      <c r="W219" s="213"/>
      <c r="X219" s="213"/>
      <c r="Y219" s="213"/>
      <c r="Z219" s="213"/>
    </row>
    <row r="220" spans="1:26" s="210" customFormat="1" ht="13.15" customHeight="1">
      <c r="A220" s="206"/>
      <c r="B220" s="207"/>
      <c r="C220" s="208"/>
      <c r="D220" s="209"/>
      <c r="M220" s="211"/>
      <c r="N220" s="212"/>
      <c r="O220" s="577"/>
      <c r="P220" s="577"/>
      <c r="Q220" s="577"/>
      <c r="R220" s="577"/>
      <c r="S220" s="577"/>
      <c r="T220" s="213"/>
      <c r="U220" s="213"/>
      <c r="V220" s="213"/>
      <c r="W220" s="213"/>
      <c r="X220" s="213"/>
      <c r="Y220" s="213"/>
      <c r="Z220" s="213"/>
    </row>
    <row r="221" spans="1:26" s="210" customFormat="1" ht="13.15" customHeight="1">
      <c r="A221" s="206"/>
      <c r="B221" s="207"/>
      <c r="C221" s="208"/>
      <c r="D221" s="209"/>
      <c r="M221" s="211"/>
      <c r="N221" s="212"/>
      <c r="O221" s="577"/>
      <c r="P221" s="577"/>
      <c r="Q221" s="577"/>
      <c r="R221" s="577"/>
      <c r="S221" s="577"/>
      <c r="T221" s="213"/>
      <c r="U221" s="213"/>
      <c r="V221" s="213"/>
      <c r="W221" s="213"/>
      <c r="X221" s="213"/>
      <c r="Y221" s="213"/>
      <c r="Z221" s="213"/>
    </row>
    <row r="222" spans="1:26" s="210" customFormat="1" ht="13.15" customHeight="1">
      <c r="A222" s="206"/>
      <c r="B222" s="207"/>
      <c r="C222" s="208"/>
      <c r="D222" s="209"/>
      <c r="M222" s="211"/>
      <c r="N222" s="212"/>
      <c r="O222" s="577"/>
      <c r="P222" s="577"/>
      <c r="Q222" s="577"/>
      <c r="R222" s="577"/>
      <c r="S222" s="577"/>
      <c r="T222" s="213"/>
      <c r="U222" s="213"/>
      <c r="V222" s="213"/>
      <c r="W222" s="213"/>
      <c r="X222" s="213"/>
      <c r="Y222" s="213"/>
      <c r="Z222" s="213"/>
    </row>
    <row r="223" spans="1:26" s="210" customFormat="1" ht="13.15" customHeight="1">
      <c r="A223" s="206"/>
      <c r="B223" s="207"/>
      <c r="C223" s="208"/>
      <c r="D223" s="209"/>
      <c r="M223" s="211"/>
      <c r="N223" s="212"/>
      <c r="O223" s="577"/>
      <c r="P223" s="577"/>
      <c r="Q223" s="577"/>
      <c r="R223" s="577"/>
      <c r="S223" s="577"/>
      <c r="T223" s="213"/>
      <c r="U223" s="213"/>
      <c r="V223" s="213"/>
      <c r="W223" s="213"/>
      <c r="X223" s="213"/>
      <c r="Y223" s="213"/>
      <c r="Z223" s="213"/>
    </row>
    <row r="224" spans="1:26" s="210" customFormat="1" ht="13.15" customHeight="1">
      <c r="A224" s="206"/>
      <c r="B224" s="207"/>
      <c r="C224" s="208"/>
      <c r="D224" s="209"/>
      <c r="M224" s="211"/>
      <c r="N224" s="212"/>
      <c r="O224" s="577"/>
      <c r="P224" s="577"/>
      <c r="Q224" s="577"/>
      <c r="R224" s="577"/>
      <c r="S224" s="577"/>
      <c r="T224" s="213"/>
      <c r="U224" s="213"/>
      <c r="V224" s="213"/>
      <c r="W224" s="213"/>
      <c r="X224" s="213"/>
      <c r="Y224" s="213"/>
      <c r="Z224" s="213"/>
    </row>
    <row r="225" spans="1:26" s="210" customFormat="1" ht="13.15" customHeight="1">
      <c r="A225" s="206"/>
      <c r="B225" s="207"/>
      <c r="C225" s="208"/>
      <c r="D225" s="209"/>
      <c r="M225" s="211"/>
      <c r="N225" s="212"/>
      <c r="O225" s="577"/>
      <c r="P225" s="577"/>
      <c r="Q225" s="577"/>
      <c r="R225" s="577"/>
      <c r="S225" s="577"/>
      <c r="T225" s="213"/>
      <c r="U225" s="213"/>
      <c r="V225" s="213"/>
      <c r="W225" s="213"/>
      <c r="X225" s="213"/>
      <c r="Y225" s="213"/>
      <c r="Z225" s="213"/>
    </row>
    <row r="226" spans="1:26" s="210" customFormat="1" ht="13.15" customHeight="1">
      <c r="A226" s="206"/>
      <c r="B226" s="207"/>
      <c r="C226" s="208"/>
      <c r="D226" s="209"/>
      <c r="M226" s="211"/>
      <c r="N226" s="212"/>
      <c r="O226" s="577"/>
      <c r="P226" s="577"/>
      <c r="Q226" s="577"/>
      <c r="R226" s="577"/>
      <c r="S226" s="577"/>
      <c r="T226" s="213"/>
      <c r="U226" s="213"/>
      <c r="V226" s="213"/>
      <c r="W226" s="213"/>
      <c r="X226" s="213"/>
      <c r="Y226" s="213"/>
      <c r="Z226" s="213"/>
    </row>
    <row r="227" spans="1:26" s="210" customFormat="1" ht="13.15" customHeight="1">
      <c r="A227" s="206"/>
      <c r="B227" s="207"/>
      <c r="C227" s="208"/>
      <c r="D227" s="209"/>
      <c r="M227" s="211"/>
      <c r="N227" s="212"/>
      <c r="O227" s="577"/>
      <c r="P227" s="577"/>
      <c r="Q227" s="577"/>
      <c r="R227" s="577"/>
      <c r="S227" s="577"/>
      <c r="T227" s="213"/>
      <c r="U227" s="213"/>
      <c r="V227" s="213"/>
      <c r="W227" s="213"/>
      <c r="X227" s="213"/>
      <c r="Y227" s="213"/>
      <c r="Z227" s="213"/>
    </row>
    <row r="228" spans="1:26" s="210" customFormat="1" ht="13.15" customHeight="1">
      <c r="A228" s="206"/>
      <c r="B228" s="207"/>
      <c r="C228" s="208"/>
      <c r="D228" s="209"/>
      <c r="M228" s="211"/>
      <c r="N228" s="212"/>
      <c r="O228" s="577"/>
      <c r="P228" s="577"/>
      <c r="Q228" s="577"/>
      <c r="R228" s="577"/>
      <c r="S228" s="577"/>
      <c r="T228" s="213"/>
      <c r="U228" s="213"/>
      <c r="V228" s="213"/>
      <c r="W228" s="213"/>
      <c r="X228" s="213"/>
      <c r="Y228" s="213"/>
      <c r="Z228" s="213"/>
    </row>
    <row r="229" spans="1:26" s="210" customFormat="1" ht="13.15" customHeight="1">
      <c r="A229" s="206"/>
      <c r="B229" s="207"/>
      <c r="C229" s="208"/>
      <c r="D229" s="209"/>
      <c r="M229" s="211"/>
      <c r="N229" s="212"/>
      <c r="O229" s="577"/>
      <c r="P229" s="577"/>
      <c r="Q229" s="577"/>
      <c r="R229" s="577"/>
      <c r="S229" s="577"/>
      <c r="T229" s="213"/>
      <c r="U229" s="213"/>
      <c r="V229" s="213"/>
      <c r="W229" s="213"/>
      <c r="X229" s="213"/>
      <c r="Y229" s="213"/>
      <c r="Z229" s="213"/>
    </row>
    <row r="230" spans="1:26" s="210" customFormat="1" ht="13.15" customHeight="1">
      <c r="A230" s="206"/>
      <c r="B230" s="207"/>
      <c r="C230" s="208"/>
      <c r="D230" s="209"/>
      <c r="M230" s="211"/>
      <c r="N230" s="212"/>
      <c r="O230" s="577"/>
      <c r="P230" s="577"/>
      <c r="Q230" s="577"/>
      <c r="R230" s="577"/>
      <c r="S230" s="577"/>
      <c r="T230" s="213"/>
      <c r="U230" s="213"/>
      <c r="V230" s="213"/>
      <c r="W230" s="213"/>
      <c r="X230" s="213"/>
      <c r="Y230" s="213"/>
      <c r="Z230" s="213"/>
    </row>
    <row r="231" spans="1:26" s="210" customFormat="1" ht="13.15" customHeight="1">
      <c r="A231" s="206"/>
      <c r="B231" s="207"/>
      <c r="C231" s="208"/>
      <c r="D231" s="209"/>
      <c r="M231" s="211"/>
      <c r="N231" s="212"/>
      <c r="O231" s="577"/>
      <c r="P231" s="577"/>
      <c r="Q231" s="577"/>
      <c r="R231" s="577"/>
      <c r="S231" s="577"/>
      <c r="T231" s="213"/>
      <c r="U231" s="213"/>
      <c r="V231" s="213"/>
      <c r="W231" s="213"/>
      <c r="X231" s="213"/>
      <c r="Y231" s="213"/>
      <c r="Z231" s="213"/>
    </row>
    <row r="232" spans="1:26" s="210" customFormat="1" ht="13.15" customHeight="1">
      <c r="A232" s="206"/>
      <c r="B232" s="207"/>
      <c r="C232" s="208"/>
      <c r="D232" s="209"/>
      <c r="M232" s="211"/>
      <c r="N232" s="212"/>
      <c r="O232" s="577"/>
      <c r="P232" s="577"/>
      <c r="Q232" s="577"/>
      <c r="R232" s="577"/>
      <c r="S232" s="577"/>
      <c r="T232" s="213"/>
      <c r="U232" s="213"/>
      <c r="V232" s="213"/>
      <c r="W232" s="213"/>
      <c r="X232" s="213"/>
      <c r="Y232" s="213"/>
      <c r="Z232" s="213"/>
    </row>
    <row r="233" spans="1:26" s="210" customFormat="1" ht="13.15" customHeight="1">
      <c r="A233" s="206"/>
      <c r="B233" s="207"/>
      <c r="C233" s="208"/>
      <c r="D233" s="209"/>
      <c r="M233" s="211"/>
      <c r="N233" s="212"/>
      <c r="O233" s="577"/>
      <c r="P233" s="577"/>
      <c r="Q233" s="577"/>
      <c r="R233" s="577"/>
      <c r="S233" s="577"/>
      <c r="T233" s="213"/>
      <c r="U233" s="213"/>
      <c r="V233" s="213"/>
      <c r="W233" s="213"/>
      <c r="X233" s="213"/>
      <c r="Y233" s="213"/>
      <c r="Z233" s="213"/>
    </row>
    <row r="234" spans="1:26" s="210" customFormat="1" ht="13.15" customHeight="1">
      <c r="A234" s="206"/>
      <c r="B234" s="207"/>
      <c r="C234" s="208"/>
      <c r="D234" s="209"/>
      <c r="M234" s="211"/>
      <c r="N234" s="212"/>
      <c r="O234" s="577"/>
      <c r="P234" s="577"/>
      <c r="Q234" s="577"/>
      <c r="R234" s="577"/>
      <c r="S234" s="577"/>
      <c r="T234" s="213"/>
      <c r="U234" s="213"/>
      <c r="V234" s="213"/>
      <c r="W234" s="213"/>
      <c r="X234" s="213"/>
      <c r="Y234" s="213"/>
      <c r="Z234" s="213"/>
    </row>
    <row r="235" spans="1:26" s="210" customFormat="1" ht="13.15" customHeight="1">
      <c r="A235" s="206"/>
      <c r="B235" s="207"/>
      <c r="C235" s="208"/>
      <c r="D235" s="209"/>
      <c r="M235" s="211"/>
      <c r="N235" s="212"/>
      <c r="O235" s="577"/>
      <c r="P235" s="577"/>
      <c r="Q235" s="577"/>
      <c r="R235" s="577"/>
      <c r="S235" s="577"/>
      <c r="T235" s="213"/>
      <c r="U235" s="213"/>
      <c r="V235" s="213"/>
      <c r="W235" s="213"/>
      <c r="X235" s="213"/>
      <c r="Y235" s="213"/>
      <c r="Z235" s="213"/>
    </row>
    <row r="236" spans="1:26" s="210" customFormat="1" ht="13.15" customHeight="1">
      <c r="A236" s="206"/>
      <c r="B236" s="207"/>
      <c r="C236" s="208"/>
      <c r="D236" s="209"/>
      <c r="M236" s="211"/>
      <c r="N236" s="212"/>
      <c r="O236" s="577"/>
      <c r="P236" s="577"/>
      <c r="Q236" s="577"/>
      <c r="R236" s="577"/>
      <c r="S236" s="577"/>
      <c r="T236" s="213"/>
      <c r="U236" s="213"/>
      <c r="V236" s="213"/>
      <c r="W236" s="213"/>
      <c r="X236" s="213"/>
      <c r="Y236" s="213"/>
      <c r="Z236" s="213"/>
    </row>
    <row r="237" spans="1:26" s="210" customFormat="1" ht="13.15" customHeight="1">
      <c r="A237" s="206"/>
      <c r="B237" s="207"/>
      <c r="C237" s="208"/>
      <c r="D237" s="209"/>
      <c r="M237" s="211"/>
      <c r="N237" s="212"/>
      <c r="O237" s="577"/>
      <c r="P237" s="577"/>
      <c r="Q237" s="577"/>
      <c r="R237" s="577"/>
      <c r="S237" s="577"/>
      <c r="T237" s="213"/>
      <c r="U237" s="213"/>
      <c r="V237" s="213"/>
      <c r="W237" s="213"/>
      <c r="X237" s="213"/>
      <c r="Y237" s="213"/>
      <c r="Z237" s="213"/>
    </row>
    <row r="238" spans="1:26" s="210" customFormat="1" ht="13.15" customHeight="1">
      <c r="A238" s="206"/>
      <c r="B238" s="207"/>
      <c r="C238" s="208"/>
      <c r="D238" s="209"/>
      <c r="M238" s="211"/>
      <c r="N238" s="212"/>
      <c r="O238" s="577"/>
      <c r="P238" s="577"/>
      <c r="Q238" s="577"/>
      <c r="R238" s="577"/>
      <c r="S238" s="577"/>
      <c r="T238" s="213"/>
      <c r="U238" s="213"/>
      <c r="V238" s="213"/>
      <c r="W238" s="213"/>
      <c r="X238" s="213"/>
      <c r="Y238" s="213"/>
      <c r="Z238" s="213"/>
    </row>
    <row r="239" spans="1:26" s="210" customFormat="1" ht="13.15" customHeight="1">
      <c r="A239" s="206"/>
      <c r="B239" s="207"/>
      <c r="C239" s="208"/>
      <c r="D239" s="209"/>
      <c r="M239" s="211"/>
      <c r="N239" s="212"/>
      <c r="O239" s="577"/>
      <c r="P239" s="577"/>
      <c r="Q239" s="577"/>
      <c r="R239" s="577"/>
      <c r="S239" s="577"/>
      <c r="T239" s="213"/>
      <c r="U239" s="213"/>
      <c r="V239" s="213"/>
      <c r="W239" s="213"/>
      <c r="X239" s="213"/>
      <c r="Y239" s="213"/>
      <c r="Z239" s="213"/>
    </row>
    <row r="240" spans="1:26" s="210" customFormat="1" ht="13.15" customHeight="1">
      <c r="A240" s="206"/>
      <c r="B240" s="207"/>
      <c r="C240" s="208"/>
      <c r="D240" s="209"/>
      <c r="M240" s="211"/>
      <c r="N240" s="212"/>
      <c r="O240" s="577"/>
      <c r="P240" s="577"/>
      <c r="Q240" s="577"/>
      <c r="R240" s="577"/>
      <c r="S240" s="577"/>
      <c r="T240" s="213"/>
      <c r="U240" s="213"/>
      <c r="V240" s="213"/>
      <c r="W240" s="213"/>
      <c r="X240" s="213"/>
      <c r="Y240" s="213"/>
      <c r="Z240" s="213"/>
    </row>
    <row r="241" spans="1:26" s="210" customFormat="1" ht="13.15" customHeight="1">
      <c r="A241" s="206"/>
      <c r="B241" s="207"/>
      <c r="C241" s="208"/>
      <c r="D241" s="209"/>
      <c r="M241" s="211"/>
      <c r="N241" s="212"/>
      <c r="O241" s="577"/>
      <c r="P241" s="577"/>
      <c r="Q241" s="577"/>
      <c r="R241" s="577"/>
      <c r="S241" s="577"/>
      <c r="T241" s="213"/>
      <c r="U241" s="213"/>
      <c r="V241" s="213"/>
      <c r="W241" s="213"/>
      <c r="X241" s="213"/>
      <c r="Y241" s="213"/>
      <c r="Z241" s="213"/>
    </row>
    <row r="242" spans="1:26" s="210" customFormat="1" ht="13.15" customHeight="1">
      <c r="A242" s="206"/>
      <c r="B242" s="207"/>
      <c r="C242" s="208"/>
      <c r="D242" s="209"/>
      <c r="M242" s="211"/>
      <c r="N242" s="212"/>
      <c r="O242" s="577"/>
      <c r="P242" s="577"/>
      <c r="Q242" s="577"/>
      <c r="R242" s="577"/>
      <c r="S242" s="577"/>
      <c r="T242" s="213"/>
      <c r="U242" s="213"/>
      <c r="V242" s="213"/>
      <c r="W242" s="213"/>
      <c r="X242" s="213"/>
      <c r="Y242" s="213"/>
      <c r="Z242" s="213"/>
    </row>
    <row r="243" spans="1:26" s="210" customFormat="1" ht="13.15" customHeight="1">
      <c r="A243" s="206"/>
      <c r="B243" s="207"/>
      <c r="C243" s="208"/>
      <c r="D243" s="209"/>
      <c r="M243" s="211"/>
      <c r="N243" s="212"/>
      <c r="O243" s="577"/>
      <c r="P243" s="577"/>
      <c r="Q243" s="577"/>
      <c r="R243" s="577"/>
      <c r="S243" s="577"/>
      <c r="T243" s="213"/>
      <c r="U243" s="213"/>
      <c r="V243" s="213"/>
      <c r="W243" s="213"/>
      <c r="X243" s="213"/>
      <c r="Y243" s="213"/>
      <c r="Z243" s="213"/>
    </row>
    <row r="244" spans="1:26" s="210" customFormat="1" ht="13.15" customHeight="1">
      <c r="A244" s="206"/>
      <c r="B244" s="207"/>
      <c r="C244" s="208"/>
      <c r="D244" s="209"/>
      <c r="M244" s="211"/>
      <c r="N244" s="212"/>
      <c r="O244" s="577"/>
      <c r="P244" s="577"/>
      <c r="Q244" s="577"/>
      <c r="R244" s="577"/>
      <c r="S244" s="577"/>
      <c r="T244" s="213"/>
      <c r="U244" s="213"/>
      <c r="V244" s="213"/>
      <c r="W244" s="213"/>
      <c r="X244" s="213"/>
      <c r="Y244" s="213"/>
      <c r="Z244" s="213"/>
    </row>
    <row r="245" spans="1:26" s="210" customFormat="1" ht="13.15" customHeight="1">
      <c r="A245" s="206"/>
      <c r="B245" s="207"/>
      <c r="C245" s="208"/>
      <c r="D245" s="209"/>
      <c r="M245" s="211"/>
      <c r="N245" s="212"/>
      <c r="O245" s="577"/>
      <c r="P245" s="577"/>
      <c r="Q245" s="577"/>
      <c r="R245" s="577"/>
      <c r="S245" s="577"/>
      <c r="T245" s="213"/>
      <c r="U245" s="213"/>
      <c r="V245" s="213"/>
      <c r="W245" s="213"/>
      <c r="X245" s="213"/>
      <c r="Y245" s="213"/>
      <c r="Z245" s="213"/>
    </row>
    <row r="246" spans="1:26" s="210" customFormat="1" ht="13.15" customHeight="1">
      <c r="A246" s="206"/>
      <c r="B246" s="207"/>
      <c r="C246" s="208"/>
      <c r="D246" s="209"/>
      <c r="M246" s="211"/>
      <c r="N246" s="212"/>
      <c r="O246" s="577"/>
      <c r="P246" s="577"/>
      <c r="Q246" s="577"/>
      <c r="R246" s="577"/>
      <c r="S246" s="577"/>
      <c r="T246" s="213"/>
      <c r="U246" s="213"/>
      <c r="V246" s="213"/>
      <c r="W246" s="213"/>
      <c r="X246" s="213"/>
      <c r="Y246" s="213"/>
      <c r="Z246" s="213"/>
    </row>
    <row r="247" spans="1:26" s="210" customFormat="1" ht="13.15" customHeight="1">
      <c r="A247" s="206"/>
      <c r="B247" s="207"/>
      <c r="C247" s="208"/>
      <c r="D247" s="209"/>
      <c r="M247" s="211"/>
      <c r="N247" s="212"/>
      <c r="O247" s="577"/>
      <c r="P247" s="577"/>
      <c r="Q247" s="577"/>
      <c r="R247" s="577"/>
      <c r="S247" s="577"/>
      <c r="T247" s="213"/>
      <c r="U247" s="213"/>
      <c r="V247" s="213"/>
      <c r="W247" s="213"/>
      <c r="X247" s="213"/>
      <c r="Y247" s="213"/>
      <c r="Z247" s="213"/>
    </row>
    <row r="248" spans="1:26" s="210" customFormat="1" ht="13.15" customHeight="1">
      <c r="A248" s="206"/>
      <c r="B248" s="207"/>
      <c r="C248" s="208"/>
      <c r="D248" s="209"/>
      <c r="M248" s="211"/>
      <c r="N248" s="212"/>
      <c r="O248" s="577"/>
      <c r="P248" s="577"/>
      <c r="Q248" s="577"/>
      <c r="R248" s="577"/>
      <c r="S248" s="577"/>
      <c r="T248" s="213"/>
      <c r="U248" s="213"/>
      <c r="V248" s="213"/>
      <c r="W248" s="213"/>
      <c r="X248" s="213"/>
      <c r="Y248" s="213"/>
      <c r="Z248" s="213"/>
    </row>
    <row r="249" spans="1:26" s="210" customFormat="1" ht="13.15" customHeight="1">
      <c r="A249" s="206"/>
      <c r="B249" s="207"/>
      <c r="C249" s="208"/>
      <c r="D249" s="209"/>
      <c r="M249" s="211"/>
      <c r="N249" s="212"/>
      <c r="O249" s="577"/>
      <c r="P249" s="577"/>
      <c r="Q249" s="577"/>
      <c r="R249" s="577"/>
      <c r="S249" s="577"/>
      <c r="T249" s="213"/>
      <c r="U249" s="213"/>
      <c r="V249" s="213"/>
      <c r="W249" s="213"/>
      <c r="X249" s="213"/>
      <c r="Y249" s="213"/>
      <c r="Z249" s="213"/>
    </row>
    <row r="250" spans="1:26" s="210" customFormat="1" ht="13.15" customHeight="1">
      <c r="A250" s="206"/>
      <c r="B250" s="207"/>
      <c r="C250" s="208"/>
      <c r="D250" s="209"/>
      <c r="M250" s="211"/>
      <c r="N250" s="212"/>
      <c r="O250" s="577"/>
      <c r="P250" s="577"/>
      <c r="Q250" s="577"/>
      <c r="R250" s="577"/>
      <c r="S250" s="577"/>
      <c r="T250" s="213"/>
      <c r="U250" s="213"/>
      <c r="V250" s="213"/>
      <c r="W250" s="213"/>
      <c r="X250" s="213"/>
      <c r="Y250" s="213"/>
      <c r="Z250" s="213"/>
    </row>
    <row r="251" spans="1:26" s="210" customFormat="1" ht="13.15" customHeight="1">
      <c r="A251" s="206"/>
      <c r="B251" s="207"/>
      <c r="C251" s="208"/>
      <c r="D251" s="209"/>
      <c r="M251" s="211"/>
      <c r="N251" s="212"/>
      <c r="O251" s="577"/>
      <c r="P251" s="577"/>
      <c r="Q251" s="577"/>
      <c r="R251" s="577"/>
      <c r="S251" s="577"/>
      <c r="T251" s="213"/>
      <c r="U251" s="213"/>
      <c r="V251" s="213"/>
      <c r="W251" s="213"/>
      <c r="X251" s="213"/>
      <c r="Y251" s="213"/>
      <c r="Z251" s="213"/>
    </row>
    <row r="252" spans="1:26" s="210" customFormat="1" ht="13.15" customHeight="1">
      <c r="A252" s="206"/>
      <c r="B252" s="207"/>
      <c r="C252" s="208"/>
      <c r="D252" s="209"/>
      <c r="M252" s="211"/>
      <c r="N252" s="212"/>
      <c r="O252" s="577"/>
      <c r="P252" s="577"/>
      <c r="Q252" s="577"/>
      <c r="R252" s="577"/>
      <c r="S252" s="577"/>
      <c r="T252" s="213"/>
      <c r="U252" s="213"/>
      <c r="V252" s="213"/>
      <c r="W252" s="213"/>
      <c r="X252" s="213"/>
      <c r="Y252" s="213"/>
      <c r="Z252" s="213"/>
    </row>
    <row r="253" spans="1:26" s="210" customFormat="1" ht="13.15" customHeight="1">
      <c r="A253" s="206"/>
      <c r="B253" s="207"/>
      <c r="C253" s="208"/>
      <c r="D253" s="209"/>
      <c r="M253" s="211"/>
      <c r="N253" s="212"/>
      <c r="O253" s="577"/>
      <c r="P253" s="577"/>
      <c r="Q253" s="577"/>
      <c r="R253" s="577"/>
      <c r="S253" s="577"/>
      <c r="T253" s="213"/>
      <c r="U253" s="213"/>
      <c r="V253" s="213"/>
      <c r="W253" s="213"/>
      <c r="X253" s="213"/>
      <c r="Y253" s="213"/>
      <c r="Z253" s="213"/>
    </row>
    <row r="254" spans="1:26" s="210" customFormat="1" ht="13.15" customHeight="1">
      <c r="A254" s="206"/>
      <c r="B254" s="207"/>
      <c r="C254" s="208"/>
      <c r="D254" s="209"/>
      <c r="M254" s="211"/>
      <c r="N254" s="212"/>
      <c r="O254" s="577"/>
      <c r="P254" s="577"/>
      <c r="Q254" s="577"/>
      <c r="R254" s="577"/>
      <c r="S254" s="577"/>
      <c r="T254" s="213"/>
      <c r="U254" s="213"/>
      <c r="V254" s="213"/>
      <c r="W254" s="213"/>
      <c r="X254" s="213"/>
      <c r="Y254" s="213"/>
      <c r="Z254" s="213"/>
    </row>
    <row r="255" spans="1:26" s="210" customFormat="1" ht="13.15" customHeight="1">
      <c r="A255" s="206"/>
      <c r="B255" s="207"/>
      <c r="C255" s="208"/>
      <c r="D255" s="209"/>
      <c r="M255" s="211"/>
      <c r="N255" s="212"/>
      <c r="O255" s="577"/>
      <c r="P255" s="577"/>
      <c r="Q255" s="577"/>
      <c r="R255" s="577"/>
      <c r="S255" s="577"/>
      <c r="T255" s="213"/>
      <c r="U255" s="213"/>
      <c r="V255" s="213"/>
      <c r="W255" s="213"/>
      <c r="X255" s="213"/>
      <c r="Y255" s="213"/>
      <c r="Z255" s="213"/>
    </row>
    <row r="256" spans="1:26" s="210" customFormat="1" ht="13.15" customHeight="1">
      <c r="A256" s="206"/>
      <c r="B256" s="207"/>
      <c r="C256" s="208"/>
      <c r="D256" s="209"/>
      <c r="M256" s="211"/>
      <c r="N256" s="212"/>
      <c r="O256" s="577"/>
      <c r="P256" s="577"/>
      <c r="Q256" s="577"/>
      <c r="R256" s="577"/>
      <c r="S256" s="577"/>
      <c r="T256" s="213"/>
      <c r="U256" s="213"/>
      <c r="V256" s="213"/>
      <c r="W256" s="213"/>
      <c r="X256" s="213"/>
      <c r="Y256" s="213"/>
      <c r="Z256" s="213"/>
    </row>
    <row r="257" spans="1:26" s="210" customFormat="1" ht="13.15" customHeight="1">
      <c r="A257" s="206"/>
      <c r="B257" s="207"/>
      <c r="C257" s="208"/>
      <c r="D257" s="209"/>
      <c r="M257" s="211"/>
      <c r="N257" s="212"/>
      <c r="O257" s="577"/>
      <c r="P257" s="577"/>
      <c r="Q257" s="577"/>
      <c r="R257" s="577"/>
      <c r="S257" s="577"/>
      <c r="T257" s="213"/>
      <c r="U257" s="213"/>
      <c r="V257" s="213"/>
      <c r="W257" s="213"/>
      <c r="X257" s="213"/>
      <c r="Y257" s="213"/>
      <c r="Z257" s="213"/>
    </row>
    <row r="258" spans="1:26" s="210" customFormat="1" ht="13.15" customHeight="1">
      <c r="A258" s="206"/>
      <c r="B258" s="207"/>
      <c r="C258" s="208"/>
      <c r="D258" s="209"/>
      <c r="M258" s="211"/>
      <c r="N258" s="212"/>
      <c r="O258" s="577"/>
      <c r="P258" s="577"/>
      <c r="Q258" s="577"/>
      <c r="R258" s="577"/>
      <c r="S258" s="577"/>
      <c r="T258" s="213"/>
      <c r="U258" s="213"/>
      <c r="V258" s="213"/>
      <c r="W258" s="213"/>
      <c r="X258" s="213"/>
      <c r="Y258" s="213"/>
      <c r="Z258" s="213"/>
    </row>
    <row r="259" spans="1:26" s="210" customFormat="1" ht="13.15" customHeight="1">
      <c r="A259" s="206"/>
      <c r="B259" s="207"/>
      <c r="C259" s="208"/>
      <c r="D259" s="209"/>
      <c r="M259" s="211"/>
      <c r="N259" s="212"/>
      <c r="O259" s="577"/>
      <c r="P259" s="577"/>
      <c r="Q259" s="577"/>
      <c r="R259" s="577"/>
      <c r="S259" s="577"/>
      <c r="T259" s="213"/>
      <c r="U259" s="213"/>
      <c r="V259" s="213"/>
      <c r="W259" s="213"/>
      <c r="X259" s="213"/>
      <c r="Y259" s="213"/>
      <c r="Z259" s="213"/>
    </row>
    <row r="260" spans="1:26" s="210" customFormat="1" ht="13.15" customHeight="1">
      <c r="A260" s="206"/>
      <c r="B260" s="207"/>
      <c r="C260" s="208"/>
      <c r="D260" s="209"/>
      <c r="M260" s="211"/>
      <c r="N260" s="212"/>
      <c r="O260" s="577"/>
      <c r="P260" s="577"/>
      <c r="Q260" s="577"/>
      <c r="R260" s="577"/>
      <c r="S260" s="577"/>
      <c r="T260" s="213"/>
      <c r="U260" s="213"/>
      <c r="V260" s="213"/>
      <c r="W260" s="213"/>
      <c r="X260" s="213"/>
      <c r="Y260" s="213"/>
      <c r="Z260" s="213"/>
    </row>
    <row r="261" spans="1:26" s="210" customFormat="1" ht="13.15" customHeight="1">
      <c r="A261" s="206"/>
      <c r="B261" s="207"/>
      <c r="C261" s="208"/>
      <c r="D261" s="209"/>
      <c r="M261" s="211"/>
      <c r="N261" s="212"/>
      <c r="O261" s="577"/>
      <c r="P261" s="577"/>
      <c r="Q261" s="577"/>
      <c r="R261" s="577"/>
      <c r="S261" s="577"/>
      <c r="T261" s="213"/>
      <c r="U261" s="213"/>
      <c r="V261" s="213"/>
      <c r="W261" s="213"/>
      <c r="X261" s="213"/>
      <c r="Y261" s="213"/>
      <c r="Z261" s="213"/>
    </row>
    <row r="262" spans="1:26" s="210" customFormat="1" ht="13.15" customHeight="1">
      <c r="A262" s="206"/>
      <c r="B262" s="207"/>
      <c r="C262" s="208"/>
      <c r="D262" s="209"/>
      <c r="M262" s="211"/>
      <c r="N262" s="212"/>
      <c r="O262" s="577"/>
      <c r="P262" s="577"/>
      <c r="Q262" s="577"/>
      <c r="R262" s="577"/>
      <c r="S262" s="577"/>
      <c r="T262" s="213"/>
      <c r="U262" s="213"/>
      <c r="V262" s="213"/>
      <c r="W262" s="213"/>
      <c r="X262" s="213"/>
      <c r="Y262" s="213"/>
      <c r="Z262" s="213"/>
    </row>
    <row r="263" spans="1:26" s="210" customFormat="1" ht="13.15" customHeight="1">
      <c r="A263" s="206"/>
      <c r="B263" s="207"/>
      <c r="C263" s="208"/>
      <c r="D263" s="209"/>
      <c r="M263" s="211"/>
      <c r="N263" s="212"/>
      <c r="O263" s="577"/>
      <c r="P263" s="577"/>
      <c r="Q263" s="577"/>
      <c r="R263" s="577"/>
      <c r="S263" s="577"/>
      <c r="T263" s="213"/>
      <c r="U263" s="213"/>
      <c r="V263" s="213"/>
      <c r="W263" s="213"/>
      <c r="X263" s="213"/>
      <c r="Y263" s="213"/>
      <c r="Z263" s="213"/>
    </row>
    <row r="264" spans="1:26" s="210" customFormat="1" ht="13.15" customHeight="1">
      <c r="A264" s="206"/>
      <c r="B264" s="207"/>
      <c r="C264" s="208"/>
      <c r="D264" s="209"/>
      <c r="M264" s="211"/>
      <c r="N264" s="212"/>
      <c r="O264" s="577"/>
      <c r="P264" s="577"/>
      <c r="Q264" s="577"/>
      <c r="R264" s="577"/>
      <c r="S264" s="577"/>
      <c r="T264" s="213"/>
      <c r="U264" s="213"/>
      <c r="V264" s="213"/>
      <c r="W264" s="213"/>
      <c r="X264" s="213"/>
      <c r="Y264" s="213"/>
      <c r="Z264" s="213"/>
    </row>
    <row r="265" spans="1:26" s="210" customFormat="1" ht="13.15" customHeight="1">
      <c r="A265" s="206"/>
      <c r="B265" s="207"/>
      <c r="C265" s="208"/>
      <c r="D265" s="209"/>
      <c r="M265" s="211"/>
      <c r="N265" s="212"/>
      <c r="O265" s="577"/>
      <c r="P265" s="577"/>
      <c r="Q265" s="577"/>
      <c r="R265" s="577"/>
      <c r="S265" s="577"/>
      <c r="T265" s="213"/>
      <c r="U265" s="213"/>
      <c r="V265" s="213"/>
      <c r="W265" s="213"/>
      <c r="X265" s="213"/>
      <c r="Y265" s="213"/>
      <c r="Z265" s="213"/>
    </row>
    <row r="266" spans="1:26" s="210" customFormat="1" ht="13.15" customHeight="1">
      <c r="A266" s="206"/>
      <c r="B266" s="207"/>
      <c r="C266" s="208"/>
      <c r="D266" s="209"/>
      <c r="M266" s="211"/>
      <c r="N266" s="212"/>
      <c r="O266" s="577"/>
      <c r="P266" s="577"/>
      <c r="Q266" s="577"/>
      <c r="R266" s="577"/>
      <c r="S266" s="577"/>
      <c r="T266" s="213"/>
      <c r="U266" s="213"/>
      <c r="V266" s="213"/>
      <c r="W266" s="213"/>
      <c r="X266" s="213"/>
      <c r="Y266" s="213"/>
      <c r="Z266" s="213"/>
    </row>
    <row r="267" spans="1:26" s="210" customFormat="1" ht="13.15" customHeight="1">
      <c r="A267" s="206"/>
      <c r="B267" s="207"/>
      <c r="C267" s="208"/>
      <c r="D267" s="209"/>
      <c r="M267" s="211"/>
      <c r="N267" s="212"/>
      <c r="O267" s="577"/>
      <c r="P267" s="577"/>
      <c r="Q267" s="577"/>
      <c r="R267" s="577"/>
      <c r="S267" s="577"/>
      <c r="T267" s="213"/>
      <c r="U267" s="213"/>
      <c r="V267" s="213"/>
      <c r="W267" s="213"/>
      <c r="X267" s="213"/>
      <c r="Y267" s="213"/>
      <c r="Z267" s="213"/>
    </row>
    <row r="268" spans="1:26" s="210" customFormat="1" ht="13.15" customHeight="1">
      <c r="A268" s="206"/>
      <c r="B268" s="207"/>
      <c r="C268" s="208"/>
      <c r="D268" s="209"/>
      <c r="M268" s="211"/>
      <c r="N268" s="212"/>
      <c r="O268" s="577"/>
      <c r="P268" s="577"/>
      <c r="Q268" s="577"/>
      <c r="R268" s="577"/>
      <c r="S268" s="577"/>
      <c r="T268" s="213"/>
      <c r="U268" s="213"/>
      <c r="V268" s="213"/>
      <c r="W268" s="213"/>
      <c r="X268" s="213"/>
      <c r="Y268" s="213"/>
      <c r="Z268" s="213"/>
    </row>
    <row r="269" spans="1:26" s="210" customFormat="1" ht="13.15" customHeight="1">
      <c r="A269" s="206"/>
      <c r="B269" s="207"/>
      <c r="C269" s="208"/>
      <c r="D269" s="209"/>
      <c r="M269" s="211"/>
      <c r="N269" s="212"/>
      <c r="O269" s="577"/>
      <c r="P269" s="577"/>
      <c r="Q269" s="577"/>
      <c r="R269" s="577"/>
      <c r="S269" s="577"/>
      <c r="T269" s="213"/>
      <c r="U269" s="213"/>
      <c r="V269" s="213"/>
      <c r="W269" s="213"/>
      <c r="X269" s="213"/>
      <c r="Y269" s="213"/>
      <c r="Z269" s="213"/>
    </row>
    <row r="270" spans="1:26" s="210" customFormat="1" ht="13.15" customHeight="1">
      <c r="A270" s="206"/>
      <c r="B270" s="207"/>
      <c r="C270" s="208"/>
      <c r="D270" s="209"/>
      <c r="M270" s="211"/>
      <c r="N270" s="212"/>
      <c r="O270" s="577"/>
      <c r="P270" s="577"/>
      <c r="Q270" s="577"/>
      <c r="R270" s="577"/>
      <c r="S270" s="577"/>
      <c r="T270" s="213"/>
      <c r="U270" s="213"/>
      <c r="V270" s="213"/>
      <c r="W270" s="213"/>
      <c r="X270" s="213"/>
      <c r="Y270" s="213"/>
      <c r="Z270" s="213"/>
    </row>
    <row r="271" spans="1:26" s="210" customFormat="1" ht="13.15" customHeight="1">
      <c r="A271" s="206"/>
      <c r="B271" s="207"/>
      <c r="C271" s="208"/>
      <c r="D271" s="209"/>
      <c r="M271" s="211"/>
      <c r="N271" s="212"/>
      <c r="O271" s="577"/>
      <c r="P271" s="577"/>
      <c r="Q271" s="577"/>
      <c r="R271" s="577"/>
      <c r="S271" s="577"/>
      <c r="T271" s="213"/>
      <c r="U271" s="213"/>
      <c r="V271" s="213"/>
      <c r="W271" s="213"/>
      <c r="X271" s="213"/>
      <c r="Y271" s="213"/>
      <c r="Z271" s="213"/>
    </row>
    <row r="272" spans="1:26" s="210" customFormat="1" ht="13.15" customHeight="1">
      <c r="A272" s="206"/>
      <c r="B272" s="207"/>
      <c r="C272" s="208"/>
      <c r="D272" s="209"/>
      <c r="M272" s="211"/>
      <c r="N272" s="212"/>
      <c r="O272" s="577"/>
      <c r="P272" s="577"/>
      <c r="Q272" s="577"/>
      <c r="R272" s="577"/>
      <c r="S272" s="577"/>
      <c r="T272" s="213"/>
      <c r="U272" s="213"/>
      <c r="V272" s="213"/>
      <c r="W272" s="213"/>
      <c r="X272" s="213"/>
      <c r="Y272" s="213"/>
      <c r="Z272" s="213"/>
    </row>
    <row r="273" spans="1:26" s="210" customFormat="1" ht="13.15" customHeight="1">
      <c r="A273" s="206"/>
      <c r="B273" s="207"/>
      <c r="C273" s="208"/>
      <c r="D273" s="209"/>
      <c r="M273" s="211"/>
      <c r="N273" s="212"/>
      <c r="O273" s="577"/>
      <c r="P273" s="577"/>
      <c r="Q273" s="577"/>
      <c r="R273" s="577"/>
      <c r="S273" s="577"/>
      <c r="T273" s="213"/>
      <c r="U273" s="213"/>
      <c r="V273" s="213"/>
      <c r="W273" s="213"/>
      <c r="X273" s="213"/>
      <c r="Y273" s="213"/>
      <c r="Z273" s="213"/>
    </row>
    <row r="274" spans="1:26" s="210" customFormat="1" ht="13.15" customHeight="1">
      <c r="A274" s="206"/>
      <c r="B274" s="207"/>
      <c r="C274" s="208"/>
      <c r="D274" s="209"/>
      <c r="M274" s="211"/>
      <c r="N274" s="212"/>
      <c r="O274" s="577"/>
      <c r="P274" s="577"/>
      <c r="Q274" s="577"/>
      <c r="R274" s="577"/>
      <c r="S274" s="577"/>
      <c r="T274" s="213"/>
      <c r="U274" s="213"/>
      <c r="V274" s="213"/>
      <c r="W274" s="213"/>
      <c r="X274" s="213"/>
      <c r="Y274" s="213"/>
      <c r="Z274" s="213"/>
    </row>
    <row r="275" spans="1:26" s="210" customFormat="1" ht="13.15" customHeight="1">
      <c r="A275" s="206"/>
      <c r="B275" s="207"/>
      <c r="C275" s="208"/>
      <c r="D275" s="209"/>
      <c r="M275" s="211"/>
      <c r="N275" s="212"/>
      <c r="O275" s="577"/>
      <c r="P275" s="577"/>
      <c r="Q275" s="577"/>
      <c r="R275" s="577"/>
      <c r="S275" s="577"/>
      <c r="T275" s="213"/>
      <c r="U275" s="213"/>
      <c r="V275" s="213"/>
      <c r="W275" s="213"/>
      <c r="X275" s="213"/>
      <c r="Y275" s="213"/>
      <c r="Z275" s="213"/>
    </row>
    <row r="276" spans="1:26" s="210" customFormat="1" ht="13.15" customHeight="1">
      <c r="A276" s="206"/>
      <c r="B276" s="207"/>
      <c r="C276" s="208"/>
      <c r="D276" s="209"/>
      <c r="M276" s="211"/>
      <c r="N276" s="212"/>
      <c r="O276" s="577"/>
      <c r="P276" s="577"/>
      <c r="Q276" s="577"/>
      <c r="R276" s="577"/>
      <c r="S276" s="577"/>
      <c r="T276" s="213"/>
      <c r="U276" s="213"/>
      <c r="V276" s="213"/>
      <c r="W276" s="213"/>
      <c r="X276" s="213"/>
      <c r="Y276" s="213"/>
      <c r="Z276" s="213"/>
    </row>
    <row r="277" spans="1:26" s="210" customFormat="1" ht="13.15" customHeight="1">
      <c r="A277" s="206"/>
      <c r="B277" s="207"/>
      <c r="C277" s="208"/>
      <c r="D277" s="209"/>
      <c r="M277" s="211"/>
      <c r="N277" s="212"/>
      <c r="O277" s="577"/>
      <c r="P277" s="577"/>
      <c r="Q277" s="577"/>
      <c r="R277" s="577"/>
      <c r="S277" s="577"/>
      <c r="T277" s="213"/>
      <c r="U277" s="213"/>
      <c r="V277" s="213"/>
      <c r="W277" s="213"/>
      <c r="X277" s="213"/>
      <c r="Y277" s="213"/>
      <c r="Z277" s="213"/>
    </row>
    <row r="278" spans="1:26" s="210" customFormat="1" ht="13.15" customHeight="1">
      <c r="A278" s="206"/>
      <c r="B278" s="207"/>
      <c r="C278" s="208"/>
      <c r="D278" s="209"/>
      <c r="M278" s="211"/>
      <c r="N278" s="212"/>
      <c r="O278" s="577"/>
      <c r="P278" s="577"/>
      <c r="Q278" s="577"/>
      <c r="R278" s="577"/>
      <c r="S278" s="577"/>
      <c r="T278" s="213"/>
      <c r="U278" s="213"/>
      <c r="V278" s="213"/>
      <c r="W278" s="213"/>
      <c r="X278" s="213"/>
      <c r="Y278" s="213"/>
      <c r="Z278" s="213"/>
    </row>
    <row r="279" spans="1:26" s="210" customFormat="1" ht="13.15" customHeight="1">
      <c r="A279" s="206"/>
      <c r="B279" s="207"/>
      <c r="C279" s="208"/>
      <c r="D279" s="209"/>
      <c r="M279" s="211"/>
      <c r="N279" s="212"/>
      <c r="O279" s="577"/>
      <c r="P279" s="577"/>
      <c r="Q279" s="577"/>
      <c r="R279" s="577"/>
      <c r="S279" s="577"/>
      <c r="T279" s="213"/>
      <c r="U279" s="213"/>
      <c r="V279" s="213"/>
      <c r="W279" s="213"/>
      <c r="X279" s="213"/>
      <c r="Y279" s="213"/>
      <c r="Z279" s="213"/>
    </row>
    <row r="280" spans="1:26" s="210" customFormat="1" ht="13.15" customHeight="1">
      <c r="A280" s="206"/>
      <c r="B280" s="207"/>
      <c r="C280" s="208"/>
      <c r="D280" s="209"/>
      <c r="M280" s="211"/>
      <c r="N280" s="212"/>
      <c r="O280" s="577"/>
      <c r="P280" s="577"/>
      <c r="Q280" s="577"/>
      <c r="R280" s="577"/>
      <c r="S280" s="577"/>
      <c r="T280" s="213"/>
      <c r="U280" s="213"/>
      <c r="V280" s="213"/>
      <c r="W280" s="213"/>
      <c r="X280" s="213"/>
      <c r="Y280" s="213"/>
      <c r="Z280" s="213"/>
    </row>
    <row r="281" spans="1:26" s="210" customFormat="1" ht="13.15" customHeight="1">
      <c r="A281" s="206"/>
      <c r="B281" s="207"/>
      <c r="C281" s="208"/>
      <c r="D281" s="209"/>
      <c r="M281" s="211"/>
      <c r="N281" s="212"/>
      <c r="O281" s="577"/>
      <c r="P281" s="577"/>
      <c r="Q281" s="577"/>
      <c r="R281" s="577"/>
      <c r="S281" s="577"/>
      <c r="T281" s="213"/>
      <c r="U281" s="213"/>
      <c r="V281" s="213"/>
      <c r="W281" s="213"/>
      <c r="X281" s="213"/>
      <c r="Y281" s="213"/>
      <c r="Z281" s="213"/>
    </row>
    <row r="282" spans="1:26" s="210" customFormat="1" ht="13.15" customHeight="1">
      <c r="A282" s="206"/>
      <c r="B282" s="207"/>
      <c r="C282" s="208"/>
      <c r="D282" s="209"/>
      <c r="M282" s="211"/>
      <c r="N282" s="212"/>
      <c r="O282" s="577"/>
      <c r="P282" s="577"/>
      <c r="Q282" s="577"/>
      <c r="R282" s="577"/>
      <c r="S282" s="577"/>
      <c r="T282" s="213"/>
      <c r="U282" s="213"/>
      <c r="V282" s="213"/>
      <c r="W282" s="213"/>
      <c r="X282" s="213"/>
      <c r="Y282" s="213"/>
      <c r="Z282" s="213"/>
    </row>
    <row r="283" spans="1:26" s="210" customFormat="1" ht="13.15" customHeight="1">
      <c r="A283" s="206"/>
      <c r="B283" s="207"/>
      <c r="C283" s="208"/>
      <c r="D283" s="209"/>
      <c r="M283" s="211"/>
      <c r="N283" s="212"/>
      <c r="O283" s="577"/>
      <c r="P283" s="577"/>
      <c r="Q283" s="577"/>
      <c r="R283" s="577"/>
      <c r="S283" s="577"/>
      <c r="T283" s="213"/>
      <c r="U283" s="213"/>
      <c r="V283" s="213"/>
      <c r="W283" s="213"/>
      <c r="X283" s="213"/>
      <c r="Y283" s="213"/>
      <c r="Z283" s="213"/>
    </row>
    <row r="284" spans="1:26" s="210" customFormat="1" ht="13.15" customHeight="1">
      <c r="A284" s="206"/>
      <c r="B284" s="207"/>
      <c r="C284" s="208"/>
      <c r="D284" s="209"/>
      <c r="M284" s="211"/>
      <c r="N284" s="212"/>
      <c r="O284" s="577"/>
      <c r="P284" s="577"/>
      <c r="Q284" s="577"/>
      <c r="R284" s="577"/>
      <c r="S284" s="577"/>
      <c r="T284" s="213"/>
      <c r="U284" s="213"/>
      <c r="V284" s="213"/>
      <c r="W284" s="213"/>
      <c r="X284" s="213"/>
      <c r="Y284" s="213"/>
      <c r="Z284" s="213"/>
    </row>
    <row r="285" spans="1:26" s="210" customFormat="1" ht="13.15" customHeight="1">
      <c r="A285" s="206"/>
      <c r="B285" s="207"/>
      <c r="C285" s="208"/>
      <c r="D285" s="209"/>
      <c r="M285" s="211"/>
      <c r="N285" s="212"/>
      <c r="O285" s="577"/>
      <c r="P285" s="577"/>
      <c r="Q285" s="577"/>
      <c r="R285" s="577"/>
      <c r="S285" s="577"/>
      <c r="T285" s="213"/>
      <c r="U285" s="213"/>
      <c r="V285" s="213"/>
      <c r="W285" s="213"/>
      <c r="X285" s="213"/>
      <c r="Y285" s="213"/>
      <c r="Z285" s="213"/>
    </row>
    <row r="286" spans="1:26" s="210" customFormat="1" ht="13.15" customHeight="1">
      <c r="A286" s="206"/>
      <c r="B286" s="207"/>
      <c r="C286" s="208"/>
      <c r="D286" s="209"/>
      <c r="M286" s="211"/>
      <c r="N286" s="212"/>
      <c r="O286" s="577"/>
      <c r="P286" s="577"/>
      <c r="Q286" s="577"/>
      <c r="R286" s="577"/>
      <c r="S286" s="577"/>
      <c r="T286" s="213"/>
      <c r="U286" s="213"/>
      <c r="V286" s="213"/>
      <c r="W286" s="213"/>
      <c r="X286" s="213"/>
      <c r="Y286" s="213"/>
      <c r="Z286" s="213"/>
    </row>
    <row r="287" spans="1:26" s="210" customFormat="1" ht="13.15" customHeight="1">
      <c r="A287" s="206"/>
      <c r="B287" s="207"/>
      <c r="C287" s="208"/>
      <c r="D287" s="209"/>
      <c r="M287" s="211"/>
      <c r="N287" s="212"/>
      <c r="O287" s="577"/>
      <c r="P287" s="577"/>
      <c r="Q287" s="577"/>
      <c r="R287" s="577"/>
      <c r="S287" s="577"/>
      <c r="T287" s="213"/>
      <c r="U287" s="213"/>
      <c r="V287" s="213"/>
      <c r="W287" s="213"/>
      <c r="X287" s="213"/>
      <c r="Y287" s="213"/>
      <c r="Z287" s="213"/>
    </row>
    <row r="288" spans="1:26" s="210" customFormat="1" ht="13.15" customHeight="1">
      <c r="A288" s="206"/>
      <c r="B288" s="207"/>
      <c r="C288" s="208"/>
      <c r="D288" s="209"/>
      <c r="M288" s="211"/>
      <c r="N288" s="212"/>
      <c r="O288" s="577"/>
      <c r="P288" s="577"/>
      <c r="Q288" s="577"/>
      <c r="R288" s="577"/>
      <c r="S288" s="577"/>
      <c r="T288" s="213"/>
      <c r="U288" s="213"/>
      <c r="V288" s="213"/>
      <c r="W288" s="213"/>
      <c r="X288" s="213"/>
      <c r="Y288" s="213"/>
      <c r="Z288" s="213"/>
    </row>
    <row r="289" spans="1:26" s="210" customFormat="1" ht="13.15" customHeight="1">
      <c r="A289" s="206"/>
      <c r="B289" s="207"/>
      <c r="C289" s="208"/>
      <c r="D289" s="209"/>
      <c r="M289" s="211"/>
      <c r="N289" s="212"/>
      <c r="O289" s="577"/>
      <c r="P289" s="577"/>
      <c r="Q289" s="577"/>
      <c r="R289" s="577"/>
      <c r="S289" s="577"/>
      <c r="T289" s="213"/>
      <c r="U289" s="213"/>
      <c r="V289" s="213"/>
      <c r="W289" s="213"/>
      <c r="X289" s="213"/>
      <c r="Y289" s="213"/>
      <c r="Z289" s="213"/>
    </row>
    <row r="290" spans="1:26" s="210" customFormat="1" ht="13.15" customHeight="1">
      <c r="A290" s="206"/>
      <c r="B290" s="207"/>
      <c r="C290" s="208"/>
      <c r="D290" s="209"/>
      <c r="M290" s="211"/>
      <c r="N290" s="212"/>
      <c r="O290" s="577"/>
      <c r="P290" s="577"/>
      <c r="Q290" s="577"/>
      <c r="R290" s="577"/>
      <c r="S290" s="577"/>
      <c r="T290" s="213"/>
      <c r="U290" s="213"/>
      <c r="V290" s="213"/>
      <c r="W290" s="213"/>
      <c r="X290" s="213"/>
      <c r="Y290" s="213"/>
      <c r="Z290" s="213"/>
    </row>
    <row r="291" spans="1:26" s="210" customFormat="1" ht="13.15" customHeight="1">
      <c r="A291" s="206"/>
      <c r="B291" s="207"/>
      <c r="C291" s="208"/>
      <c r="D291" s="209"/>
      <c r="M291" s="211"/>
      <c r="N291" s="212"/>
      <c r="O291" s="577"/>
      <c r="P291" s="577"/>
      <c r="Q291" s="577"/>
      <c r="R291" s="577"/>
      <c r="S291" s="577"/>
      <c r="T291" s="213"/>
      <c r="U291" s="213"/>
      <c r="V291" s="213"/>
      <c r="W291" s="213"/>
      <c r="X291" s="213"/>
      <c r="Y291" s="213"/>
      <c r="Z291" s="213"/>
    </row>
    <row r="292" spans="1:26" s="210" customFormat="1" ht="13.15" customHeight="1">
      <c r="A292" s="206"/>
      <c r="B292" s="207"/>
      <c r="C292" s="208"/>
      <c r="D292" s="209"/>
      <c r="M292" s="211"/>
      <c r="N292" s="212"/>
      <c r="O292" s="577"/>
      <c r="P292" s="577"/>
      <c r="Q292" s="577"/>
      <c r="R292" s="577"/>
      <c r="S292" s="577"/>
      <c r="T292" s="213"/>
      <c r="U292" s="213"/>
      <c r="V292" s="213"/>
      <c r="W292" s="213"/>
      <c r="X292" s="213"/>
      <c r="Y292" s="213"/>
      <c r="Z292" s="213"/>
    </row>
    <row r="293" spans="1:26" s="210" customFormat="1" ht="13.15" customHeight="1">
      <c r="A293" s="206"/>
      <c r="B293" s="207"/>
      <c r="C293" s="208"/>
      <c r="D293" s="209"/>
      <c r="M293" s="211"/>
      <c r="N293" s="212"/>
      <c r="O293" s="577"/>
      <c r="P293" s="577"/>
      <c r="Q293" s="577"/>
      <c r="R293" s="577"/>
      <c r="S293" s="577"/>
      <c r="T293" s="213"/>
      <c r="U293" s="213"/>
      <c r="V293" s="213"/>
      <c r="W293" s="213"/>
      <c r="X293" s="213"/>
      <c r="Y293" s="213"/>
      <c r="Z293" s="213"/>
    </row>
    <row r="294" spans="1:26" s="210" customFormat="1" ht="13.15" customHeight="1">
      <c r="A294" s="206"/>
      <c r="B294" s="207"/>
      <c r="C294" s="208"/>
      <c r="D294" s="209"/>
      <c r="M294" s="211"/>
      <c r="N294" s="212"/>
      <c r="O294" s="577"/>
      <c r="P294" s="577"/>
      <c r="Q294" s="577"/>
      <c r="R294" s="577"/>
      <c r="S294" s="577"/>
      <c r="T294" s="213"/>
      <c r="U294" s="213"/>
      <c r="V294" s="213"/>
      <c r="W294" s="213"/>
      <c r="X294" s="213"/>
      <c r="Y294" s="213"/>
      <c r="Z294" s="213"/>
    </row>
    <row r="295" spans="1:26" s="210" customFormat="1" ht="13.15" customHeight="1">
      <c r="A295" s="206"/>
      <c r="B295" s="207"/>
      <c r="C295" s="208"/>
      <c r="D295" s="209"/>
      <c r="M295" s="211"/>
      <c r="N295" s="212"/>
      <c r="O295" s="577"/>
      <c r="P295" s="577"/>
      <c r="Q295" s="577"/>
      <c r="R295" s="577"/>
      <c r="S295" s="577"/>
      <c r="T295" s="213"/>
      <c r="U295" s="213"/>
      <c r="V295" s="213"/>
      <c r="W295" s="213"/>
      <c r="X295" s="213"/>
      <c r="Y295" s="213"/>
      <c r="Z295" s="213"/>
    </row>
    <row r="296" spans="1:26" s="210" customFormat="1" ht="13.15" customHeight="1">
      <c r="A296" s="206"/>
      <c r="B296" s="207"/>
      <c r="C296" s="208"/>
      <c r="D296" s="209"/>
      <c r="M296" s="211"/>
      <c r="N296" s="212"/>
      <c r="O296" s="577"/>
      <c r="P296" s="577"/>
      <c r="Q296" s="577"/>
      <c r="R296" s="577"/>
      <c r="S296" s="577"/>
      <c r="T296" s="213"/>
      <c r="U296" s="213"/>
      <c r="V296" s="213"/>
      <c r="W296" s="213"/>
      <c r="X296" s="213"/>
      <c r="Y296" s="213"/>
      <c r="Z296" s="213"/>
    </row>
    <row r="297" spans="1:26" s="210" customFormat="1" ht="13.15" customHeight="1">
      <c r="A297" s="206"/>
      <c r="B297" s="207"/>
      <c r="C297" s="208"/>
      <c r="D297" s="209"/>
      <c r="M297" s="211"/>
      <c r="N297" s="212"/>
      <c r="O297" s="577"/>
      <c r="P297" s="577"/>
      <c r="Q297" s="577"/>
      <c r="R297" s="577"/>
      <c r="S297" s="577"/>
      <c r="T297" s="213"/>
      <c r="U297" s="213"/>
      <c r="V297" s="213"/>
      <c r="W297" s="213"/>
      <c r="X297" s="213"/>
      <c r="Y297" s="213"/>
      <c r="Z297" s="213"/>
    </row>
    <row r="298" spans="1:26" s="210" customFormat="1" ht="13.15" customHeight="1">
      <c r="A298" s="206"/>
      <c r="B298" s="207"/>
      <c r="C298" s="208"/>
      <c r="D298" s="209"/>
      <c r="M298" s="211"/>
      <c r="N298" s="212"/>
      <c r="O298" s="577"/>
      <c r="P298" s="577"/>
      <c r="Q298" s="577"/>
      <c r="R298" s="577"/>
      <c r="S298" s="577"/>
      <c r="T298" s="213"/>
      <c r="U298" s="213"/>
      <c r="V298" s="213"/>
      <c r="W298" s="213"/>
      <c r="X298" s="213"/>
      <c r="Y298" s="213"/>
      <c r="Z298" s="213"/>
    </row>
    <row r="299" spans="1:26" s="210" customFormat="1" ht="13.15" customHeight="1">
      <c r="A299" s="206"/>
      <c r="B299" s="207"/>
      <c r="C299" s="208"/>
      <c r="D299" s="209"/>
      <c r="M299" s="211"/>
      <c r="N299" s="212"/>
      <c r="O299" s="577"/>
      <c r="P299" s="577"/>
      <c r="Q299" s="577"/>
      <c r="R299" s="577"/>
      <c r="S299" s="577"/>
      <c r="T299" s="213"/>
      <c r="U299" s="213"/>
      <c r="V299" s="213"/>
      <c r="W299" s="213"/>
      <c r="X299" s="213"/>
      <c r="Y299" s="213"/>
      <c r="Z299" s="213"/>
    </row>
    <row r="300" spans="1:26" s="210" customFormat="1" ht="13.15" customHeight="1">
      <c r="A300" s="206"/>
      <c r="B300" s="207"/>
      <c r="C300" s="208"/>
      <c r="D300" s="209"/>
      <c r="M300" s="211"/>
      <c r="N300" s="212"/>
      <c r="O300" s="577"/>
      <c r="P300" s="577"/>
      <c r="Q300" s="577"/>
      <c r="R300" s="577"/>
      <c r="S300" s="577"/>
      <c r="T300" s="213"/>
      <c r="U300" s="213"/>
      <c r="V300" s="213"/>
      <c r="W300" s="213"/>
      <c r="X300" s="213"/>
      <c r="Y300" s="213"/>
      <c r="Z300" s="213"/>
    </row>
    <row r="301" spans="1:26" s="210" customFormat="1" ht="13.15" customHeight="1">
      <c r="A301" s="206"/>
      <c r="B301" s="207"/>
      <c r="C301" s="208"/>
      <c r="D301" s="209"/>
      <c r="M301" s="211"/>
      <c r="N301" s="212"/>
      <c r="O301" s="577"/>
      <c r="P301" s="577"/>
      <c r="Q301" s="577"/>
      <c r="R301" s="577"/>
      <c r="S301" s="577"/>
      <c r="T301" s="213"/>
      <c r="U301" s="213"/>
      <c r="V301" s="213"/>
      <c r="W301" s="213"/>
      <c r="X301" s="213"/>
      <c r="Y301" s="213"/>
      <c r="Z301" s="213"/>
    </row>
    <row r="302" spans="1:26" s="210" customFormat="1" ht="13.15" customHeight="1">
      <c r="A302" s="206"/>
      <c r="B302" s="207"/>
      <c r="C302" s="208"/>
      <c r="D302" s="209"/>
      <c r="M302" s="211"/>
      <c r="N302" s="212"/>
      <c r="O302" s="577"/>
      <c r="P302" s="577"/>
      <c r="Q302" s="577"/>
      <c r="R302" s="577"/>
      <c r="S302" s="577"/>
      <c r="T302" s="213"/>
      <c r="U302" s="213"/>
      <c r="V302" s="213"/>
      <c r="W302" s="213"/>
      <c r="X302" s="213"/>
      <c r="Y302" s="213"/>
      <c r="Z302" s="213"/>
    </row>
    <row r="303" spans="1:26" s="210" customFormat="1" ht="13.15" customHeight="1">
      <c r="A303" s="206"/>
      <c r="B303" s="207"/>
      <c r="C303" s="208"/>
      <c r="D303" s="209"/>
      <c r="M303" s="211"/>
      <c r="N303" s="212"/>
      <c r="O303" s="577"/>
      <c r="P303" s="577"/>
      <c r="Q303" s="577"/>
      <c r="R303" s="577"/>
      <c r="S303" s="577"/>
      <c r="T303" s="213"/>
      <c r="U303" s="213"/>
      <c r="V303" s="213"/>
      <c r="W303" s="213"/>
      <c r="X303" s="213"/>
      <c r="Y303" s="213"/>
      <c r="Z303" s="213"/>
    </row>
    <row r="304" spans="1:26" s="210" customFormat="1" ht="13.15" customHeight="1">
      <c r="A304" s="206"/>
      <c r="B304" s="207"/>
      <c r="C304" s="208"/>
      <c r="D304" s="209"/>
      <c r="M304" s="211"/>
      <c r="N304" s="212"/>
      <c r="O304" s="577"/>
      <c r="P304" s="577"/>
      <c r="Q304" s="577"/>
      <c r="R304" s="577"/>
      <c r="S304" s="577"/>
      <c r="T304" s="213"/>
      <c r="U304" s="213"/>
      <c r="V304" s="213"/>
      <c r="W304" s="213"/>
      <c r="X304" s="213"/>
      <c r="Y304" s="213"/>
      <c r="Z304" s="213"/>
    </row>
    <row r="305" spans="1:26" s="210" customFormat="1" ht="13.15" customHeight="1">
      <c r="A305" s="206"/>
      <c r="B305" s="207"/>
      <c r="C305" s="208"/>
      <c r="D305" s="209"/>
      <c r="M305" s="211"/>
      <c r="N305" s="212"/>
      <c r="O305" s="577"/>
      <c r="P305" s="577"/>
      <c r="Q305" s="577"/>
      <c r="R305" s="577"/>
      <c r="S305" s="577"/>
      <c r="T305" s="213"/>
      <c r="U305" s="213"/>
      <c r="V305" s="213"/>
      <c r="W305" s="213"/>
      <c r="X305" s="213"/>
      <c r="Y305" s="213"/>
      <c r="Z305" s="213"/>
    </row>
    <row r="306" spans="1:26" s="210" customFormat="1" ht="13.15" customHeight="1">
      <c r="A306" s="206"/>
      <c r="B306" s="207"/>
      <c r="C306" s="208"/>
      <c r="D306" s="209"/>
      <c r="M306" s="211"/>
      <c r="N306" s="212"/>
      <c r="O306" s="577"/>
      <c r="P306" s="577"/>
      <c r="Q306" s="577"/>
      <c r="R306" s="577"/>
      <c r="S306" s="577"/>
      <c r="T306" s="213"/>
      <c r="U306" s="213"/>
      <c r="V306" s="213"/>
      <c r="W306" s="213"/>
      <c r="X306" s="213"/>
      <c r="Y306" s="213"/>
      <c r="Z306" s="213"/>
    </row>
    <row r="307" spans="1:26" s="210" customFormat="1" ht="13.15" customHeight="1">
      <c r="A307" s="206"/>
      <c r="B307" s="207"/>
      <c r="C307" s="208"/>
      <c r="D307" s="209"/>
      <c r="M307" s="211"/>
      <c r="N307" s="212"/>
      <c r="O307" s="577"/>
      <c r="P307" s="577"/>
      <c r="Q307" s="577"/>
      <c r="R307" s="577"/>
      <c r="S307" s="577"/>
      <c r="T307" s="213"/>
      <c r="U307" s="213"/>
      <c r="V307" s="213"/>
      <c r="W307" s="213"/>
      <c r="X307" s="213"/>
      <c r="Y307" s="213"/>
      <c r="Z307" s="213"/>
    </row>
    <row r="308" spans="1:26" s="210" customFormat="1" ht="13.15" customHeight="1">
      <c r="A308" s="206"/>
      <c r="B308" s="207"/>
      <c r="C308" s="208"/>
      <c r="D308" s="209"/>
      <c r="M308" s="211"/>
      <c r="N308" s="212"/>
      <c r="O308" s="577"/>
      <c r="P308" s="577"/>
      <c r="Q308" s="577"/>
      <c r="R308" s="577"/>
      <c r="S308" s="577"/>
      <c r="T308" s="213"/>
      <c r="U308" s="213"/>
      <c r="V308" s="213"/>
      <c r="W308" s="213"/>
      <c r="X308" s="213"/>
      <c r="Y308" s="213"/>
      <c r="Z308" s="213"/>
    </row>
    <row r="309" spans="1:26" s="210" customFormat="1" ht="13.15" customHeight="1">
      <c r="A309" s="206"/>
      <c r="B309" s="207"/>
      <c r="C309" s="208"/>
      <c r="D309" s="209"/>
      <c r="M309" s="211"/>
      <c r="N309" s="212"/>
      <c r="O309" s="577"/>
      <c r="P309" s="577"/>
      <c r="Q309" s="577"/>
      <c r="R309" s="577"/>
      <c r="S309" s="577"/>
      <c r="T309" s="213"/>
      <c r="U309" s="213"/>
      <c r="V309" s="213"/>
      <c r="W309" s="213"/>
      <c r="X309" s="213"/>
      <c r="Y309" s="213"/>
      <c r="Z309" s="213"/>
    </row>
    <row r="310" spans="1:26" s="210" customFormat="1" ht="13.15" customHeight="1">
      <c r="A310" s="206"/>
      <c r="B310" s="207"/>
      <c r="C310" s="208"/>
      <c r="D310" s="209"/>
      <c r="M310" s="211"/>
      <c r="N310" s="212"/>
      <c r="O310" s="577"/>
      <c r="P310" s="577"/>
      <c r="Q310" s="577"/>
      <c r="R310" s="577"/>
      <c r="S310" s="577"/>
      <c r="T310" s="213"/>
      <c r="U310" s="213"/>
      <c r="V310" s="213"/>
      <c r="W310" s="213"/>
      <c r="X310" s="213"/>
      <c r="Y310" s="213"/>
      <c r="Z310" s="213"/>
    </row>
    <row r="311" spans="1:26" s="210" customFormat="1" ht="13.15" customHeight="1">
      <c r="A311" s="206"/>
      <c r="B311" s="207"/>
      <c r="C311" s="208"/>
      <c r="D311" s="209"/>
      <c r="M311" s="211"/>
      <c r="N311" s="212"/>
      <c r="O311" s="577"/>
      <c r="P311" s="577"/>
      <c r="Q311" s="577"/>
      <c r="R311" s="577"/>
      <c r="S311" s="577"/>
      <c r="T311" s="213"/>
      <c r="U311" s="213"/>
      <c r="V311" s="213"/>
      <c r="W311" s="213"/>
      <c r="X311" s="213"/>
      <c r="Y311" s="213"/>
      <c r="Z311" s="213"/>
    </row>
    <row r="312" spans="1:26" s="210" customFormat="1" ht="13.15" customHeight="1">
      <c r="A312" s="206"/>
      <c r="B312" s="207"/>
      <c r="C312" s="208"/>
      <c r="D312" s="209"/>
      <c r="M312" s="211"/>
      <c r="N312" s="212"/>
      <c r="O312" s="577"/>
      <c r="P312" s="577"/>
      <c r="Q312" s="577"/>
      <c r="R312" s="577"/>
      <c r="S312" s="577"/>
      <c r="T312" s="213"/>
      <c r="U312" s="213"/>
      <c r="V312" s="213"/>
      <c r="W312" s="213"/>
      <c r="X312" s="213"/>
      <c r="Y312" s="213"/>
      <c r="Z312" s="213"/>
    </row>
    <row r="313" spans="1:26" s="210" customFormat="1" ht="13.15" customHeight="1">
      <c r="A313" s="206"/>
      <c r="B313" s="207"/>
      <c r="C313" s="208"/>
      <c r="D313" s="209"/>
      <c r="M313" s="211"/>
      <c r="N313" s="212"/>
      <c r="O313" s="577"/>
      <c r="P313" s="577"/>
      <c r="Q313" s="577"/>
      <c r="R313" s="577"/>
      <c r="S313" s="577"/>
      <c r="T313" s="213"/>
      <c r="U313" s="213"/>
      <c r="V313" s="213"/>
      <c r="W313" s="213"/>
      <c r="X313" s="213"/>
      <c r="Y313" s="213"/>
      <c r="Z313" s="213"/>
    </row>
    <row r="314" spans="1:26" s="210" customFormat="1" ht="13.15" customHeight="1">
      <c r="A314" s="206"/>
      <c r="B314" s="207"/>
      <c r="C314" s="208"/>
      <c r="D314" s="209"/>
      <c r="M314" s="211"/>
      <c r="N314" s="212"/>
      <c r="O314" s="577"/>
      <c r="P314" s="577"/>
      <c r="Q314" s="577"/>
      <c r="R314" s="577"/>
      <c r="S314" s="577"/>
      <c r="T314" s="213"/>
      <c r="U314" s="213"/>
      <c r="V314" s="213"/>
      <c r="W314" s="213"/>
      <c r="X314" s="213"/>
      <c r="Y314" s="213"/>
      <c r="Z314" s="213"/>
    </row>
    <row r="315" spans="1:26" s="210" customFormat="1" ht="13.15" customHeight="1">
      <c r="A315" s="206"/>
      <c r="B315" s="207"/>
      <c r="C315" s="208"/>
      <c r="D315" s="209"/>
      <c r="M315" s="211"/>
      <c r="N315" s="212"/>
      <c r="O315" s="577"/>
      <c r="P315" s="577"/>
      <c r="Q315" s="577"/>
      <c r="R315" s="577"/>
      <c r="S315" s="577"/>
      <c r="T315" s="213"/>
      <c r="U315" s="213"/>
      <c r="V315" s="213"/>
      <c r="W315" s="213"/>
      <c r="X315" s="213"/>
      <c r="Y315" s="213"/>
      <c r="Z315" s="213"/>
    </row>
    <row r="316" spans="1:26" s="210" customFormat="1" ht="13.15" customHeight="1">
      <c r="A316" s="206"/>
      <c r="B316" s="207"/>
      <c r="C316" s="208"/>
      <c r="D316" s="209"/>
      <c r="M316" s="211"/>
      <c r="N316" s="212"/>
      <c r="O316" s="577"/>
      <c r="P316" s="577"/>
      <c r="Q316" s="577"/>
      <c r="R316" s="577"/>
      <c r="S316" s="577"/>
      <c r="T316" s="213"/>
      <c r="U316" s="213"/>
      <c r="V316" s="213"/>
      <c r="W316" s="213"/>
      <c r="X316" s="213"/>
      <c r="Y316" s="213"/>
      <c r="Z316" s="213"/>
    </row>
    <row r="317" spans="1:26" s="210" customFormat="1" ht="13.15" customHeight="1">
      <c r="A317" s="206"/>
      <c r="B317" s="207"/>
      <c r="C317" s="208"/>
      <c r="D317" s="209"/>
      <c r="M317" s="211"/>
      <c r="N317" s="212"/>
      <c r="O317" s="577"/>
      <c r="P317" s="577"/>
      <c r="Q317" s="577"/>
      <c r="R317" s="577"/>
      <c r="S317" s="577"/>
      <c r="T317" s="213"/>
      <c r="U317" s="213"/>
      <c r="V317" s="213"/>
      <c r="W317" s="213"/>
      <c r="X317" s="213"/>
      <c r="Y317" s="213"/>
      <c r="Z317" s="213"/>
    </row>
    <row r="318" spans="1:26" s="210" customFormat="1" ht="13.15" customHeight="1">
      <c r="A318" s="206"/>
      <c r="B318" s="207"/>
      <c r="C318" s="208"/>
      <c r="D318" s="209"/>
      <c r="M318" s="211"/>
      <c r="N318" s="212"/>
      <c r="O318" s="577"/>
      <c r="P318" s="577"/>
      <c r="Q318" s="577"/>
      <c r="R318" s="577"/>
      <c r="S318" s="577"/>
      <c r="T318" s="213"/>
      <c r="U318" s="213"/>
      <c r="V318" s="213"/>
      <c r="W318" s="213"/>
      <c r="X318" s="213"/>
      <c r="Y318" s="213"/>
      <c r="Z318" s="213"/>
    </row>
    <row r="319" spans="1:26" s="210" customFormat="1" ht="13.15" customHeight="1">
      <c r="A319" s="206"/>
      <c r="B319" s="207"/>
      <c r="C319" s="208"/>
      <c r="D319" s="209"/>
      <c r="M319" s="211"/>
      <c r="N319" s="212"/>
      <c r="O319" s="577"/>
      <c r="P319" s="577"/>
      <c r="Q319" s="577"/>
      <c r="R319" s="577"/>
      <c r="S319" s="577"/>
      <c r="T319" s="213"/>
      <c r="U319" s="213"/>
      <c r="V319" s="213"/>
      <c r="W319" s="213"/>
      <c r="X319" s="213"/>
      <c r="Y319" s="213"/>
      <c r="Z319" s="213"/>
    </row>
    <row r="320" spans="1:26" s="210" customFormat="1" ht="13.15" customHeight="1">
      <c r="A320" s="206"/>
      <c r="B320" s="207"/>
      <c r="C320" s="208"/>
      <c r="D320" s="209"/>
      <c r="M320" s="211"/>
      <c r="N320" s="212"/>
      <c r="O320" s="577"/>
      <c r="P320" s="577"/>
      <c r="Q320" s="577"/>
      <c r="R320" s="577"/>
      <c r="S320" s="577"/>
      <c r="T320" s="213"/>
      <c r="U320" s="213"/>
      <c r="V320" s="213"/>
      <c r="W320" s="213"/>
      <c r="X320" s="213"/>
      <c r="Y320" s="213"/>
      <c r="Z320" s="213"/>
    </row>
    <row r="321" spans="1:26" s="210" customFormat="1" ht="13.15" customHeight="1">
      <c r="A321" s="206"/>
      <c r="B321" s="207"/>
      <c r="C321" s="208"/>
      <c r="D321" s="209"/>
      <c r="M321" s="211"/>
      <c r="N321" s="212"/>
      <c r="O321" s="577"/>
      <c r="P321" s="577"/>
      <c r="Q321" s="577"/>
      <c r="R321" s="577"/>
      <c r="S321" s="577"/>
      <c r="T321" s="213"/>
      <c r="U321" s="213"/>
      <c r="V321" s="213"/>
      <c r="W321" s="213"/>
      <c r="X321" s="213"/>
      <c r="Y321" s="213"/>
      <c r="Z321" s="213"/>
    </row>
    <row r="322" spans="1:26" s="210" customFormat="1" ht="13.15" customHeight="1">
      <c r="A322" s="206"/>
      <c r="B322" s="207"/>
      <c r="C322" s="208"/>
      <c r="D322" s="209"/>
      <c r="M322" s="211"/>
      <c r="N322" s="212"/>
      <c r="O322" s="577"/>
      <c r="P322" s="577"/>
      <c r="Q322" s="577"/>
      <c r="R322" s="577"/>
      <c r="S322" s="577"/>
      <c r="T322" s="213"/>
      <c r="U322" s="213"/>
      <c r="V322" s="213"/>
      <c r="W322" s="213"/>
      <c r="X322" s="213"/>
      <c r="Y322" s="213"/>
      <c r="Z322" s="213"/>
    </row>
    <row r="323" spans="1:26" s="210" customFormat="1" ht="13.15" customHeight="1">
      <c r="A323" s="206"/>
      <c r="B323" s="207"/>
      <c r="C323" s="208"/>
      <c r="D323" s="209"/>
      <c r="M323" s="211"/>
      <c r="N323" s="212"/>
      <c r="O323" s="577"/>
      <c r="P323" s="577"/>
      <c r="Q323" s="577"/>
      <c r="R323" s="577"/>
      <c r="S323" s="577"/>
      <c r="T323" s="213"/>
      <c r="U323" s="213"/>
      <c r="V323" s="213"/>
      <c r="W323" s="213"/>
      <c r="X323" s="213"/>
      <c r="Y323" s="213"/>
      <c r="Z323" s="213"/>
    </row>
    <row r="324" spans="1:26" s="210" customFormat="1" ht="13.15" customHeight="1">
      <c r="A324" s="206"/>
      <c r="B324" s="207"/>
      <c r="C324" s="208"/>
      <c r="D324" s="209"/>
      <c r="M324" s="211"/>
      <c r="N324" s="212"/>
      <c r="O324" s="577"/>
      <c r="P324" s="577"/>
      <c r="Q324" s="577"/>
      <c r="R324" s="577"/>
      <c r="S324" s="577"/>
      <c r="T324" s="213"/>
      <c r="U324" s="213"/>
      <c r="V324" s="213"/>
      <c r="W324" s="213"/>
      <c r="X324" s="213"/>
      <c r="Y324" s="213"/>
      <c r="Z324" s="213"/>
    </row>
    <row r="325" spans="1:26" s="210" customFormat="1" ht="13.15" customHeight="1">
      <c r="A325" s="206"/>
      <c r="B325" s="207"/>
      <c r="C325" s="208"/>
      <c r="D325" s="209"/>
      <c r="M325" s="211"/>
      <c r="N325" s="212"/>
      <c r="O325" s="577"/>
      <c r="P325" s="577"/>
      <c r="Q325" s="577"/>
      <c r="R325" s="577"/>
      <c r="S325" s="577"/>
      <c r="T325" s="213"/>
      <c r="U325" s="213"/>
      <c r="V325" s="213"/>
      <c r="W325" s="213"/>
      <c r="X325" s="213"/>
      <c r="Y325" s="213"/>
      <c r="Z325" s="213"/>
    </row>
    <row r="326" spans="1:26" s="210" customFormat="1" ht="13.15" customHeight="1">
      <c r="A326" s="206"/>
      <c r="B326" s="207"/>
      <c r="C326" s="208"/>
      <c r="D326" s="209"/>
      <c r="M326" s="211"/>
      <c r="N326" s="212"/>
      <c r="O326" s="577"/>
      <c r="P326" s="577"/>
      <c r="Q326" s="577"/>
      <c r="R326" s="577"/>
      <c r="S326" s="577"/>
      <c r="T326" s="213"/>
      <c r="U326" s="213"/>
      <c r="V326" s="213"/>
      <c r="W326" s="213"/>
      <c r="X326" s="213"/>
      <c r="Y326" s="213"/>
      <c r="Z326" s="213"/>
    </row>
    <row r="327" spans="1:26" s="210" customFormat="1" ht="13.15" customHeight="1">
      <c r="A327" s="206"/>
      <c r="B327" s="207"/>
      <c r="C327" s="208"/>
      <c r="D327" s="209"/>
      <c r="M327" s="211"/>
      <c r="N327" s="212"/>
      <c r="O327" s="577"/>
      <c r="P327" s="577"/>
      <c r="Q327" s="577"/>
      <c r="R327" s="577"/>
      <c r="S327" s="577"/>
      <c r="T327" s="213"/>
      <c r="U327" s="213"/>
      <c r="V327" s="213"/>
      <c r="W327" s="213"/>
      <c r="X327" s="213"/>
      <c r="Y327" s="213"/>
      <c r="Z327" s="213"/>
    </row>
    <row r="328" spans="1:26" s="210" customFormat="1" ht="13.15" customHeight="1">
      <c r="A328" s="206"/>
      <c r="B328" s="207"/>
      <c r="C328" s="208"/>
      <c r="D328" s="209"/>
      <c r="M328" s="211"/>
      <c r="N328" s="212"/>
      <c r="O328" s="577"/>
      <c r="P328" s="577"/>
      <c r="Q328" s="577"/>
      <c r="R328" s="577"/>
      <c r="S328" s="577"/>
      <c r="T328" s="213"/>
      <c r="U328" s="213"/>
      <c r="V328" s="213"/>
      <c r="W328" s="213"/>
      <c r="X328" s="213"/>
      <c r="Y328" s="213"/>
      <c r="Z328" s="213"/>
    </row>
    <row r="329" spans="1:26" s="210" customFormat="1" ht="13.15" customHeight="1">
      <c r="A329" s="206"/>
      <c r="B329" s="207"/>
      <c r="C329" s="208"/>
      <c r="D329" s="209"/>
      <c r="M329" s="211"/>
      <c r="N329" s="212"/>
      <c r="O329" s="577"/>
      <c r="P329" s="577"/>
      <c r="Q329" s="577"/>
      <c r="R329" s="577"/>
      <c r="S329" s="577"/>
      <c r="T329" s="213"/>
      <c r="U329" s="213"/>
      <c r="V329" s="213"/>
      <c r="W329" s="213"/>
      <c r="X329" s="213"/>
      <c r="Y329" s="213"/>
      <c r="Z329" s="213"/>
    </row>
    <row r="330" spans="1:26" s="210" customFormat="1" ht="13.15" customHeight="1">
      <c r="A330" s="206"/>
      <c r="B330" s="207"/>
      <c r="C330" s="208"/>
      <c r="D330" s="209"/>
      <c r="M330" s="211"/>
      <c r="N330" s="212"/>
      <c r="O330" s="577"/>
      <c r="P330" s="577"/>
      <c r="Q330" s="577"/>
      <c r="R330" s="577"/>
      <c r="S330" s="577"/>
      <c r="T330" s="213"/>
      <c r="U330" s="213"/>
      <c r="V330" s="213"/>
      <c r="W330" s="213"/>
      <c r="X330" s="213"/>
      <c r="Y330" s="213"/>
      <c r="Z330" s="213"/>
    </row>
    <row r="331" spans="1:26" s="210" customFormat="1" ht="13.15" customHeight="1">
      <c r="A331" s="206"/>
      <c r="B331" s="207"/>
      <c r="C331" s="208"/>
      <c r="D331" s="209"/>
      <c r="M331" s="211"/>
      <c r="N331" s="212"/>
      <c r="O331" s="577"/>
      <c r="P331" s="577"/>
      <c r="Q331" s="577"/>
      <c r="R331" s="577"/>
      <c r="S331" s="577"/>
      <c r="T331" s="213"/>
      <c r="U331" s="213"/>
      <c r="V331" s="213"/>
      <c r="W331" s="213"/>
      <c r="X331" s="213"/>
      <c r="Y331" s="213"/>
      <c r="Z331" s="213"/>
    </row>
    <row r="332" spans="1:26" s="210" customFormat="1" ht="13.15" customHeight="1">
      <c r="A332" s="206"/>
      <c r="B332" s="207"/>
      <c r="C332" s="208"/>
      <c r="D332" s="209"/>
      <c r="M332" s="211"/>
      <c r="N332" s="212"/>
      <c r="O332" s="577"/>
      <c r="P332" s="577"/>
      <c r="Q332" s="577"/>
      <c r="R332" s="577"/>
      <c r="S332" s="577"/>
      <c r="T332" s="213"/>
      <c r="U332" s="213"/>
      <c r="V332" s="213"/>
      <c r="W332" s="213"/>
      <c r="X332" s="213"/>
      <c r="Y332" s="213"/>
      <c r="Z332" s="213"/>
    </row>
    <row r="333" spans="1:26" s="210" customFormat="1" ht="13.15" customHeight="1">
      <c r="A333" s="206"/>
      <c r="B333" s="207"/>
      <c r="C333" s="208"/>
      <c r="D333" s="209"/>
      <c r="M333" s="211"/>
      <c r="N333" s="212"/>
      <c r="O333" s="577"/>
      <c r="P333" s="577"/>
      <c r="Q333" s="577"/>
      <c r="R333" s="577"/>
      <c r="S333" s="577"/>
      <c r="T333" s="213"/>
      <c r="U333" s="213"/>
      <c r="V333" s="213"/>
      <c r="W333" s="213"/>
      <c r="X333" s="213"/>
      <c r="Y333" s="213"/>
      <c r="Z333" s="213"/>
    </row>
    <row r="334" spans="1:26" s="210" customFormat="1" ht="13.15" customHeight="1">
      <c r="A334" s="206"/>
      <c r="B334" s="207"/>
      <c r="C334" s="208"/>
      <c r="D334" s="209"/>
      <c r="M334" s="211"/>
      <c r="N334" s="212"/>
      <c r="O334" s="577"/>
      <c r="P334" s="577"/>
      <c r="Q334" s="577"/>
      <c r="R334" s="577"/>
      <c r="S334" s="577"/>
      <c r="T334" s="213"/>
      <c r="U334" s="213"/>
      <c r="V334" s="213"/>
      <c r="W334" s="213"/>
      <c r="X334" s="213"/>
      <c r="Y334" s="213"/>
      <c r="Z334" s="213"/>
    </row>
    <row r="335" spans="1:26" s="210" customFormat="1" ht="13.15" customHeight="1">
      <c r="A335" s="206"/>
      <c r="B335" s="207"/>
      <c r="C335" s="208"/>
      <c r="D335" s="209"/>
      <c r="M335" s="211"/>
      <c r="N335" s="212"/>
      <c r="O335" s="577"/>
      <c r="P335" s="577"/>
      <c r="Q335" s="577"/>
      <c r="R335" s="577"/>
      <c r="S335" s="577"/>
      <c r="T335" s="213"/>
      <c r="U335" s="213"/>
      <c r="V335" s="213"/>
      <c r="W335" s="213"/>
      <c r="X335" s="213"/>
      <c r="Y335" s="213"/>
      <c r="Z335" s="213"/>
    </row>
    <row r="336" spans="1:26" s="210" customFormat="1" ht="13.15" customHeight="1">
      <c r="A336" s="206"/>
      <c r="B336" s="207"/>
      <c r="C336" s="208"/>
      <c r="D336" s="209"/>
      <c r="M336" s="211"/>
      <c r="N336" s="212"/>
      <c r="O336" s="577"/>
      <c r="P336" s="577"/>
      <c r="Q336" s="577"/>
      <c r="R336" s="577"/>
      <c r="S336" s="577"/>
      <c r="T336" s="213"/>
      <c r="U336" s="213"/>
      <c r="V336" s="213"/>
      <c r="W336" s="213"/>
      <c r="X336" s="213"/>
      <c r="Y336" s="213"/>
      <c r="Z336" s="213"/>
    </row>
    <row r="337" spans="1:26" s="210" customFormat="1" ht="13.15" customHeight="1">
      <c r="A337" s="206"/>
      <c r="B337" s="207"/>
      <c r="C337" s="208"/>
      <c r="D337" s="209"/>
      <c r="M337" s="211"/>
      <c r="N337" s="212"/>
      <c r="O337" s="577"/>
      <c r="P337" s="577"/>
      <c r="Q337" s="577"/>
      <c r="R337" s="577"/>
      <c r="S337" s="577"/>
      <c r="T337" s="213"/>
      <c r="U337" s="213"/>
      <c r="V337" s="213"/>
      <c r="W337" s="213"/>
      <c r="X337" s="213"/>
      <c r="Y337" s="213"/>
      <c r="Z337" s="213"/>
    </row>
    <row r="338" spans="1:26" s="210" customFormat="1" ht="13.15" customHeight="1">
      <c r="A338" s="206"/>
      <c r="B338" s="207"/>
      <c r="C338" s="208"/>
      <c r="D338" s="209"/>
      <c r="M338" s="211"/>
      <c r="N338" s="212"/>
      <c r="O338" s="577"/>
      <c r="P338" s="577"/>
      <c r="Q338" s="577"/>
      <c r="R338" s="577"/>
      <c r="S338" s="577"/>
      <c r="T338" s="213"/>
      <c r="U338" s="213"/>
      <c r="V338" s="213"/>
      <c r="W338" s="213"/>
      <c r="X338" s="213"/>
      <c r="Y338" s="213"/>
      <c r="Z338" s="213"/>
    </row>
    <row r="339" spans="1:26" s="210" customFormat="1" ht="13.15" customHeight="1">
      <c r="A339" s="206"/>
      <c r="B339" s="207"/>
      <c r="C339" s="208"/>
      <c r="D339" s="209"/>
      <c r="M339" s="211"/>
      <c r="N339" s="212"/>
      <c r="O339" s="577"/>
      <c r="P339" s="577"/>
      <c r="Q339" s="577"/>
      <c r="R339" s="577"/>
      <c r="S339" s="577"/>
      <c r="T339" s="213"/>
      <c r="U339" s="213"/>
      <c r="V339" s="213"/>
      <c r="W339" s="213"/>
      <c r="X339" s="213"/>
      <c r="Y339" s="213"/>
      <c r="Z339" s="213"/>
    </row>
    <row r="340" spans="1:26" s="210" customFormat="1" ht="13.15" customHeight="1">
      <c r="A340" s="206"/>
      <c r="B340" s="207"/>
      <c r="C340" s="208"/>
      <c r="D340" s="209"/>
      <c r="M340" s="211"/>
      <c r="N340" s="212"/>
      <c r="O340" s="577"/>
      <c r="P340" s="577"/>
      <c r="Q340" s="577"/>
      <c r="R340" s="577"/>
      <c r="S340" s="577"/>
      <c r="T340" s="213"/>
      <c r="U340" s="213"/>
      <c r="V340" s="213"/>
      <c r="W340" s="213"/>
      <c r="X340" s="213"/>
      <c r="Y340" s="213"/>
      <c r="Z340" s="213"/>
    </row>
    <row r="341" spans="1:26" s="210" customFormat="1" ht="13.15" customHeight="1">
      <c r="A341" s="206"/>
      <c r="B341" s="207"/>
      <c r="C341" s="208"/>
      <c r="D341" s="209"/>
      <c r="M341" s="211"/>
      <c r="N341" s="212"/>
      <c r="O341" s="577"/>
      <c r="P341" s="577"/>
      <c r="Q341" s="577"/>
      <c r="R341" s="577"/>
      <c r="S341" s="577"/>
      <c r="T341" s="213"/>
      <c r="U341" s="213"/>
      <c r="V341" s="213"/>
      <c r="W341" s="213"/>
      <c r="X341" s="213"/>
      <c r="Y341" s="213"/>
      <c r="Z341" s="213"/>
    </row>
    <row r="342" spans="1:26" s="210" customFormat="1" ht="13.15" customHeight="1">
      <c r="A342" s="206"/>
      <c r="B342" s="207"/>
      <c r="C342" s="208"/>
      <c r="D342" s="209"/>
      <c r="M342" s="211"/>
      <c r="N342" s="212"/>
      <c r="O342" s="577"/>
      <c r="P342" s="577"/>
      <c r="Q342" s="577"/>
      <c r="R342" s="577"/>
      <c r="S342" s="577"/>
      <c r="T342" s="213"/>
      <c r="U342" s="213"/>
      <c r="V342" s="213"/>
      <c r="W342" s="213"/>
      <c r="X342" s="213"/>
      <c r="Y342" s="213"/>
      <c r="Z342" s="213"/>
    </row>
    <row r="343" spans="1:26" s="210" customFormat="1" ht="13.15" customHeight="1">
      <c r="A343" s="206"/>
      <c r="B343" s="207"/>
      <c r="C343" s="208"/>
      <c r="D343" s="209"/>
      <c r="M343" s="211"/>
      <c r="N343" s="212"/>
      <c r="O343" s="577"/>
      <c r="P343" s="577"/>
      <c r="Q343" s="577"/>
      <c r="R343" s="577"/>
      <c r="S343" s="577"/>
      <c r="T343" s="213"/>
      <c r="U343" s="213"/>
      <c r="V343" s="213"/>
      <c r="W343" s="213"/>
      <c r="X343" s="213"/>
      <c r="Y343" s="213"/>
      <c r="Z343" s="213"/>
    </row>
    <row r="344" spans="1:26" s="210" customFormat="1" ht="13.15" customHeight="1">
      <c r="A344" s="206"/>
      <c r="B344" s="207"/>
      <c r="C344" s="208"/>
      <c r="D344" s="209"/>
      <c r="M344" s="211"/>
      <c r="N344" s="212"/>
      <c r="O344" s="577"/>
      <c r="P344" s="577"/>
      <c r="Q344" s="577"/>
      <c r="R344" s="577"/>
      <c r="S344" s="577"/>
      <c r="T344" s="213"/>
      <c r="U344" s="213"/>
      <c r="V344" s="213"/>
      <c r="W344" s="213"/>
      <c r="X344" s="213"/>
      <c r="Y344" s="213"/>
      <c r="Z344" s="213"/>
    </row>
    <row r="345" spans="1:26" s="210" customFormat="1" ht="13.15" customHeight="1">
      <c r="A345" s="206"/>
      <c r="B345" s="207"/>
      <c r="C345" s="208"/>
      <c r="D345" s="209"/>
      <c r="M345" s="211"/>
      <c r="N345" s="212"/>
      <c r="O345" s="577"/>
      <c r="P345" s="577"/>
      <c r="Q345" s="577"/>
      <c r="R345" s="577"/>
      <c r="S345" s="577"/>
      <c r="T345" s="213"/>
      <c r="U345" s="213"/>
      <c r="V345" s="213"/>
      <c r="W345" s="213"/>
      <c r="X345" s="213"/>
      <c r="Y345" s="213"/>
      <c r="Z345" s="213"/>
    </row>
    <row r="346" spans="1:26" s="210" customFormat="1" ht="13.15" customHeight="1">
      <c r="A346" s="206"/>
      <c r="B346" s="207"/>
      <c r="C346" s="208"/>
      <c r="D346" s="209"/>
      <c r="M346" s="211"/>
      <c r="N346" s="212"/>
      <c r="O346" s="577"/>
      <c r="P346" s="577"/>
      <c r="Q346" s="577"/>
      <c r="R346" s="577"/>
      <c r="S346" s="577"/>
      <c r="T346" s="213"/>
      <c r="U346" s="213"/>
      <c r="V346" s="213"/>
      <c r="W346" s="213"/>
      <c r="X346" s="213"/>
      <c r="Y346" s="213"/>
      <c r="Z346" s="213"/>
    </row>
    <row r="347" spans="1:26" s="210" customFormat="1" ht="13.15" customHeight="1">
      <c r="A347" s="206"/>
      <c r="B347" s="207"/>
      <c r="C347" s="208"/>
      <c r="D347" s="209"/>
      <c r="M347" s="211"/>
      <c r="N347" s="212"/>
      <c r="O347" s="577"/>
      <c r="P347" s="577"/>
      <c r="Q347" s="577"/>
      <c r="R347" s="577"/>
      <c r="S347" s="577"/>
      <c r="T347" s="213"/>
      <c r="U347" s="213"/>
      <c r="V347" s="213"/>
      <c r="W347" s="213"/>
      <c r="X347" s="213"/>
      <c r="Y347" s="213"/>
      <c r="Z347" s="213"/>
    </row>
    <row r="348" spans="1:26" s="210" customFormat="1" ht="13.15" customHeight="1">
      <c r="A348" s="206"/>
      <c r="B348" s="207"/>
      <c r="C348" s="208"/>
      <c r="D348" s="209"/>
      <c r="M348" s="211"/>
      <c r="N348" s="212"/>
      <c r="O348" s="577"/>
      <c r="P348" s="577"/>
      <c r="Q348" s="577"/>
      <c r="R348" s="577"/>
      <c r="S348" s="577"/>
      <c r="T348" s="213"/>
      <c r="U348" s="213"/>
      <c r="V348" s="213"/>
      <c r="W348" s="213"/>
      <c r="X348" s="213"/>
      <c r="Y348" s="213"/>
      <c r="Z348" s="213"/>
    </row>
    <row r="349" spans="1:26" s="210" customFormat="1" ht="13.15" customHeight="1">
      <c r="A349" s="206"/>
      <c r="B349" s="207"/>
      <c r="C349" s="208"/>
      <c r="D349" s="209"/>
      <c r="M349" s="211"/>
      <c r="N349" s="212"/>
      <c r="O349" s="577"/>
      <c r="P349" s="577"/>
      <c r="Q349" s="577"/>
      <c r="R349" s="577"/>
      <c r="S349" s="577"/>
      <c r="T349" s="213"/>
      <c r="U349" s="213"/>
      <c r="V349" s="213"/>
      <c r="W349" s="213"/>
      <c r="X349" s="213"/>
      <c r="Y349" s="213"/>
      <c r="Z349" s="213"/>
    </row>
    <row r="350" spans="1:26" s="210" customFormat="1" ht="13.15" customHeight="1">
      <c r="A350" s="206"/>
      <c r="B350" s="207"/>
      <c r="C350" s="208"/>
      <c r="D350" s="209"/>
      <c r="M350" s="211"/>
      <c r="N350" s="212"/>
      <c r="O350" s="577"/>
      <c r="P350" s="577"/>
      <c r="Q350" s="577"/>
      <c r="R350" s="577"/>
      <c r="S350" s="577"/>
      <c r="T350" s="213"/>
      <c r="U350" s="213"/>
      <c r="V350" s="213"/>
      <c r="W350" s="213"/>
      <c r="X350" s="213"/>
      <c r="Y350" s="213"/>
      <c r="Z350" s="213"/>
    </row>
    <row r="351" spans="1:26" s="210" customFormat="1" ht="13.15" customHeight="1">
      <c r="A351" s="206"/>
      <c r="B351" s="207"/>
      <c r="C351" s="208"/>
      <c r="D351" s="209"/>
      <c r="M351" s="211"/>
      <c r="N351" s="212"/>
      <c r="O351" s="577"/>
      <c r="P351" s="577"/>
      <c r="Q351" s="577"/>
      <c r="R351" s="577"/>
      <c r="S351" s="577"/>
      <c r="T351" s="213"/>
      <c r="U351" s="213"/>
      <c r="V351" s="213"/>
      <c r="W351" s="213"/>
      <c r="X351" s="213"/>
      <c r="Y351" s="213"/>
      <c r="Z351" s="213"/>
    </row>
    <row r="352" spans="1:26" s="210" customFormat="1" ht="13.15" customHeight="1">
      <c r="A352" s="206"/>
      <c r="B352" s="207"/>
      <c r="C352" s="208"/>
      <c r="D352" s="209"/>
      <c r="M352" s="211"/>
      <c r="N352" s="212"/>
      <c r="O352" s="577"/>
      <c r="P352" s="577"/>
      <c r="Q352" s="577"/>
      <c r="R352" s="577"/>
      <c r="S352" s="577"/>
      <c r="T352" s="213"/>
      <c r="U352" s="213"/>
      <c r="V352" s="213"/>
      <c r="W352" s="213"/>
      <c r="X352" s="213"/>
      <c r="Y352" s="213"/>
      <c r="Z352" s="213"/>
    </row>
    <row r="353" spans="1:26" s="210" customFormat="1" ht="13.15" customHeight="1">
      <c r="A353" s="206"/>
      <c r="B353" s="207"/>
      <c r="C353" s="208"/>
      <c r="D353" s="209"/>
      <c r="M353" s="211"/>
      <c r="N353" s="212"/>
      <c r="O353" s="577"/>
      <c r="P353" s="577"/>
      <c r="Q353" s="577"/>
      <c r="R353" s="577"/>
      <c r="S353" s="577"/>
      <c r="T353" s="213"/>
      <c r="U353" s="213"/>
      <c r="V353" s="213"/>
      <c r="W353" s="213"/>
      <c r="X353" s="213"/>
      <c r="Y353" s="213"/>
      <c r="Z353" s="213"/>
    </row>
    <row r="354" spans="1:26" s="210" customFormat="1" ht="13.15" customHeight="1">
      <c r="A354" s="206"/>
      <c r="B354" s="207"/>
      <c r="C354" s="208"/>
      <c r="D354" s="209"/>
      <c r="M354" s="211"/>
      <c r="N354" s="212"/>
      <c r="O354" s="577"/>
      <c r="P354" s="577"/>
      <c r="Q354" s="577"/>
      <c r="R354" s="577"/>
      <c r="S354" s="577"/>
      <c r="T354" s="213"/>
      <c r="U354" s="213"/>
      <c r="V354" s="213"/>
      <c r="W354" s="213"/>
      <c r="X354" s="213"/>
      <c r="Y354" s="213"/>
      <c r="Z354" s="213"/>
    </row>
    <row r="355" spans="1:26" s="210" customFormat="1" ht="13.15" customHeight="1">
      <c r="A355" s="206"/>
      <c r="B355" s="207"/>
      <c r="C355" s="208"/>
      <c r="D355" s="209"/>
      <c r="M355" s="211"/>
      <c r="N355" s="212"/>
      <c r="O355" s="577"/>
      <c r="P355" s="577"/>
      <c r="Q355" s="577"/>
      <c r="R355" s="577"/>
      <c r="S355" s="577"/>
      <c r="T355" s="213"/>
      <c r="U355" s="213"/>
      <c r="V355" s="213"/>
      <c r="W355" s="213"/>
      <c r="X355" s="213"/>
      <c r="Y355" s="213"/>
      <c r="Z355" s="213"/>
    </row>
    <row r="356" spans="1:26" s="210" customFormat="1" ht="13.15" customHeight="1">
      <c r="A356" s="206"/>
      <c r="B356" s="207"/>
      <c r="C356" s="208"/>
      <c r="D356" s="209"/>
      <c r="M356" s="211"/>
      <c r="N356" s="212"/>
      <c r="O356" s="577"/>
      <c r="P356" s="577"/>
      <c r="Q356" s="577"/>
      <c r="R356" s="577"/>
      <c r="S356" s="577"/>
      <c r="T356" s="213"/>
      <c r="U356" s="213"/>
      <c r="V356" s="213"/>
      <c r="W356" s="213"/>
      <c r="X356" s="213"/>
      <c r="Y356" s="213"/>
      <c r="Z356" s="213"/>
    </row>
    <row r="357" spans="1:26" s="210" customFormat="1" ht="13.15" customHeight="1">
      <c r="A357" s="206"/>
      <c r="B357" s="207"/>
      <c r="C357" s="208"/>
      <c r="D357" s="209"/>
      <c r="M357" s="211"/>
      <c r="N357" s="212"/>
      <c r="O357" s="577"/>
      <c r="P357" s="577"/>
      <c r="Q357" s="577"/>
      <c r="R357" s="577"/>
      <c r="S357" s="577"/>
      <c r="T357" s="213"/>
      <c r="U357" s="213"/>
      <c r="V357" s="213"/>
      <c r="W357" s="213"/>
      <c r="X357" s="213"/>
      <c r="Y357" s="213"/>
      <c r="Z357" s="213"/>
    </row>
    <row r="358" spans="1:26" s="210" customFormat="1" ht="13.15" customHeight="1">
      <c r="A358" s="206"/>
      <c r="B358" s="207"/>
      <c r="C358" s="208"/>
      <c r="D358" s="209"/>
      <c r="M358" s="211"/>
      <c r="N358" s="212"/>
      <c r="O358" s="577"/>
      <c r="P358" s="577"/>
      <c r="Q358" s="577"/>
      <c r="R358" s="577"/>
      <c r="S358" s="577"/>
      <c r="T358" s="213"/>
      <c r="U358" s="213"/>
      <c r="V358" s="213"/>
      <c r="W358" s="213"/>
      <c r="X358" s="213"/>
      <c r="Y358" s="213"/>
      <c r="Z358" s="213"/>
    </row>
    <row r="359" spans="1:26" s="210" customFormat="1" ht="13.15" customHeight="1">
      <c r="A359" s="206"/>
      <c r="B359" s="207"/>
      <c r="C359" s="208"/>
      <c r="D359" s="209"/>
      <c r="M359" s="211"/>
      <c r="N359" s="212"/>
      <c r="O359" s="577"/>
      <c r="P359" s="577"/>
      <c r="Q359" s="577"/>
      <c r="R359" s="577"/>
      <c r="S359" s="577"/>
      <c r="T359" s="213"/>
      <c r="U359" s="213"/>
      <c r="V359" s="213"/>
      <c r="W359" s="213"/>
      <c r="X359" s="213"/>
      <c r="Y359" s="213"/>
      <c r="Z359" s="213"/>
    </row>
    <row r="360" spans="1:26" s="210" customFormat="1" ht="13.15" customHeight="1">
      <c r="A360" s="206"/>
      <c r="B360" s="207"/>
      <c r="C360" s="208"/>
      <c r="D360" s="209"/>
      <c r="M360" s="211"/>
      <c r="N360" s="212"/>
      <c r="O360" s="577"/>
      <c r="P360" s="577"/>
      <c r="Q360" s="577"/>
      <c r="R360" s="577"/>
      <c r="S360" s="577"/>
      <c r="T360" s="213"/>
      <c r="U360" s="213"/>
      <c r="V360" s="213"/>
      <c r="W360" s="213"/>
      <c r="X360" s="213"/>
      <c r="Y360" s="213"/>
      <c r="Z360" s="213"/>
    </row>
    <row r="361" spans="1:26" s="210" customFormat="1" ht="13.15" customHeight="1">
      <c r="A361" s="206"/>
      <c r="B361" s="207"/>
      <c r="C361" s="208"/>
      <c r="D361" s="209"/>
      <c r="M361" s="211"/>
      <c r="N361" s="212"/>
      <c r="O361" s="577"/>
      <c r="P361" s="577"/>
      <c r="Q361" s="577"/>
      <c r="R361" s="577"/>
      <c r="S361" s="577"/>
      <c r="T361" s="213"/>
      <c r="U361" s="213"/>
      <c r="V361" s="213"/>
      <c r="W361" s="213"/>
      <c r="X361" s="213"/>
      <c r="Y361" s="213"/>
      <c r="Z361" s="213"/>
    </row>
    <row r="362" spans="1:26" s="210" customFormat="1" ht="13.15" customHeight="1">
      <c r="A362" s="206"/>
      <c r="B362" s="207"/>
      <c r="C362" s="208"/>
      <c r="D362" s="209"/>
      <c r="M362" s="211"/>
      <c r="N362" s="212"/>
      <c r="O362" s="577"/>
      <c r="P362" s="577"/>
      <c r="Q362" s="577"/>
      <c r="R362" s="577"/>
      <c r="S362" s="577"/>
      <c r="T362" s="213"/>
      <c r="U362" s="213"/>
      <c r="V362" s="213"/>
      <c r="W362" s="213"/>
      <c r="X362" s="213"/>
      <c r="Y362" s="213"/>
      <c r="Z362" s="213"/>
    </row>
    <row r="363" spans="1:26" s="210" customFormat="1" ht="13.15" customHeight="1">
      <c r="A363" s="206"/>
      <c r="B363" s="207"/>
      <c r="C363" s="208"/>
      <c r="D363" s="209"/>
      <c r="M363" s="211"/>
      <c r="N363" s="212"/>
      <c r="O363" s="577"/>
      <c r="P363" s="577"/>
      <c r="Q363" s="577"/>
      <c r="R363" s="577"/>
      <c r="S363" s="577"/>
      <c r="T363" s="213"/>
      <c r="U363" s="213"/>
      <c r="V363" s="213"/>
      <c r="W363" s="213"/>
      <c r="X363" s="213"/>
      <c r="Y363" s="213"/>
      <c r="Z363" s="213"/>
    </row>
    <row r="364" spans="1:26" s="210" customFormat="1" ht="13.15" customHeight="1">
      <c r="A364" s="206"/>
      <c r="B364" s="207"/>
      <c r="C364" s="208"/>
      <c r="D364" s="209"/>
      <c r="M364" s="211"/>
      <c r="N364" s="212"/>
      <c r="O364" s="577"/>
      <c r="P364" s="577"/>
      <c r="Q364" s="577"/>
      <c r="R364" s="577"/>
      <c r="S364" s="577"/>
      <c r="T364" s="213"/>
      <c r="U364" s="213"/>
      <c r="V364" s="213"/>
      <c r="W364" s="213"/>
      <c r="X364" s="213"/>
      <c r="Y364" s="213"/>
      <c r="Z364" s="213"/>
    </row>
    <row r="365" spans="1:26" s="210" customFormat="1" ht="13.15" customHeight="1">
      <c r="A365" s="206"/>
      <c r="B365" s="207"/>
      <c r="C365" s="208"/>
      <c r="D365" s="209"/>
      <c r="M365" s="211"/>
      <c r="N365" s="212"/>
      <c r="O365" s="577"/>
      <c r="P365" s="577"/>
      <c r="Q365" s="577"/>
      <c r="R365" s="577"/>
      <c r="S365" s="577"/>
      <c r="T365" s="213"/>
      <c r="U365" s="213"/>
      <c r="V365" s="213"/>
      <c r="W365" s="213"/>
      <c r="X365" s="213"/>
      <c r="Y365" s="213"/>
      <c r="Z365" s="213"/>
    </row>
    <row r="366" spans="1:26" s="210" customFormat="1" ht="13.15" customHeight="1">
      <c r="A366" s="206"/>
      <c r="B366" s="207"/>
      <c r="C366" s="208"/>
      <c r="D366" s="209"/>
      <c r="M366" s="211"/>
      <c r="N366" s="212"/>
      <c r="O366" s="577"/>
      <c r="P366" s="577"/>
      <c r="Q366" s="577"/>
      <c r="R366" s="577"/>
      <c r="S366" s="577"/>
      <c r="T366" s="213"/>
      <c r="U366" s="213"/>
      <c r="V366" s="213"/>
      <c r="W366" s="213"/>
      <c r="X366" s="213"/>
      <c r="Y366" s="213"/>
      <c r="Z366" s="213"/>
    </row>
    <row r="367" spans="1:26" s="210" customFormat="1" ht="13.15" customHeight="1">
      <c r="A367" s="206"/>
      <c r="B367" s="207"/>
      <c r="C367" s="208"/>
      <c r="D367" s="209"/>
      <c r="M367" s="211"/>
      <c r="N367" s="212"/>
      <c r="O367" s="577"/>
      <c r="P367" s="577"/>
      <c r="Q367" s="577"/>
      <c r="R367" s="577"/>
      <c r="S367" s="577"/>
      <c r="T367" s="213"/>
      <c r="U367" s="213"/>
      <c r="V367" s="213"/>
      <c r="W367" s="213"/>
      <c r="X367" s="213"/>
      <c r="Y367" s="213"/>
      <c r="Z367" s="213"/>
    </row>
    <row r="368" spans="1:26" s="210" customFormat="1" ht="13.15" customHeight="1">
      <c r="A368" s="206"/>
      <c r="B368" s="207"/>
      <c r="C368" s="208"/>
      <c r="D368" s="209"/>
      <c r="M368" s="211"/>
      <c r="N368" s="212"/>
      <c r="O368" s="577"/>
      <c r="P368" s="577"/>
      <c r="Q368" s="577"/>
      <c r="R368" s="577"/>
      <c r="S368" s="577"/>
      <c r="T368" s="213"/>
      <c r="U368" s="213"/>
      <c r="V368" s="213"/>
      <c r="W368" s="213"/>
      <c r="X368" s="213"/>
      <c r="Y368" s="213"/>
      <c r="Z368" s="213"/>
    </row>
    <row r="369" spans="1:26" s="210" customFormat="1" ht="13.15" customHeight="1">
      <c r="A369" s="206"/>
      <c r="B369" s="207"/>
      <c r="C369" s="208"/>
      <c r="D369" s="209"/>
      <c r="M369" s="211"/>
      <c r="N369" s="212"/>
      <c r="O369" s="577"/>
      <c r="P369" s="577"/>
      <c r="Q369" s="577"/>
      <c r="R369" s="577"/>
      <c r="S369" s="577"/>
      <c r="T369" s="213"/>
      <c r="U369" s="213"/>
      <c r="V369" s="213"/>
      <c r="W369" s="213"/>
      <c r="X369" s="213"/>
      <c r="Y369" s="213"/>
      <c r="Z369" s="213"/>
    </row>
    <row r="370" spans="1:26" s="210" customFormat="1" ht="13.15" customHeight="1">
      <c r="A370" s="206"/>
      <c r="B370" s="207"/>
      <c r="C370" s="208"/>
      <c r="D370" s="209"/>
      <c r="M370" s="211"/>
      <c r="N370" s="212"/>
      <c r="O370" s="577"/>
      <c r="P370" s="577"/>
      <c r="Q370" s="577"/>
      <c r="R370" s="577"/>
      <c r="S370" s="577"/>
      <c r="T370" s="213"/>
      <c r="U370" s="213"/>
      <c r="V370" s="213"/>
      <c r="W370" s="213"/>
      <c r="X370" s="213"/>
      <c r="Y370" s="213"/>
      <c r="Z370" s="213"/>
    </row>
    <row r="371" spans="1:26" s="210" customFormat="1" ht="13.15" customHeight="1">
      <c r="A371" s="206"/>
      <c r="B371" s="207"/>
      <c r="C371" s="208"/>
      <c r="D371" s="209"/>
      <c r="M371" s="211"/>
      <c r="N371" s="212"/>
      <c r="O371" s="577"/>
      <c r="P371" s="577"/>
      <c r="Q371" s="577"/>
      <c r="R371" s="577"/>
      <c r="S371" s="577"/>
      <c r="T371" s="213"/>
      <c r="U371" s="213"/>
      <c r="V371" s="213"/>
      <c r="W371" s="213"/>
      <c r="X371" s="213"/>
      <c r="Y371" s="213"/>
      <c r="Z371" s="213"/>
    </row>
    <row r="372" spans="1:26" s="210" customFormat="1" ht="13.15" customHeight="1">
      <c r="A372" s="206"/>
      <c r="B372" s="207"/>
      <c r="C372" s="208"/>
      <c r="D372" s="209"/>
      <c r="M372" s="211"/>
      <c r="N372" s="212"/>
      <c r="O372" s="577"/>
      <c r="P372" s="577"/>
      <c r="Q372" s="577"/>
      <c r="R372" s="577"/>
      <c r="S372" s="577"/>
      <c r="T372" s="213"/>
      <c r="U372" s="213"/>
      <c r="V372" s="213"/>
      <c r="W372" s="213"/>
      <c r="X372" s="213"/>
      <c r="Y372" s="213"/>
      <c r="Z372" s="213"/>
    </row>
    <row r="373" spans="1:26" s="210" customFormat="1" ht="13.15" customHeight="1">
      <c r="A373" s="206"/>
      <c r="B373" s="207"/>
      <c r="C373" s="208"/>
      <c r="D373" s="209"/>
      <c r="M373" s="211"/>
      <c r="N373" s="212"/>
      <c r="O373" s="577"/>
      <c r="P373" s="577"/>
      <c r="Q373" s="577"/>
      <c r="R373" s="577"/>
      <c r="S373" s="577"/>
      <c r="T373" s="213"/>
      <c r="U373" s="213"/>
      <c r="V373" s="213"/>
      <c r="W373" s="213"/>
      <c r="X373" s="213"/>
      <c r="Y373" s="213"/>
      <c r="Z373" s="213"/>
    </row>
    <row r="374" spans="1:26" s="210" customFormat="1" ht="13.15" customHeight="1">
      <c r="A374" s="206"/>
      <c r="B374" s="207"/>
      <c r="C374" s="208"/>
      <c r="D374" s="209"/>
      <c r="M374" s="211"/>
      <c r="N374" s="212"/>
      <c r="O374" s="577"/>
      <c r="P374" s="577"/>
      <c r="Q374" s="577"/>
      <c r="R374" s="577"/>
      <c r="S374" s="577"/>
      <c r="T374" s="213"/>
      <c r="U374" s="213"/>
      <c r="V374" s="213"/>
      <c r="W374" s="213"/>
      <c r="X374" s="213"/>
      <c r="Y374" s="213"/>
      <c r="Z374" s="213"/>
    </row>
    <row r="375" spans="1:26" s="210" customFormat="1" ht="13.15" customHeight="1">
      <c r="A375" s="206"/>
      <c r="B375" s="207"/>
      <c r="C375" s="208"/>
      <c r="D375" s="209"/>
      <c r="M375" s="211"/>
      <c r="N375" s="212"/>
      <c r="O375" s="577"/>
      <c r="P375" s="577"/>
      <c r="Q375" s="577"/>
      <c r="R375" s="577"/>
      <c r="S375" s="577"/>
      <c r="T375" s="213"/>
      <c r="U375" s="213"/>
      <c r="V375" s="213"/>
      <c r="W375" s="213"/>
      <c r="X375" s="213"/>
      <c r="Y375" s="213"/>
      <c r="Z375" s="213"/>
    </row>
    <row r="376" spans="1:26" s="210" customFormat="1" ht="13.15" customHeight="1">
      <c r="A376" s="206"/>
      <c r="B376" s="207"/>
      <c r="C376" s="208"/>
      <c r="D376" s="209"/>
      <c r="M376" s="211"/>
      <c r="N376" s="212"/>
      <c r="O376" s="577"/>
      <c r="P376" s="577"/>
      <c r="Q376" s="577"/>
      <c r="R376" s="577"/>
      <c r="S376" s="577"/>
      <c r="T376" s="213"/>
      <c r="U376" s="213"/>
      <c r="V376" s="213"/>
      <c r="W376" s="213"/>
      <c r="X376" s="213"/>
      <c r="Y376" s="213"/>
      <c r="Z376" s="213"/>
    </row>
    <row r="377" spans="1:26" s="210" customFormat="1" ht="13.15" customHeight="1">
      <c r="A377" s="206"/>
      <c r="B377" s="207"/>
      <c r="C377" s="208"/>
      <c r="D377" s="209"/>
      <c r="M377" s="211"/>
      <c r="N377" s="212"/>
      <c r="O377" s="577"/>
      <c r="P377" s="577"/>
      <c r="Q377" s="577"/>
      <c r="R377" s="577"/>
      <c r="S377" s="577"/>
      <c r="T377" s="213"/>
      <c r="U377" s="213"/>
      <c r="V377" s="213"/>
      <c r="W377" s="213"/>
      <c r="X377" s="213"/>
      <c r="Y377" s="213"/>
      <c r="Z377" s="213"/>
    </row>
    <row r="378" spans="1:26" s="210" customFormat="1" ht="13.15" customHeight="1">
      <c r="A378" s="206"/>
      <c r="B378" s="207"/>
      <c r="C378" s="208"/>
      <c r="D378" s="209"/>
      <c r="M378" s="211"/>
      <c r="N378" s="212"/>
      <c r="O378" s="577"/>
      <c r="P378" s="577"/>
      <c r="Q378" s="577"/>
      <c r="R378" s="577"/>
      <c r="S378" s="577"/>
      <c r="T378" s="213"/>
      <c r="U378" s="213"/>
      <c r="V378" s="213"/>
      <c r="W378" s="213"/>
      <c r="X378" s="213"/>
      <c r="Y378" s="213"/>
      <c r="Z378" s="213"/>
    </row>
    <row r="379" spans="1:26" s="210" customFormat="1" ht="13.15" customHeight="1">
      <c r="A379" s="206"/>
      <c r="B379" s="207"/>
      <c r="C379" s="208"/>
      <c r="D379" s="209"/>
      <c r="M379" s="211"/>
      <c r="N379" s="212"/>
      <c r="O379" s="577"/>
      <c r="P379" s="577"/>
      <c r="Q379" s="577"/>
      <c r="R379" s="577"/>
      <c r="S379" s="577"/>
      <c r="T379" s="213"/>
      <c r="U379" s="213"/>
      <c r="V379" s="213"/>
      <c r="W379" s="213"/>
      <c r="X379" s="213"/>
      <c r="Y379" s="213"/>
      <c r="Z379" s="213"/>
    </row>
    <row r="380" spans="1:26" s="210" customFormat="1" ht="13.15" customHeight="1">
      <c r="A380" s="206"/>
      <c r="B380" s="207"/>
      <c r="C380" s="208"/>
      <c r="D380" s="209"/>
      <c r="M380" s="211"/>
      <c r="N380" s="212"/>
      <c r="O380" s="577"/>
      <c r="P380" s="577"/>
      <c r="Q380" s="577"/>
      <c r="R380" s="577"/>
      <c r="S380" s="577"/>
      <c r="T380" s="213"/>
      <c r="U380" s="213"/>
      <c r="V380" s="213"/>
      <c r="W380" s="213"/>
      <c r="X380" s="213"/>
      <c r="Y380" s="213"/>
      <c r="Z380" s="213"/>
    </row>
    <row r="381" spans="1:26" s="210" customFormat="1" ht="13.15" customHeight="1">
      <c r="A381" s="206"/>
      <c r="B381" s="207"/>
      <c r="C381" s="208"/>
      <c r="D381" s="209"/>
      <c r="M381" s="211"/>
      <c r="N381" s="212"/>
      <c r="O381" s="577"/>
      <c r="P381" s="577"/>
      <c r="Q381" s="577"/>
      <c r="R381" s="577"/>
      <c r="S381" s="577"/>
      <c r="T381" s="213"/>
      <c r="U381" s="213"/>
      <c r="V381" s="213"/>
      <c r="W381" s="213"/>
      <c r="X381" s="213"/>
      <c r="Y381" s="213"/>
      <c r="Z381" s="213"/>
    </row>
    <row r="382" spans="1:26" s="210" customFormat="1" ht="13.15" customHeight="1">
      <c r="A382" s="206"/>
      <c r="B382" s="207"/>
      <c r="C382" s="208"/>
      <c r="D382" s="209"/>
      <c r="M382" s="211"/>
      <c r="N382" s="212"/>
      <c r="O382" s="577"/>
      <c r="P382" s="577"/>
      <c r="Q382" s="577"/>
      <c r="R382" s="577"/>
      <c r="S382" s="577"/>
      <c r="T382" s="213"/>
      <c r="U382" s="213"/>
      <c r="V382" s="213"/>
      <c r="W382" s="213"/>
      <c r="X382" s="213"/>
      <c r="Y382" s="213"/>
      <c r="Z382" s="213"/>
    </row>
    <row r="383" spans="1:26" s="210" customFormat="1" ht="13.15" customHeight="1">
      <c r="A383" s="206"/>
      <c r="B383" s="207"/>
      <c r="C383" s="208"/>
      <c r="D383" s="209"/>
      <c r="M383" s="211"/>
      <c r="N383" s="212"/>
      <c r="O383" s="577"/>
      <c r="P383" s="577"/>
      <c r="Q383" s="577"/>
      <c r="R383" s="577"/>
      <c r="S383" s="577"/>
      <c r="T383" s="213"/>
      <c r="U383" s="213"/>
      <c r="V383" s="213"/>
      <c r="W383" s="213"/>
      <c r="X383" s="213"/>
      <c r="Y383" s="213"/>
      <c r="Z383" s="213"/>
    </row>
    <row r="384" spans="1:26" s="210" customFormat="1" ht="13.15" customHeight="1">
      <c r="A384" s="206"/>
      <c r="B384" s="207"/>
      <c r="C384" s="208"/>
      <c r="D384" s="209"/>
      <c r="M384" s="211"/>
      <c r="N384" s="212"/>
      <c r="O384" s="577"/>
      <c r="P384" s="577"/>
      <c r="Q384" s="577"/>
      <c r="R384" s="577"/>
      <c r="S384" s="577"/>
      <c r="T384" s="213"/>
      <c r="U384" s="213"/>
      <c r="V384" s="213"/>
      <c r="W384" s="213"/>
      <c r="X384" s="213"/>
      <c r="Y384" s="213"/>
      <c r="Z384" s="213"/>
    </row>
    <row r="385" spans="1:26" s="210" customFormat="1" ht="13.15" customHeight="1">
      <c r="A385" s="206"/>
      <c r="B385" s="207"/>
      <c r="C385" s="208"/>
      <c r="D385" s="209"/>
      <c r="M385" s="211"/>
      <c r="N385" s="212"/>
      <c r="O385" s="577"/>
      <c r="P385" s="577"/>
      <c r="Q385" s="577"/>
      <c r="R385" s="577"/>
      <c r="S385" s="577"/>
      <c r="T385" s="213"/>
      <c r="U385" s="213"/>
      <c r="V385" s="213"/>
      <c r="W385" s="213"/>
      <c r="X385" s="213"/>
      <c r="Y385" s="213"/>
      <c r="Z385" s="213"/>
    </row>
    <row r="386" spans="1:26" s="210" customFormat="1" ht="13.15" customHeight="1">
      <c r="A386" s="206"/>
      <c r="B386" s="207"/>
      <c r="C386" s="208"/>
      <c r="D386" s="209"/>
      <c r="M386" s="211"/>
      <c r="N386" s="212"/>
      <c r="O386" s="577"/>
      <c r="P386" s="577"/>
      <c r="Q386" s="577"/>
      <c r="R386" s="577"/>
      <c r="S386" s="577"/>
      <c r="T386" s="213"/>
      <c r="U386" s="213"/>
      <c r="V386" s="213"/>
      <c r="W386" s="213"/>
      <c r="X386" s="213"/>
      <c r="Y386" s="213"/>
      <c r="Z386" s="213"/>
    </row>
    <row r="387" spans="1:26" s="210" customFormat="1" ht="13.15" customHeight="1">
      <c r="A387" s="206"/>
      <c r="B387" s="207"/>
      <c r="C387" s="208"/>
      <c r="D387" s="209"/>
      <c r="M387" s="211"/>
      <c r="N387" s="212"/>
      <c r="O387" s="577"/>
      <c r="P387" s="577"/>
      <c r="Q387" s="577"/>
      <c r="R387" s="577"/>
      <c r="S387" s="577"/>
      <c r="T387" s="213"/>
      <c r="U387" s="213"/>
      <c r="V387" s="213"/>
      <c r="W387" s="213"/>
      <c r="X387" s="213"/>
      <c r="Y387" s="213"/>
      <c r="Z387" s="213"/>
    </row>
    <row r="388" spans="1:26" s="210" customFormat="1" ht="13.15" customHeight="1">
      <c r="A388" s="206"/>
      <c r="B388" s="207"/>
      <c r="C388" s="208"/>
      <c r="D388" s="209"/>
      <c r="M388" s="211"/>
      <c r="N388" s="212"/>
      <c r="O388" s="577"/>
      <c r="P388" s="577"/>
      <c r="Q388" s="577"/>
      <c r="R388" s="577"/>
      <c r="S388" s="577"/>
      <c r="T388" s="213"/>
      <c r="U388" s="213"/>
      <c r="V388" s="213"/>
      <c r="W388" s="213"/>
      <c r="X388" s="213"/>
      <c r="Y388" s="213"/>
      <c r="Z388" s="213"/>
    </row>
    <row r="389" spans="1:26" s="210" customFormat="1" ht="13.15" customHeight="1">
      <c r="A389" s="206"/>
      <c r="B389" s="207"/>
      <c r="C389" s="208"/>
      <c r="D389" s="209"/>
      <c r="M389" s="211"/>
      <c r="N389" s="212"/>
      <c r="O389" s="577"/>
      <c r="P389" s="577"/>
      <c r="Q389" s="577"/>
      <c r="R389" s="577"/>
      <c r="S389" s="577"/>
      <c r="T389" s="213"/>
      <c r="U389" s="213"/>
      <c r="V389" s="213"/>
      <c r="W389" s="213"/>
      <c r="X389" s="213"/>
      <c r="Y389" s="213"/>
      <c r="Z389" s="213"/>
    </row>
    <row r="390" spans="1:26" s="210" customFormat="1" ht="13.15" customHeight="1">
      <c r="A390" s="206"/>
      <c r="B390" s="207"/>
      <c r="C390" s="208"/>
      <c r="D390" s="209"/>
      <c r="M390" s="211"/>
      <c r="N390" s="212"/>
      <c r="O390" s="577"/>
      <c r="P390" s="577"/>
      <c r="Q390" s="577"/>
      <c r="R390" s="577"/>
      <c r="S390" s="577"/>
      <c r="T390" s="213"/>
      <c r="U390" s="213"/>
      <c r="V390" s="213"/>
      <c r="W390" s="213"/>
      <c r="X390" s="213"/>
      <c r="Y390" s="213"/>
      <c r="Z390" s="213"/>
    </row>
    <row r="391" spans="1:26" s="210" customFormat="1" ht="13.15" customHeight="1">
      <c r="A391" s="206"/>
      <c r="B391" s="207"/>
      <c r="C391" s="208"/>
      <c r="D391" s="209"/>
      <c r="M391" s="211"/>
      <c r="N391" s="212"/>
      <c r="O391" s="577"/>
      <c r="P391" s="577"/>
      <c r="Q391" s="577"/>
      <c r="R391" s="577"/>
      <c r="S391" s="577"/>
      <c r="T391" s="213"/>
      <c r="U391" s="213"/>
      <c r="V391" s="213"/>
      <c r="W391" s="213"/>
      <c r="X391" s="213"/>
      <c r="Y391" s="213"/>
      <c r="Z391" s="213"/>
    </row>
    <row r="392" spans="1:26" s="210" customFormat="1" ht="13.15" customHeight="1">
      <c r="A392" s="206"/>
      <c r="B392" s="207"/>
      <c r="C392" s="208"/>
      <c r="D392" s="209"/>
      <c r="M392" s="211"/>
      <c r="N392" s="212"/>
      <c r="O392" s="577"/>
      <c r="P392" s="577"/>
      <c r="Q392" s="577"/>
      <c r="R392" s="577"/>
      <c r="S392" s="577"/>
      <c r="T392" s="213"/>
      <c r="U392" s="213"/>
      <c r="V392" s="213"/>
      <c r="W392" s="213"/>
      <c r="X392" s="213"/>
      <c r="Y392" s="213"/>
      <c r="Z392" s="213"/>
    </row>
    <row r="393" spans="1:26" s="210" customFormat="1" ht="13.15" customHeight="1">
      <c r="A393" s="206"/>
      <c r="B393" s="207"/>
      <c r="C393" s="208"/>
      <c r="D393" s="209"/>
      <c r="M393" s="211"/>
      <c r="N393" s="212"/>
      <c r="O393" s="577"/>
      <c r="P393" s="577"/>
      <c r="Q393" s="577"/>
      <c r="R393" s="577"/>
      <c r="S393" s="577"/>
      <c r="T393" s="213"/>
      <c r="U393" s="213"/>
      <c r="V393" s="213"/>
      <c r="W393" s="213"/>
      <c r="X393" s="213"/>
      <c r="Y393" s="213"/>
      <c r="Z393" s="213"/>
    </row>
    <row r="394" spans="1:26" s="210" customFormat="1" ht="13.15" customHeight="1">
      <c r="A394" s="206"/>
      <c r="B394" s="207"/>
      <c r="C394" s="208"/>
      <c r="D394" s="209"/>
      <c r="M394" s="211"/>
      <c r="N394" s="212"/>
      <c r="O394" s="577"/>
      <c r="P394" s="577"/>
      <c r="Q394" s="577"/>
      <c r="R394" s="577"/>
      <c r="S394" s="577"/>
      <c r="T394" s="213"/>
      <c r="U394" s="213"/>
      <c r="V394" s="213"/>
      <c r="W394" s="213"/>
      <c r="X394" s="213"/>
      <c r="Y394" s="213"/>
      <c r="Z394" s="213"/>
    </row>
    <row r="395" spans="1:26" s="210" customFormat="1" ht="13.15" customHeight="1">
      <c r="A395" s="206"/>
      <c r="B395" s="207"/>
      <c r="C395" s="208"/>
      <c r="D395" s="209"/>
      <c r="M395" s="211"/>
      <c r="N395" s="212"/>
      <c r="O395" s="577"/>
      <c r="P395" s="577"/>
      <c r="Q395" s="577"/>
      <c r="R395" s="577"/>
      <c r="S395" s="577"/>
      <c r="T395" s="213"/>
      <c r="U395" s="213"/>
      <c r="V395" s="213"/>
      <c r="W395" s="213"/>
      <c r="X395" s="213"/>
      <c r="Y395" s="213"/>
      <c r="Z395" s="213"/>
    </row>
    <row r="396" spans="1:26" s="210" customFormat="1" ht="13.15" customHeight="1">
      <c r="A396" s="206"/>
      <c r="B396" s="207"/>
      <c r="C396" s="208"/>
      <c r="D396" s="209"/>
      <c r="M396" s="211"/>
      <c r="N396" s="212"/>
      <c r="O396" s="577"/>
      <c r="P396" s="577"/>
      <c r="Q396" s="577"/>
      <c r="R396" s="577"/>
      <c r="S396" s="577"/>
      <c r="T396" s="213"/>
      <c r="U396" s="213"/>
      <c r="V396" s="213"/>
      <c r="W396" s="213"/>
      <c r="X396" s="213"/>
      <c r="Y396" s="213"/>
      <c r="Z396" s="213"/>
    </row>
    <row r="397" spans="1:26" s="210" customFormat="1" ht="13.15" customHeight="1">
      <c r="A397" s="206"/>
      <c r="B397" s="207"/>
      <c r="C397" s="208"/>
      <c r="D397" s="209"/>
      <c r="M397" s="211"/>
      <c r="N397" s="212"/>
      <c r="O397" s="577"/>
      <c r="P397" s="577"/>
      <c r="Q397" s="577"/>
      <c r="R397" s="577"/>
      <c r="S397" s="577"/>
      <c r="T397" s="213"/>
      <c r="U397" s="213"/>
      <c r="V397" s="213"/>
      <c r="W397" s="213"/>
      <c r="X397" s="213"/>
      <c r="Y397" s="213"/>
      <c r="Z397" s="213"/>
    </row>
    <row r="398" spans="1:26" s="210" customFormat="1" ht="13.15" customHeight="1">
      <c r="A398" s="206"/>
      <c r="B398" s="207"/>
      <c r="C398" s="208"/>
      <c r="D398" s="209"/>
      <c r="M398" s="211"/>
      <c r="N398" s="212"/>
      <c r="O398" s="577"/>
      <c r="P398" s="577"/>
      <c r="Q398" s="577"/>
      <c r="R398" s="577"/>
      <c r="S398" s="577"/>
      <c r="T398" s="213"/>
      <c r="U398" s="213"/>
      <c r="V398" s="213"/>
      <c r="W398" s="213"/>
      <c r="X398" s="213"/>
      <c r="Y398" s="213"/>
      <c r="Z398" s="213"/>
    </row>
    <row r="399" spans="1:26" s="210" customFormat="1" ht="13.15" customHeight="1">
      <c r="A399" s="206"/>
      <c r="B399" s="207"/>
      <c r="C399" s="208"/>
      <c r="D399" s="209"/>
      <c r="M399" s="211"/>
      <c r="N399" s="212"/>
      <c r="O399" s="577"/>
      <c r="P399" s="577"/>
      <c r="Q399" s="577"/>
      <c r="R399" s="577"/>
      <c r="S399" s="577"/>
      <c r="T399" s="213"/>
      <c r="U399" s="213"/>
      <c r="V399" s="213"/>
      <c r="W399" s="213"/>
      <c r="X399" s="213"/>
      <c r="Y399" s="213"/>
      <c r="Z399" s="213"/>
    </row>
    <row r="400" spans="1:26" s="210" customFormat="1" ht="13.15" customHeight="1">
      <c r="A400" s="206"/>
      <c r="B400" s="207"/>
      <c r="C400" s="208"/>
      <c r="D400" s="209"/>
      <c r="M400" s="211"/>
      <c r="N400" s="212"/>
      <c r="O400" s="577"/>
      <c r="P400" s="577"/>
      <c r="Q400" s="577"/>
      <c r="R400" s="577"/>
      <c r="S400" s="577"/>
      <c r="T400" s="213"/>
      <c r="U400" s="213"/>
      <c r="V400" s="213"/>
      <c r="W400" s="213"/>
      <c r="X400" s="213"/>
      <c r="Y400" s="213"/>
      <c r="Z400" s="213"/>
    </row>
    <row r="401" spans="1:26" s="210" customFormat="1" ht="13.15" customHeight="1">
      <c r="A401" s="206"/>
      <c r="B401" s="207"/>
      <c r="C401" s="208"/>
      <c r="D401" s="209"/>
      <c r="M401" s="211"/>
      <c r="N401" s="212"/>
      <c r="O401" s="577"/>
      <c r="P401" s="577"/>
      <c r="Q401" s="577"/>
      <c r="R401" s="577"/>
      <c r="S401" s="577"/>
      <c r="T401" s="213"/>
      <c r="U401" s="213"/>
      <c r="V401" s="213"/>
      <c r="W401" s="213"/>
      <c r="X401" s="213"/>
      <c r="Y401" s="213"/>
      <c r="Z401" s="213"/>
    </row>
    <row r="402" spans="1:26" s="210" customFormat="1" ht="13.15" customHeight="1">
      <c r="A402" s="206"/>
      <c r="B402" s="207"/>
      <c r="C402" s="208"/>
      <c r="D402" s="209"/>
      <c r="M402" s="211"/>
      <c r="N402" s="212"/>
      <c r="O402" s="577"/>
      <c r="P402" s="577"/>
      <c r="Q402" s="577"/>
      <c r="R402" s="577"/>
      <c r="S402" s="577"/>
      <c r="T402" s="213"/>
      <c r="U402" s="213"/>
      <c r="V402" s="213"/>
      <c r="W402" s="213"/>
      <c r="X402" s="213"/>
      <c r="Y402" s="213"/>
      <c r="Z402" s="213"/>
    </row>
    <row r="403" spans="1:26" s="210" customFormat="1" ht="13.15" customHeight="1">
      <c r="A403" s="206"/>
      <c r="B403" s="207"/>
      <c r="C403" s="208"/>
      <c r="D403" s="209"/>
      <c r="M403" s="211"/>
      <c r="N403" s="212"/>
      <c r="O403" s="577"/>
      <c r="P403" s="577"/>
      <c r="Q403" s="577"/>
      <c r="R403" s="577"/>
      <c r="S403" s="577"/>
      <c r="T403" s="213"/>
      <c r="U403" s="213"/>
      <c r="V403" s="213"/>
      <c r="W403" s="213"/>
      <c r="X403" s="213"/>
      <c r="Y403" s="213"/>
      <c r="Z403" s="213"/>
    </row>
    <row r="404" spans="1:26" s="210" customFormat="1" ht="13.15" customHeight="1">
      <c r="A404" s="206"/>
      <c r="B404" s="207"/>
      <c r="C404" s="208"/>
      <c r="D404" s="209"/>
      <c r="M404" s="211"/>
      <c r="N404" s="212"/>
      <c r="O404" s="577"/>
      <c r="P404" s="577"/>
      <c r="Q404" s="577"/>
      <c r="R404" s="577"/>
      <c r="S404" s="577"/>
      <c r="T404" s="213"/>
      <c r="U404" s="213"/>
      <c r="V404" s="213"/>
      <c r="W404" s="213"/>
      <c r="X404" s="213"/>
      <c r="Y404" s="213"/>
      <c r="Z404" s="213"/>
    </row>
    <row r="405" spans="1:26" s="210" customFormat="1" ht="13.15" customHeight="1">
      <c r="A405" s="206"/>
      <c r="B405" s="207"/>
      <c r="C405" s="208"/>
      <c r="D405" s="209"/>
      <c r="M405" s="211"/>
      <c r="N405" s="212"/>
      <c r="O405" s="577"/>
      <c r="P405" s="577"/>
      <c r="Q405" s="577"/>
      <c r="R405" s="577"/>
      <c r="S405" s="577"/>
      <c r="T405" s="213"/>
      <c r="U405" s="213"/>
      <c r="V405" s="213"/>
      <c r="W405" s="213"/>
      <c r="X405" s="213"/>
      <c r="Y405" s="213"/>
      <c r="Z405" s="213"/>
    </row>
    <row r="406" spans="1:26" s="210" customFormat="1" ht="13.15" customHeight="1">
      <c r="A406" s="206"/>
      <c r="B406" s="207"/>
      <c r="C406" s="208"/>
      <c r="D406" s="209"/>
      <c r="M406" s="211"/>
      <c r="N406" s="212"/>
      <c r="O406" s="577"/>
      <c r="P406" s="577"/>
      <c r="Q406" s="577"/>
      <c r="R406" s="577"/>
      <c r="S406" s="577"/>
      <c r="T406" s="213"/>
      <c r="U406" s="213"/>
      <c r="V406" s="213"/>
      <c r="W406" s="213"/>
      <c r="X406" s="213"/>
      <c r="Y406" s="213"/>
      <c r="Z406" s="213"/>
    </row>
    <row r="407" spans="1:26" s="210" customFormat="1" ht="13.15" customHeight="1">
      <c r="A407" s="206"/>
      <c r="B407" s="207"/>
      <c r="C407" s="208"/>
      <c r="D407" s="209"/>
      <c r="M407" s="211"/>
      <c r="N407" s="212"/>
      <c r="O407" s="577"/>
      <c r="P407" s="577"/>
      <c r="Q407" s="577"/>
      <c r="R407" s="577"/>
      <c r="S407" s="577"/>
      <c r="T407" s="213"/>
      <c r="U407" s="213"/>
      <c r="V407" s="213"/>
      <c r="W407" s="213"/>
      <c r="X407" s="213"/>
      <c r="Y407" s="213"/>
      <c r="Z407" s="213"/>
    </row>
    <row r="408" spans="1:26" s="210" customFormat="1" ht="13.15" customHeight="1">
      <c r="A408" s="206"/>
      <c r="B408" s="207"/>
      <c r="C408" s="208"/>
      <c r="D408" s="209"/>
      <c r="M408" s="211"/>
      <c r="N408" s="212"/>
      <c r="O408" s="577"/>
      <c r="P408" s="577"/>
      <c r="Q408" s="577"/>
      <c r="R408" s="577"/>
      <c r="S408" s="577"/>
      <c r="T408" s="213"/>
      <c r="U408" s="213"/>
      <c r="V408" s="213"/>
      <c r="W408" s="213"/>
      <c r="X408" s="213"/>
      <c r="Y408" s="213"/>
      <c r="Z408" s="213"/>
    </row>
    <row r="409" spans="1:26" s="210" customFormat="1" ht="13.15" customHeight="1">
      <c r="A409" s="206"/>
      <c r="B409" s="207"/>
      <c r="C409" s="208"/>
      <c r="D409" s="209"/>
      <c r="M409" s="211"/>
      <c r="N409" s="212"/>
      <c r="O409" s="577"/>
      <c r="P409" s="577"/>
      <c r="Q409" s="577"/>
      <c r="R409" s="577"/>
      <c r="S409" s="577"/>
      <c r="T409" s="213"/>
      <c r="U409" s="213"/>
      <c r="V409" s="213"/>
      <c r="W409" s="213"/>
      <c r="X409" s="213"/>
      <c r="Y409" s="213"/>
      <c r="Z409" s="213"/>
    </row>
    <row r="410" spans="1:26" s="210" customFormat="1" ht="13.15" customHeight="1">
      <c r="A410" s="206"/>
      <c r="B410" s="207"/>
      <c r="C410" s="208"/>
      <c r="D410" s="209"/>
      <c r="M410" s="211"/>
      <c r="N410" s="212"/>
      <c r="O410" s="577"/>
      <c r="P410" s="577"/>
      <c r="Q410" s="577"/>
      <c r="R410" s="577"/>
      <c r="S410" s="577"/>
      <c r="T410" s="213"/>
      <c r="U410" s="213"/>
      <c r="V410" s="213"/>
      <c r="W410" s="213"/>
      <c r="X410" s="213"/>
      <c r="Y410" s="213"/>
      <c r="Z410" s="213"/>
    </row>
    <row r="411" spans="1:26" s="210" customFormat="1" ht="13.15" customHeight="1">
      <c r="A411" s="206"/>
      <c r="B411" s="207"/>
      <c r="C411" s="208"/>
      <c r="D411" s="209"/>
      <c r="M411" s="211"/>
      <c r="N411" s="212"/>
      <c r="O411" s="577"/>
      <c r="P411" s="577"/>
      <c r="Q411" s="577"/>
      <c r="R411" s="577"/>
      <c r="S411" s="577"/>
      <c r="T411" s="213"/>
      <c r="U411" s="213"/>
      <c r="V411" s="213"/>
      <c r="W411" s="213"/>
      <c r="X411" s="213"/>
      <c r="Y411" s="213"/>
      <c r="Z411" s="213"/>
    </row>
    <row r="412" spans="1:26" s="210" customFormat="1" ht="13.15" customHeight="1">
      <c r="A412" s="206"/>
      <c r="B412" s="207"/>
      <c r="C412" s="208"/>
      <c r="D412" s="209"/>
      <c r="M412" s="211"/>
      <c r="N412" s="212"/>
      <c r="O412" s="577"/>
      <c r="P412" s="577"/>
      <c r="Q412" s="577"/>
      <c r="R412" s="577"/>
      <c r="S412" s="577"/>
      <c r="T412" s="213"/>
      <c r="U412" s="213"/>
      <c r="V412" s="213"/>
      <c r="W412" s="213"/>
      <c r="X412" s="213"/>
      <c r="Y412" s="213"/>
      <c r="Z412" s="213"/>
    </row>
    <row r="413" spans="1:26" s="210" customFormat="1" ht="13.15" customHeight="1">
      <c r="A413" s="206"/>
      <c r="B413" s="207"/>
      <c r="C413" s="208"/>
      <c r="D413" s="209"/>
      <c r="M413" s="211"/>
      <c r="N413" s="212"/>
      <c r="O413" s="577"/>
      <c r="P413" s="577"/>
      <c r="Q413" s="577"/>
      <c r="R413" s="577"/>
      <c r="S413" s="577"/>
      <c r="T413" s="213"/>
      <c r="U413" s="213"/>
      <c r="V413" s="213"/>
      <c r="W413" s="213"/>
      <c r="X413" s="213"/>
      <c r="Y413" s="213"/>
      <c r="Z413" s="213"/>
    </row>
    <row r="414" spans="1:26" s="210" customFormat="1" ht="13.15" customHeight="1">
      <c r="A414" s="206"/>
      <c r="B414" s="207"/>
      <c r="C414" s="208"/>
      <c r="D414" s="209"/>
      <c r="M414" s="211"/>
      <c r="N414" s="212"/>
      <c r="O414" s="577"/>
      <c r="P414" s="577"/>
      <c r="Q414" s="577"/>
      <c r="R414" s="577"/>
      <c r="S414" s="577"/>
      <c r="T414" s="213"/>
      <c r="U414" s="213"/>
      <c r="V414" s="213"/>
      <c r="W414" s="213"/>
      <c r="X414" s="213"/>
      <c r="Y414" s="213"/>
      <c r="Z414" s="213"/>
    </row>
    <row r="415" spans="1:26" s="210" customFormat="1" ht="13.15" customHeight="1">
      <c r="A415" s="206"/>
      <c r="B415" s="207"/>
      <c r="C415" s="208"/>
      <c r="D415" s="209"/>
      <c r="M415" s="211"/>
      <c r="N415" s="212"/>
      <c r="O415" s="577"/>
      <c r="P415" s="577"/>
      <c r="Q415" s="577"/>
      <c r="R415" s="577"/>
      <c r="S415" s="577"/>
      <c r="T415" s="213"/>
      <c r="U415" s="213"/>
      <c r="V415" s="213"/>
      <c r="W415" s="213"/>
      <c r="X415" s="213"/>
      <c r="Y415" s="213"/>
      <c r="Z415" s="213"/>
    </row>
    <row r="416" spans="1:26" s="210" customFormat="1" ht="13.15" customHeight="1">
      <c r="A416" s="206"/>
      <c r="B416" s="207"/>
      <c r="C416" s="208"/>
      <c r="D416" s="209"/>
      <c r="M416" s="211"/>
      <c r="N416" s="212"/>
      <c r="O416" s="577"/>
      <c r="P416" s="577"/>
      <c r="Q416" s="577"/>
      <c r="R416" s="577"/>
      <c r="S416" s="577"/>
      <c r="T416" s="213"/>
      <c r="U416" s="213"/>
      <c r="V416" s="213"/>
      <c r="W416" s="213"/>
      <c r="X416" s="213"/>
      <c r="Y416" s="213"/>
      <c r="Z416" s="213"/>
    </row>
    <row r="417" spans="1:26" s="210" customFormat="1" ht="13.15" customHeight="1">
      <c r="A417" s="206"/>
      <c r="B417" s="207"/>
      <c r="C417" s="208"/>
      <c r="D417" s="209"/>
      <c r="M417" s="211"/>
      <c r="N417" s="212"/>
      <c r="O417" s="577"/>
      <c r="P417" s="577"/>
      <c r="Q417" s="577"/>
      <c r="R417" s="577"/>
      <c r="S417" s="577"/>
      <c r="T417" s="213"/>
      <c r="U417" s="213"/>
      <c r="V417" s="213"/>
      <c r="W417" s="213"/>
      <c r="X417" s="213"/>
      <c r="Y417" s="213"/>
      <c r="Z417" s="213"/>
    </row>
    <row r="418" spans="1:26" s="210" customFormat="1" ht="13.15" customHeight="1">
      <c r="A418" s="206"/>
      <c r="B418" s="207"/>
      <c r="C418" s="208"/>
      <c r="D418" s="209"/>
      <c r="M418" s="211"/>
      <c r="N418" s="212"/>
      <c r="O418" s="577"/>
      <c r="P418" s="577"/>
      <c r="Q418" s="577"/>
      <c r="R418" s="577"/>
      <c r="S418" s="577"/>
      <c r="T418" s="213"/>
      <c r="U418" s="213"/>
      <c r="V418" s="213"/>
      <c r="W418" s="213"/>
      <c r="X418" s="213"/>
      <c r="Y418" s="213"/>
      <c r="Z418" s="213"/>
    </row>
    <row r="419" spans="1:26" s="210" customFormat="1" ht="13.15" customHeight="1">
      <c r="A419" s="206"/>
      <c r="B419" s="207"/>
      <c r="C419" s="208"/>
      <c r="D419" s="209"/>
      <c r="M419" s="211"/>
      <c r="N419" s="212"/>
      <c r="O419" s="577"/>
      <c r="P419" s="577"/>
      <c r="Q419" s="577"/>
      <c r="R419" s="577"/>
      <c r="S419" s="577"/>
      <c r="T419" s="213"/>
      <c r="U419" s="213"/>
      <c r="V419" s="213"/>
      <c r="W419" s="213"/>
      <c r="X419" s="213"/>
      <c r="Y419" s="213"/>
      <c r="Z419" s="213"/>
    </row>
    <row r="420" spans="1:26" s="210" customFormat="1" ht="13.15" customHeight="1">
      <c r="A420" s="206"/>
      <c r="B420" s="207"/>
      <c r="C420" s="208"/>
      <c r="D420" s="209"/>
      <c r="M420" s="211"/>
      <c r="N420" s="212"/>
      <c r="O420" s="577"/>
      <c r="P420" s="577"/>
      <c r="Q420" s="577"/>
      <c r="R420" s="577"/>
      <c r="S420" s="577"/>
      <c r="T420" s="213"/>
      <c r="U420" s="213"/>
      <c r="V420" s="213"/>
      <c r="W420" s="213"/>
      <c r="X420" s="213"/>
      <c r="Y420" s="213"/>
      <c r="Z420" s="213"/>
    </row>
    <row r="421" spans="1:26" s="210" customFormat="1" ht="13.15" customHeight="1">
      <c r="A421" s="206"/>
      <c r="B421" s="207"/>
      <c r="C421" s="208"/>
      <c r="D421" s="209"/>
      <c r="M421" s="211"/>
      <c r="N421" s="212"/>
      <c r="O421" s="577"/>
      <c r="P421" s="577"/>
      <c r="Q421" s="577"/>
      <c r="R421" s="577"/>
      <c r="S421" s="577"/>
      <c r="T421" s="213"/>
      <c r="U421" s="213"/>
      <c r="V421" s="213"/>
      <c r="W421" s="213"/>
      <c r="X421" s="213"/>
      <c r="Y421" s="213"/>
      <c r="Z421" s="213"/>
    </row>
    <row r="422" spans="1:26" s="210" customFormat="1" ht="13.15" customHeight="1">
      <c r="A422" s="206"/>
      <c r="B422" s="207"/>
      <c r="C422" s="208"/>
      <c r="D422" s="209"/>
      <c r="M422" s="211"/>
      <c r="N422" s="212"/>
      <c r="O422" s="577"/>
      <c r="P422" s="577"/>
      <c r="Q422" s="577"/>
      <c r="R422" s="577"/>
      <c r="S422" s="577"/>
      <c r="T422" s="213"/>
      <c r="U422" s="213"/>
      <c r="V422" s="213"/>
      <c r="W422" s="213"/>
      <c r="X422" s="213"/>
      <c r="Y422" s="213"/>
      <c r="Z422" s="213"/>
    </row>
    <row r="423" spans="1:26" s="210" customFormat="1" ht="13.15" customHeight="1">
      <c r="A423" s="206"/>
      <c r="B423" s="207"/>
      <c r="C423" s="208"/>
      <c r="D423" s="209"/>
      <c r="M423" s="211"/>
      <c r="N423" s="212"/>
      <c r="O423" s="577"/>
      <c r="P423" s="577"/>
      <c r="Q423" s="577"/>
      <c r="R423" s="577"/>
      <c r="S423" s="577"/>
      <c r="T423" s="213"/>
      <c r="U423" s="213"/>
      <c r="V423" s="213"/>
      <c r="W423" s="213"/>
      <c r="X423" s="213"/>
      <c r="Y423" s="213"/>
      <c r="Z423" s="213"/>
    </row>
    <row r="424" spans="1:26" s="210" customFormat="1" ht="13.15" customHeight="1">
      <c r="A424" s="206"/>
      <c r="B424" s="207"/>
      <c r="C424" s="208"/>
      <c r="D424" s="209"/>
      <c r="M424" s="211"/>
      <c r="N424" s="212"/>
      <c r="O424" s="577"/>
      <c r="P424" s="577"/>
      <c r="Q424" s="577"/>
      <c r="R424" s="577"/>
      <c r="S424" s="577"/>
      <c r="T424" s="213"/>
      <c r="U424" s="213"/>
      <c r="V424" s="213"/>
      <c r="W424" s="213"/>
      <c r="X424" s="213"/>
      <c r="Y424" s="213"/>
      <c r="Z424" s="213"/>
    </row>
    <row r="425" spans="1:26" s="210" customFormat="1" ht="13.15" customHeight="1">
      <c r="A425" s="206"/>
      <c r="B425" s="207"/>
      <c r="C425" s="208"/>
      <c r="D425" s="209"/>
      <c r="M425" s="211"/>
      <c r="N425" s="212"/>
      <c r="O425" s="577"/>
      <c r="P425" s="577"/>
      <c r="Q425" s="577"/>
      <c r="R425" s="577"/>
      <c r="S425" s="577"/>
      <c r="T425" s="213"/>
      <c r="U425" s="213"/>
      <c r="V425" s="213"/>
      <c r="W425" s="213"/>
      <c r="X425" s="213"/>
      <c r="Y425" s="213"/>
      <c r="Z425" s="213"/>
    </row>
    <row r="426" spans="1:26" s="210" customFormat="1" ht="13.15" customHeight="1">
      <c r="A426" s="206"/>
      <c r="B426" s="207"/>
      <c r="C426" s="208"/>
      <c r="D426" s="209"/>
      <c r="M426" s="211"/>
      <c r="N426" s="212"/>
      <c r="O426" s="577"/>
      <c r="P426" s="577"/>
      <c r="Q426" s="577"/>
      <c r="R426" s="577"/>
      <c r="S426" s="577"/>
      <c r="T426" s="213"/>
      <c r="U426" s="213"/>
      <c r="V426" s="213"/>
      <c r="W426" s="213"/>
      <c r="X426" s="213"/>
      <c r="Y426" s="213"/>
      <c r="Z426" s="213"/>
    </row>
    <row r="427" spans="1:26" s="210" customFormat="1" ht="13.15" customHeight="1">
      <c r="A427" s="206"/>
      <c r="B427" s="207"/>
      <c r="C427" s="208"/>
      <c r="D427" s="209"/>
      <c r="M427" s="211"/>
      <c r="N427" s="212"/>
      <c r="O427" s="577"/>
      <c r="P427" s="577"/>
      <c r="Q427" s="577"/>
      <c r="R427" s="577"/>
      <c r="S427" s="577"/>
      <c r="T427" s="213"/>
      <c r="U427" s="213"/>
      <c r="V427" s="213"/>
      <c r="W427" s="213"/>
      <c r="X427" s="213"/>
      <c r="Y427" s="213"/>
      <c r="Z427" s="213"/>
    </row>
    <row r="428" spans="1:26" s="210" customFormat="1" ht="13.15" customHeight="1">
      <c r="A428" s="206"/>
      <c r="B428" s="207"/>
      <c r="C428" s="208"/>
      <c r="D428" s="209"/>
      <c r="M428" s="211"/>
      <c r="N428" s="212"/>
      <c r="O428" s="577"/>
      <c r="P428" s="577"/>
      <c r="Q428" s="577"/>
      <c r="R428" s="577"/>
      <c r="S428" s="577"/>
      <c r="T428" s="213"/>
      <c r="U428" s="213"/>
      <c r="V428" s="213"/>
      <c r="W428" s="213"/>
      <c r="X428" s="213"/>
      <c r="Y428" s="213"/>
      <c r="Z428" s="213"/>
    </row>
    <row r="429" spans="1:26" s="210" customFormat="1" ht="13.15" customHeight="1">
      <c r="A429" s="206"/>
      <c r="B429" s="207"/>
      <c r="C429" s="208"/>
      <c r="D429" s="209"/>
      <c r="M429" s="211"/>
      <c r="N429" s="212"/>
      <c r="O429" s="577"/>
      <c r="P429" s="577"/>
      <c r="Q429" s="577"/>
      <c r="R429" s="577"/>
      <c r="S429" s="577"/>
      <c r="T429" s="213"/>
      <c r="U429" s="213"/>
      <c r="V429" s="213"/>
      <c r="W429" s="213"/>
      <c r="X429" s="213"/>
      <c r="Y429" s="213"/>
      <c r="Z429" s="213"/>
    </row>
    <row r="430" spans="1:26" s="210" customFormat="1" ht="13.15" customHeight="1">
      <c r="A430" s="206"/>
      <c r="B430" s="207"/>
      <c r="C430" s="208"/>
      <c r="D430" s="209"/>
      <c r="M430" s="211"/>
      <c r="N430" s="212"/>
      <c r="O430" s="577"/>
      <c r="P430" s="577"/>
      <c r="Q430" s="577"/>
      <c r="R430" s="577"/>
      <c r="S430" s="577"/>
      <c r="T430" s="213"/>
      <c r="U430" s="213"/>
      <c r="V430" s="213"/>
      <c r="W430" s="213"/>
      <c r="X430" s="213"/>
      <c r="Y430" s="213"/>
      <c r="Z430" s="213"/>
    </row>
    <row r="431" spans="1:26" s="210" customFormat="1" ht="13.15" customHeight="1">
      <c r="A431" s="206"/>
      <c r="B431" s="207"/>
      <c r="C431" s="208"/>
      <c r="D431" s="209"/>
      <c r="M431" s="211"/>
      <c r="N431" s="212"/>
      <c r="O431" s="577"/>
      <c r="P431" s="577"/>
      <c r="Q431" s="577"/>
      <c r="R431" s="577"/>
      <c r="S431" s="577"/>
      <c r="T431" s="213"/>
      <c r="U431" s="213"/>
      <c r="V431" s="213"/>
      <c r="W431" s="213"/>
      <c r="X431" s="213"/>
      <c r="Y431" s="213"/>
      <c r="Z431" s="213"/>
    </row>
    <row r="432" spans="1:26" s="210" customFormat="1" ht="13.15" customHeight="1">
      <c r="A432" s="206"/>
      <c r="B432" s="207"/>
      <c r="C432" s="208"/>
      <c r="D432" s="209"/>
      <c r="M432" s="211"/>
      <c r="N432" s="212"/>
      <c r="O432" s="577"/>
      <c r="P432" s="577"/>
      <c r="Q432" s="577"/>
      <c r="R432" s="577"/>
      <c r="S432" s="577"/>
      <c r="T432" s="213"/>
      <c r="U432" s="213"/>
      <c r="V432" s="213"/>
      <c r="W432" s="213"/>
      <c r="X432" s="213"/>
      <c r="Y432" s="213"/>
      <c r="Z432" s="213"/>
    </row>
    <row r="433" spans="1:26" s="210" customFormat="1" ht="13.15" customHeight="1">
      <c r="A433" s="206"/>
      <c r="B433" s="207"/>
      <c r="C433" s="208"/>
      <c r="D433" s="209"/>
      <c r="M433" s="211"/>
      <c r="N433" s="212"/>
      <c r="O433" s="577"/>
      <c r="P433" s="577"/>
      <c r="Q433" s="577"/>
      <c r="R433" s="577"/>
      <c r="S433" s="577"/>
      <c r="T433" s="213"/>
      <c r="U433" s="213"/>
      <c r="V433" s="213"/>
      <c r="W433" s="213"/>
      <c r="X433" s="213"/>
      <c r="Y433" s="213"/>
      <c r="Z433" s="213"/>
    </row>
    <row r="434" spans="1:26" s="210" customFormat="1" ht="13.15" customHeight="1">
      <c r="A434" s="206"/>
      <c r="B434" s="207"/>
      <c r="C434" s="208"/>
      <c r="D434" s="209"/>
      <c r="M434" s="211"/>
      <c r="N434" s="212"/>
      <c r="O434" s="577"/>
      <c r="P434" s="577"/>
      <c r="Q434" s="577"/>
      <c r="R434" s="577"/>
      <c r="S434" s="577"/>
      <c r="T434" s="213"/>
      <c r="U434" s="213"/>
      <c r="V434" s="213"/>
      <c r="W434" s="213"/>
      <c r="X434" s="213"/>
      <c r="Y434" s="213"/>
      <c r="Z434" s="213"/>
    </row>
    <row r="435" spans="1:26" s="210" customFormat="1" ht="13.15" customHeight="1">
      <c r="A435" s="206"/>
      <c r="B435" s="207"/>
      <c r="C435" s="208"/>
      <c r="D435" s="209"/>
      <c r="M435" s="211"/>
      <c r="N435" s="212"/>
      <c r="O435" s="577"/>
      <c r="P435" s="577"/>
      <c r="Q435" s="577"/>
      <c r="R435" s="577"/>
      <c r="S435" s="577"/>
      <c r="T435" s="213"/>
      <c r="U435" s="213"/>
      <c r="V435" s="213"/>
      <c r="W435" s="213"/>
      <c r="X435" s="213"/>
      <c r="Y435" s="213"/>
      <c r="Z435" s="213"/>
    </row>
    <row r="436" spans="1:26" s="210" customFormat="1" ht="13.15" customHeight="1">
      <c r="A436" s="206"/>
      <c r="B436" s="207"/>
      <c r="C436" s="208"/>
      <c r="D436" s="209"/>
      <c r="M436" s="211"/>
      <c r="N436" s="212"/>
      <c r="O436" s="577"/>
      <c r="P436" s="577"/>
      <c r="Q436" s="577"/>
      <c r="R436" s="577"/>
      <c r="S436" s="577"/>
      <c r="T436" s="213"/>
      <c r="U436" s="213"/>
      <c r="V436" s="213"/>
      <c r="W436" s="213"/>
      <c r="X436" s="213"/>
      <c r="Y436" s="213"/>
      <c r="Z436" s="213"/>
    </row>
    <row r="437" spans="1:26" s="210" customFormat="1" ht="13.15" customHeight="1">
      <c r="A437" s="206"/>
      <c r="B437" s="207"/>
      <c r="C437" s="208"/>
      <c r="D437" s="209"/>
      <c r="M437" s="211"/>
      <c r="N437" s="212"/>
      <c r="O437" s="577"/>
      <c r="P437" s="577"/>
      <c r="Q437" s="577"/>
      <c r="R437" s="577"/>
      <c r="S437" s="577"/>
      <c r="T437" s="213"/>
      <c r="U437" s="213"/>
      <c r="V437" s="213"/>
      <c r="W437" s="213"/>
      <c r="X437" s="213"/>
      <c r="Y437" s="213"/>
      <c r="Z437" s="213"/>
    </row>
    <row r="438" spans="1:26" s="210" customFormat="1" ht="13.15" customHeight="1">
      <c r="A438" s="206"/>
      <c r="B438" s="207"/>
      <c r="C438" s="208"/>
      <c r="D438" s="209"/>
      <c r="M438" s="211"/>
      <c r="N438" s="212"/>
      <c r="O438" s="577"/>
      <c r="P438" s="577"/>
      <c r="Q438" s="577"/>
      <c r="R438" s="577"/>
      <c r="S438" s="577"/>
      <c r="T438" s="213"/>
      <c r="U438" s="213"/>
      <c r="V438" s="213"/>
      <c r="W438" s="213"/>
      <c r="X438" s="213"/>
      <c r="Y438" s="213"/>
      <c r="Z438" s="213"/>
    </row>
    <row r="439" spans="1:26" s="210" customFormat="1" ht="13.15" customHeight="1">
      <c r="A439" s="206"/>
      <c r="B439" s="207"/>
      <c r="C439" s="208"/>
      <c r="D439" s="209"/>
      <c r="M439" s="211"/>
      <c r="N439" s="212"/>
      <c r="O439" s="577"/>
      <c r="P439" s="577"/>
      <c r="Q439" s="577"/>
      <c r="R439" s="577"/>
      <c r="S439" s="577"/>
      <c r="T439" s="213"/>
      <c r="U439" s="213"/>
      <c r="V439" s="213"/>
      <c r="W439" s="213"/>
      <c r="X439" s="213"/>
      <c r="Y439" s="213"/>
      <c r="Z439" s="213"/>
    </row>
    <row r="440" spans="1:26" s="210" customFormat="1" ht="13.15" customHeight="1">
      <c r="A440" s="206"/>
      <c r="B440" s="207"/>
      <c r="C440" s="208"/>
      <c r="D440" s="209"/>
      <c r="M440" s="211"/>
      <c r="N440" s="212"/>
      <c r="O440" s="577"/>
      <c r="P440" s="577"/>
      <c r="Q440" s="577"/>
      <c r="R440" s="577"/>
      <c r="S440" s="577"/>
      <c r="T440" s="213"/>
      <c r="U440" s="213"/>
      <c r="V440" s="213"/>
      <c r="W440" s="213"/>
      <c r="X440" s="213"/>
      <c r="Y440" s="213"/>
      <c r="Z440" s="213"/>
    </row>
    <row r="441" spans="1:26" s="210" customFormat="1" ht="13.15" customHeight="1">
      <c r="A441" s="206"/>
      <c r="B441" s="207"/>
      <c r="C441" s="208"/>
      <c r="D441" s="209"/>
      <c r="M441" s="211"/>
      <c r="N441" s="212"/>
      <c r="O441" s="577"/>
      <c r="P441" s="577"/>
      <c r="Q441" s="577"/>
      <c r="R441" s="577"/>
      <c r="S441" s="577"/>
      <c r="T441" s="213"/>
      <c r="U441" s="213"/>
      <c r="V441" s="213"/>
      <c r="W441" s="213"/>
      <c r="X441" s="213"/>
      <c r="Y441" s="213"/>
      <c r="Z441" s="213"/>
    </row>
    <row r="442" spans="1:26" s="210" customFormat="1" ht="13.15" customHeight="1">
      <c r="A442" s="206"/>
      <c r="B442" s="207"/>
      <c r="C442" s="208"/>
      <c r="D442" s="209"/>
      <c r="M442" s="211"/>
      <c r="N442" s="212"/>
      <c r="O442" s="577"/>
      <c r="P442" s="577"/>
      <c r="Q442" s="577"/>
      <c r="R442" s="577"/>
      <c r="S442" s="577"/>
      <c r="T442" s="213"/>
      <c r="U442" s="213"/>
      <c r="V442" s="213"/>
      <c r="W442" s="213"/>
      <c r="X442" s="213"/>
      <c r="Y442" s="213"/>
      <c r="Z442" s="213"/>
    </row>
    <row r="443" spans="1:26" s="210" customFormat="1" ht="13.15" customHeight="1">
      <c r="A443" s="206"/>
      <c r="B443" s="207"/>
      <c r="C443" s="208"/>
      <c r="D443" s="209"/>
      <c r="M443" s="211"/>
      <c r="N443" s="212"/>
      <c r="O443" s="577"/>
      <c r="P443" s="577"/>
      <c r="Q443" s="577"/>
      <c r="R443" s="577"/>
      <c r="S443" s="577"/>
      <c r="T443" s="213"/>
      <c r="U443" s="213"/>
      <c r="V443" s="213"/>
      <c r="W443" s="213"/>
      <c r="X443" s="213"/>
      <c r="Y443" s="213"/>
      <c r="Z443" s="213"/>
    </row>
    <row r="444" spans="1:26" s="210" customFormat="1" ht="13.15" customHeight="1">
      <c r="A444" s="206"/>
      <c r="B444" s="207"/>
      <c r="C444" s="208"/>
      <c r="D444" s="209"/>
      <c r="M444" s="211"/>
      <c r="N444" s="212"/>
      <c r="O444" s="577"/>
      <c r="P444" s="577"/>
      <c r="Q444" s="577"/>
      <c r="R444" s="577"/>
      <c r="S444" s="577"/>
      <c r="T444" s="213"/>
      <c r="U444" s="213"/>
      <c r="V444" s="213"/>
      <c r="W444" s="213"/>
      <c r="X444" s="213"/>
      <c r="Y444" s="213"/>
      <c r="Z444" s="213"/>
    </row>
    <row r="445" spans="1:26" s="210" customFormat="1" ht="13.15" customHeight="1">
      <c r="A445" s="206"/>
      <c r="B445" s="207"/>
      <c r="C445" s="208"/>
      <c r="D445" s="209"/>
      <c r="M445" s="211"/>
      <c r="N445" s="212"/>
      <c r="O445" s="577"/>
      <c r="P445" s="577"/>
      <c r="Q445" s="577"/>
      <c r="R445" s="577"/>
      <c r="S445" s="577"/>
      <c r="T445" s="213"/>
      <c r="U445" s="213"/>
      <c r="V445" s="213"/>
      <c r="W445" s="213"/>
      <c r="X445" s="213"/>
      <c r="Y445" s="213"/>
      <c r="Z445" s="213"/>
    </row>
    <row r="446" spans="1:26" s="210" customFormat="1" ht="13.15" customHeight="1">
      <c r="A446" s="206"/>
      <c r="B446" s="207"/>
      <c r="C446" s="208"/>
      <c r="D446" s="209"/>
      <c r="M446" s="211"/>
      <c r="N446" s="212"/>
      <c r="O446" s="577"/>
      <c r="P446" s="577"/>
      <c r="Q446" s="577"/>
      <c r="R446" s="577"/>
      <c r="S446" s="577"/>
      <c r="T446" s="213"/>
      <c r="U446" s="213"/>
      <c r="V446" s="213"/>
      <c r="W446" s="213"/>
      <c r="X446" s="213"/>
      <c r="Y446" s="213"/>
      <c r="Z446" s="213"/>
    </row>
    <row r="447" spans="1:26" s="210" customFormat="1" ht="13.15" customHeight="1">
      <c r="A447" s="206"/>
      <c r="B447" s="207"/>
      <c r="C447" s="208"/>
      <c r="D447" s="209"/>
      <c r="M447" s="211"/>
      <c r="N447" s="212"/>
      <c r="O447" s="577"/>
      <c r="P447" s="577"/>
      <c r="Q447" s="577"/>
      <c r="R447" s="577"/>
      <c r="S447" s="577"/>
      <c r="T447" s="213"/>
      <c r="U447" s="213"/>
      <c r="V447" s="213"/>
      <c r="W447" s="213"/>
      <c r="X447" s="213"/>
      <c r="Y447" s="213"/>
      <c r="Z447" s="213"/>
    </row>
    <row r="448" spans="1:26" s="210" customFormat="1" ht="13.15" customHeight="1">
      <c r="A448" s="206"/>
      <c r="B448" s="207"/>
      <c r="C448" s="208"/>
      <c r="D448" s="209"/>
      <c r="M448" s="211"/>
      <c r="N448" s="212"/>
      <c r="O448" s="577"/>
      <c r="P448" s="577"/>
      <c r="Q448" s="577"/>
      <c r="R448" s="577"/>
      <c r="S448" s="577"/>
      <c r="T448" s="213"/>
      <c r="U448" s="213"/>
      <c r="V448" s="213"/>
      <c r="W448" s="213"/>
      <c r="X448" s="213"/>
      <c r="Y448" s="213"/>
      <c r="Z448" s="213"/>
    </row>
    <row r="449" spans="1:26" s="210" customFormat="1" ht="13.15" customHeight="1">
      <c r="A449" s="206"/>
      <c r="B449" s="207"/>
      <c r="C449" s="208"/>
      <c r="D449" s="209"/>
      <c r="M449" s="211"/>
      <c r="N449" s="212"/>
      <c r="O449" s="577"/>
      <c r="P449" s="577"/>
      <c r="Q449" s="577"/>
      <c r="R449" s="577"/>
      <c r="S449" s="577"/>
      <c r="T449" s="213"/>
      <c r="U449" s="213"/>
      <c r="V449" s="213"/>
      <c r="W449" s="213"/>
      <c r="X449" s="213"/>
      <c r="Y449" s="213"/>
      <c r="Z449" s="213"/>
    </row>
    <row r="450" spans="1:26" s="210" customFormat="1" ht="13.15" customHeight="1">
      <c r="A450" s="206"/>
      <c r="B450" s="207"/>
      <c r="C450" s="208"/>
      <c r="D450" s="209"/>
      <c r="M450" s="211"/>
      <c r="N450" s="212"/>
      <c r="O450" s="577"/>
      <c r="P450" s="577"/>
      <c r="Q450" s="577"/>
      <c r="R450" s="577"/>
      <c r="S450" s="577"/>
      <c r="T450" s="213"/>
      <c r="U450" s="213"/>
      <c r="V450" s="213"/>
      <c r="W450" s="213"/>
      <c r="X450" s="213"/>
      <c r="Y450" s="213"/>
      <c r="Z450" s="213"/>
    </row>
    <row r="451" spans="1:26" s="210" customFormat="1" ht="13.15" customHeight="1">
      <c r="A451" s="206"/>
      <c r="B451" s="207"/>
      <c r="C451" s="208"/>
      <c r="D451" s="209"/>
      <c r="M451" s="211"/>
      <c r="N451" s="212"/>
      <c r="O451" s="577"/>
      <c r="P451" s="577"/>
      <c r="Q451" s="577"/>
      <c r="R451" s="577"/>
      <c r="S451" s="577"/>
      <c r="T451" s="213"/>
      <c r="U451" s="213"/>
      <c r="V451" s="213"/>
      <c r="W451" s="213"/>
      <c r="X451" s="213"/>
      <c r="Y451" s="213"/>
      <c r="Z451" s="213"/>
    </row>
    <row r="452" spans="1:26" s="210" customFormat="1" ht="13.15" customHeight="1">
      <c r="A452" s="206"/>
      <c r="B452" s="207"/>
      <c r="C452" s="208"/>
      <c r="D452" s="209"/>
      <c r="M452" s="211"/>
      <c r="N452" s="212"/>
      <c r="O452" s="577"/>
      <c r="P452" s="577"/>
      <c r="Q452" s="577"/>
      <c r="R452" s="577"/>
      <c r="S452" s="577"/>
      <c r="T452" s="213"/>
      <c r="U452" s="213"/>
      <c r="V452" s="213"/>
      <c r="W452" s="213"/>
      <c r="X452" s="213"/>
      <c r="Y452" s="213"/>
      <c r="Z452" s="213"/>
    </row>
    <row r="453" spans="1:26" s="210" customFormat="1" ht="13.15" customHeight="1">
      <c r="A453" s="206"/>
      <c r="B453" s="207"/>
      <c r="C453" s="208"/>
      <c r="D453" s="209"/>
      <c r="M453" s="211"/>
      <c r="N453" s="212"/>
      <c r="O453" s="577"/>
      <c r="P453" s="577"/>
      <c r="Q453" s="577"/>
      <c r="R453" s="577"/>
      <c r="S453" s="577"/>
      <c r="T453" s="213"/>
      <c r="U453" s="213"/>
      <c r="V453" s="213"/>
      <c r="W453" s="213"/>
      <c r="X453" s="213"/>
      <c r="Y453" s="213"/>
      <c r="Z453" s="213"/>
    </row>
    <row r="454" spans="1:26" s="210" customFormat="1" ht="13.15" customHeight="1">
      <c r="A454" s="206"/>
      <c r="B454" s="207"/>
      <c r="C454" s="208"/>
      <c r="D454" s="209"/>
      <c r="M454" s="211"/>
      <c r="N454" s="212"/>
      <c r="O454" s="577"/>
      <c r="P454" s="577"/>
      <c r="Q454" s="577"/>
      <c r="R454" s="577"/>
      <c r="S454" s="577"/>
      <c r="T454" s="213"/>
      <c r="U454" s="213"/>
      <c r="V454" s="213"/>
      <c r="W454" s="213"/>
      <c r="X454" s="213"/>
      <c r="Y454" s="213"/>
      <c r="Z454" s="213"/>
    </row>
    <row r="455" spans="1:26" s="210" customFormat="1" ht="13.15" customHeight="1">
      <c r="A455" s="206"/>
      <c r="B455" s="207"/>
      <c r="C455" s="208"/>
      <c r="D455" s="209"/>
      <c r="M455" s="211"/>
      <c r="N455" s="212"/>
      <c r="O455" s="577"/>
      <c r="P455" s="577"/>
      <c r="Q455" s="577"/>
      <c r="R455" s="577"/>
      <c r="S455" s="577"/>
      <c r="T455" s="213"/>
      <c r="U455" s="213"/>
      <c r="V455" s="213"/>
      <c r="W455" s="213"/>
      <c r="X455" s="213"/>
      <c r="Y455" s="213"/>
      <c r="Z455" s="213"/>
    </row>
    <row r="456" spans="1:26" s="210" customFormat="1" ht="13.15" customHeight="1">
      <c r="A456" s="206"/>
      <c r="B456" s="207"/>
      <c r="C456" s="208"/>
      <c r="D456" s="209"/>
      <c r="M456" s="211"/>
      <c r="N456" s="212"/>
      <c r="O456" s="577"/>
      <c r="P456" s="577"/>
      <c r="Q456" s="577"/>
      <c r="R456" s="577"/>
      <c r="S456" s="577"/>
      <c r="T456" s="213"/>
      <c r="U456" s="213"/>
      <c r="V456" s="213"/>
      <c r="W456" s="213"/>
      <c r="X456" s="213"/>
      <c r="Y456" s="213"/>
      <c r="Z456" s="213"/>
    </row>
    <row r="457" spans="1:26" s="210" customFormat="1" ht="13.15" customHeight="1">
      <c r="A457" s="206"/>
      <c r="B457" s="207"/>
      <c r="C457" s="208"/>
      <c r="D457" s="209"/>
      <c r="M457" s="211"/>
      <c r="N457" s="212"/>
      <c r="O457" s="577"/>
      <c r="P457" s="577"/>
      <c r="Q457" s="577"/>
      <c r="R457" s="577"/>
      <c r="S457" s="577"/>
      <c r="T457" s="213"/>
      <c r="U457" s="213"/>
      <c r="V457" s="213"/>
      <c r="W457" s="213"/>
      <c r="X457" s="213"/>
      <c r="Y457" s="213"/>
      <c r="Z457" s="213"/>
    </row>
    <row r="458" spans="1:26" s="210" customFormat="1" ht="13.15" customHeight="1">
      <c r="A458" s="206"/>
      <c r="B458" s="207"/>
      <c r="C458" s="208"/>
      <c r="D458" s="209"/>
      <c r="M458" s="211"/>
      <c r="N458" s="212"/>
      <c r="O458" s="577"/>
      <c r="P458" s="577"/>
      <c r="Q458" s="577"/>
      <c r="R458" s="577"/>
      <c r="S458" s="577"/>
      <c r="T458" s="213"/>
      <c r="U458" s="213"/>
      <c r="V458" s="213"/>
      <c r="W458" s="213"/>
      <c r="X458" s="213"/>
      <c r="Y458" s="213"/>
      <c r="Z458" s="213"/>
    </row>
    <row r="459" spans="1:26" s="210" customFormat="1" ht="13.15" customHeight="1">
      <c r="A459" s="206"/>
      <c r="B459" s="207"/>
      <c r="C459" s="208"/>
      <c r="D459" s="209"/>
      <c r="M459" s="211"/>
      <c r="N459" s="212"/>
      <c r="O459" s="577"/>
      <c r="P459" s="577"/>
      <c r="Q459" s="577"/>
      <c r="R459" s="577"/>
      <c r="S459" s="577"/>
      <c r="T459" s="213"/>
      <c r="U459" s="213"/>
      <c r="V459" s="213"/>
      <c r="W459" s="213"/>
      <c r="X459" s="213"/>
      <c r="Y459" s="213"/>
      <c r="Z459" s="213"/>
    </row>
    <row r="460" spans="1:26" s="210" customFormat="1" ht="13.15" customHeight="1">
      <c r="A460" s="206"/>
      <c r="B460" s="207"/>
      <c r="C460" s="208"/>
      <c r="D460" s="209"/>
      <c r="M460" s="211"/>
      <c r="N460" s="212"/>
      <c r="O460" s="577"/>
      <c r="P460" s="577"/>
      <c r="Q460" s="577"/>
      <c r="R460" s="577"/>
      <c r="S460" s="577"/>
      <c r="T460" s="213"/>
      <c r="U460" s="213"/>
      <c r="V460" s="213"/>
      <c r="W460" s="213"/>
      <c r="X460" s="213"/>
      <c r="Y460" s="213"/>
      <c r="Z460" s="213"/>
    </row>
    <row r="461" spans="1:26" s="210" customFormat="1" ht="13.15" customHeight="1">
      <c r="A461" s="206"/>
      <c r="B461" s="207"/>
      <c r="C461" s="208"/>
      <c r="D461" s="209"/>
      <c r="M461" s="211"/>
      <c r="N461" s="212"/>
      <c r="O461" s="577"/>
      <c r="P461" s="577"/>
      <c r="Q461" s="577"/>
      <c r="R461" s="577"/>
      <c r="S461" s="577"/>
      <c r="T461" s="213"/>
      <c r="U461" s="213"/>
      <c r="V461" s="213"/>
      <c r="W461" s="213"/>
      <c r="X461" s="213"/>
      <c r="Y461" s="213"/>
      <c r="Z461" s="213"/>
    </row>
    <row r="462" spans="1:26" s="210" customFormat="1" ht="13.15" customHeight="1">
      <c r="A462" s="206"/>
      <c r="B462" s="207"/>
      <c r="C462" s="208"/>
      <c r="D462" s="209"/>
      <c r="M462" s="211"/>
      <c r="N462" s="212"/>
      <c r="O462" s="577"/>
      <c r="P462" s="577"/>
      <c r="Q462" s="577"/>
      <c r="R462" s="577"/>
      <c r="S462" s="577"/>
      <c r="T462" s="213"/>
      <c r="U462" s="213"/>
      <c r="V462" s="213"/>
      <c r="W462" s="213"/>
      <c r="X462" s="213"/>
      <c r="Y462" s="213"/>
      <c r="Z462" s="213"/>
    </row>
    <row r="463" spans="1:26" s="210" customFormat="1" ht="13.15" customHeight="1">
      <c r="A463" s="206"/>
      <c r="B463" s="207"/>
      <c r="C463" s="208"/>
      <c r="D463" s="209"/>
      <c r="M463" s="211"/>
      <c r="N463" s="212"/>
      <c r="O463" s="577"/>
      <c r="P463" s="577"/>
      <c r="Q463" s="577"/>
      <c r="R463" s="577"/>
      <c r="S463" s="577"/>
      <c r="T463" s="213"/>
      <c r="U463" s="213"/>
      <c r="V463" s="213"/>
      <c r="W463" s="213"/>
      <c r="X463" s="213"/>
      <c r="Y463" s="213"/>
      <c r="Z463" s="213"/>
    </row>
    <row r="464" spans="1:26" s="210" customFormat="1" ht="13.15" customHeight="1">
      <c r="A464" s="206"/>
      <c r="B464" s="207"/>
      <c r="C464" s="208"/>
      <c r="D464" s="209"/>
      <c r="M464" s="211"/>
      <c r="N464" s="212"/>
      <c r="O464" s="577"/>
      <c r="P464" s="577"/>
      <c r="Q464" s="577"/>
      <c r="R464" s="577"/>
      <c r="S464" s="577"/>
      <c r="T464" s="213"/>
      <c r="U464" s="213"/>
      <c r="V464" s="213"/>
      <c r="W464" s="213"/>
      <c r="X464" s="213"/>
      <c r="Y464" s="213"/>
      <c r="Z464" s="213"/>
    </row>
    <row r="465" spans="1:26" s="210" customFormat="1" ht="13.15" customHeight="1">
      <c r="A465" s="206"/>
      <c r="B465" s="207"/>
      <c r="C465" s="208"/>
      <c r="D465" s="209"/>
      <c r="M465" s="211"/>
      <c r="N465" s="212"/>
      <c r="O465" s="577"/>
      <c r="P465" s="577"/>
      <c r="Q465" s="577"/>
      <c r="R465" s="577"/>
      <c r="S465" s="577"/>
      <c r="T465" s="213"/>
      <c r="U465" s="213"/>
      <c r="V465" s="213"/>
      <c r="W465" s="213"/>
      <c r="X465" s="213"/>
      <c r="Y465" s="213"/>
      <c r="Z465" s="213"/>
    </row>
    <row r="466" spans="1:26" s="210" customFormat="1" ht="13.15" customHeight="1">
      <c r="A466" s="206"/>
      <c r="B466" s="207"/>
      <c r="C466" s="208"/>
      <c r="D466" s="209"/>
      <c r="M466" s="211"/>
      <c r="N466" s="212"/>
      <c r="O466" s="577"/>
      <c r="P466" s="577"/>
      <c r="Q466" s="577"/>
      <c r="R466" s="577"/>
      <c r="S466" s="577"/>
      <c r="T466" s="213"/>
      <c r="U466" s="213"/>
      <c r="V466" s="213"/>
      <c r="W466" s="213"/>
      <c r="X466" s="213"/>
      <c r="Y466" s="213"/>
      <c r="Z466" s="213"/>
    </row>
    <row r="467" spans="1:26" s="210" customFormat="1" ht="13.15" customHeight="1">
      <c r="A467" s="206"/>
      <c r="B467" s="207"/>
      <c r="C467" s="208"/>
      <c r="D467" s="209"/>
      <c r="M467" s="211"/>
      <c r="N467" s="212"/>
      <c r="O467" s="577"/>
      <c r="P467" s="577"/>
      <c r="Q467" s="577"/>
      <c r="R467" s="577"/>
      <c r="S467" s="577"/>
      <c r="T467" s="213"/>
      <c r="U467" s="213"/>
      <c r="V467" s="213"/>
      <c r="W467" s="213"/>
      <c r="X467" s="213"/>
      <c r="Y467" s="213"/>
      <c r="Z467" s="213"/>
    </row>
    <row r="468" spans="1:26" s="210" customFormat="1" ht="13.15" customHeight="1">
      <c r="A468" s="206"/>
      <c r="B468" s="207"/>
      <c r="C468" s="208"/>
      <c r="D468" s="209"/>
      <c r="M468" s="211"/>
      <c r="N468" s="212"/>
      <c r="O468" s="577"/>
      <c r="P468" s="577"/>
      <c r="Q468" s="577"/>
      <c r="R468" s="577"/>
      <c r="S468" s="577"/>
      <c r="T468" s="213"/>
      <c r="U468" s="213"/>
      <c r="V468" s="213"/>
      <c r="W468" s="213"/>
      <c r="X468" s="213"/>
      <c r="Y468" s="213"/>
      <c r="Z468" s="213"/>
    </row>
    <row r="469" spans="1:26" s="210" customFormat="1" ht="13.15" customHeight="1">
      <c r="A469" s="206"/>
      <c r="B469" s="207"/>
      <c r="C469" s="208"/>
      <c r="D469" s="209"/>
      <c r="M469" s="211"/>
      <c r="N469" s="212"/>
      <c r="O469" s="577"/>
      <c r="P469" s="577"/>
      <c r="Q469" s="577"/>
      <c r="R469" s="577"/>
      <c r="S469" s="577"/>
      <c r="T469" s="213"/>
      <c r="U469" s="213"/>
      <c r="V469" s="213"/>
      <c r="W469" s="213"/>
      <c r="X469" s="213"/>
      <c r="Y469" s="213"/>
      <c r="Z469" s="213"/>
    </row>
    <row r="470" spans="1:26" s="210" customFormat="1" ht="13.15" customHeight="1">
      <c r="A470" s="206"/>
      <c r="B470" s="207"/>
      <c r="C470" s="208"/>
      <c r="D470" s="209"/>
      <c r="M470" s="211"/>
      <c r="N470" s="212"/>
      <c r="O470" s="577"/>
      <c r="P470" s="577"/>
      <c r="Q470" s="577"/>
      <c r="R470" s="577"/>
      <c r="S470" s="577"/>
      <c r="T470" s="213"/>
      <c r="U470" s="213"/>
      <c r="V470" s="213"/>
      <c r="W470" s="213"/>
      <c r="X470" s="213"/>
      <c r="Y470" s="213"/>
      <c r="Z470" s="213"/>
    </row>
    <row r="471" spans="1:26" s="210" customFormat="1" ht="13.15" customHeight="1">
      <c r="A471" s="206"/>
      <c r="B471" s="207"/>
      <c r="C471" s="208"/>
      <c r="D471" s="209"/>
      <c r="M471" s="211"/>
      <c r="N471" s="212"/>
      <c r="O471" s="577"/>
      <c r="P471" s="577"/>
      <c r="Q471" s="577"/>
      <c r="R471" s="577"/>
      <c r="S471" s="577"/>
      <c r="T471" s="213"/>
      <c r="U471" s="213"/>
      <c r="V471" s="213"/>
      <c r="W471" s="213"/>
      <c r="X471" s="213"/>
      <c r="Y471" s="213"/>
      <c r="Z471" s="213"/>
    </row>
    <row r="472" spans="1:26" s="210" customFormat="1" ht="13.15" customHeight="1">
      <c r="A472" s="206"/>
      <c r="B472" s="207"/>
      <c r="C472" s="208"/>
      <c r="D472" s="209"/>
      <c r="M472" s="211"/>
      <c r="N472" s="212"/>
      <c r="O472" s="577"/>
      <c r="P472" s="577"/>
      <c r="Q472" s="577"/>
      <c r="R472" s="577"/>
      <c r="S472" s="577"/>
      <c r="T472" s="213"/>
      <c r="U472" s="213"/>
      <c r="V472" s="213"/>
      <c r="W472" s="213"/>
      <c r="X472" s="213"/>
      <c r="Y472" s="213"/>
      <c r="Z472" s="213"/>
    </row>
    <row r="473" spans="1:26" s="210" customFormat="1" ht="13.15" customHeight="1">
      <c r="A473" s="206"/>
      <c r="B473" s="207"/>
      <c r="C473" s="208"/>
      <c r="D473" s="209"/>
      <c r="M473" s="211"/>
      <c r="N473" s="212"/>
      <c r="O473" s="577"/>
      <c r="P473" s="577"/>
      <c r="Q473" s="577"/>
      <c r="R473" s="577"/>
      <c r="S473" s="577"/>
      <c r="T473" s="213"/>
      <c r="U473" s="213"/>
      <c r="V473" s="213"/>
      <c r="W473" s="213"/>
      <c r="X473" s="213"/>
      <c r="Y473" s="213"/>
      <c r="Z473" s="213"/>
    </row>
    <row r="474" spans="1:26" s="210" customFormat="1" ht="13.15" customHeight="1">
      <c r="A474" s="206"/>
      <c r="B474" s="207"/>
      <c r="C474" s="208"/>
      <c r="D474" s="209"/>
      <c r="M474" s="211"/>
      <c r="N474" s="212"/>
      <c r="O474" s="577"/>
      <c r="P474" s="577"/>
      <c r="Q474" s="577"/>
      <c r="R474" s="577"/>
      <c r="S474" s="577"/>
      <c r="T474" s="213"/>
      <c r="U474" s="213"/>
      <c r="V474" s="213"/>
      <c r="W474" s="213"/>
      <c r="X474" s="213"/>
      <c r="Y474" s="213"/>
      <c r="Z474" s="213"/>
    </row>
    <row r="475" spans="1:26" s="210" customFormat="1" ht="13.15" customHeight="1">
      <c r="A475" s="206"/>
      <c r="B475" s="207"/>
      <c r="C475" s="208"/>
      <c r="D475" s="209"/>
      <c r="M475" s="211"/>
      <c r="N475" s="212"/>
      <c r="O475" s="577"/>
      <c r="P475" s="577"/>
      <c r="Q475" s="577"/>
      <c r="R475" s="577"/>
      <c r="S475" s="577"/>
      <c r="T475" s="213"/>
      <c r="U475" s="213"/>
      <c r="V475" s="213"/>
      <c r="W475" s="213"/>
      <c r="X475" s="213"/>
      <c r="Y475" s="213"/>
      <c r="Z475" s="213"/>
    </row>
    <row r="476" spans="1:26" s="210" customFormat="1" ht="13.15" customHeight="1">
      <c r="A476" s="206"/>
      <c r="B476" s="207"/>
      <c r="C476" s="208"/>
      <c r="D476" s="209"/>
      <c r="M476" s="211"/>
      <c r="N476" s="212"/>
      <c r="O476" s="577"/>
      <c r="P476" s="577"/>
      <c r="Q476" s="577"/>
      <c r="R476" s="577"/>
      <c r="S476" s="577"/>
      <c r="T476" s="213"/>
      <c r="U476" s="213"/>
      <c r="V476" s="213"/>
      <c r="W476" s="213"/>
      <c r="X476" s="213"/>
      <c r="Y476" s="213"/>
      <c r="Z476" s="213"/>
    </row>
    <row r="477" spans="1:26" s="210" customFormat="1" ht="13.15" customHeight="1">
      <c r="A477" s="206"/>
      <c r="B477" s="207"/>
      <c r="C477" s="208"/>
      <c r="D477" s="209"/>
      <c r="M477" s="211"/>
      <c r="N477" s="212"/>
      <c r="O477" s="577"/>
      <c r="P477" s="577"/>
      <c r="Q477" s="577"/>
      <c r="R477" s="577"/>
      <c r="S477" s="577"/>
      <c r="T477" s="213"/>
      <c r="U477" s="213"/>
      <c r="V477" s="213"/>
      <c r="W477" s="213"/>
      <c r="X477" s="213"/>
      <c r="Y477" s="213"/>
      <c r="Z477" s="213"/>
    </row>
    <row r="478" spans="1:26" s="210" customFormat="1" ht="13.15" customHeight="1">
      <c r="A478" s="206"/>
      <c r="B478" s="207"/>
      <c r="C478" s="208"/>
      <c r="D478" s="209"/>
      <c r="M478" s="211"/>
      <c r="N478" s="212"/>
      <c r="O478" s="577"/>
      <c r="P478" s="577"/>
      <c r="Q478" s="577"/>
      <c r="R478" s="577"/>
      <c r="S478" s="577"/>
      <c r="T478" s="213"/>
      <c r="U478" s="213"/>
      <c r="V478" s="213"/>
      <c r="W478" s="213"/>
      <c r="X478" s="213"/>
      <c r="Y478" s="213"/>
      <c r="Z478" s="213"/>
    </row>
    <row r="479" spans="1:26" s="210" customFormat="1" ht="13.15" customHeight="1">
      <c r="A479" s="206"/>
      <c r="B479" s="207"/>
      <c r="C479" s="208"/>
      <c r="D479" s="209"/>
      <c r="M479" s="211"/>
      <c r="N479" s="212"/>
      <c r="O479" s="577"/>
      <c r="P479" s="577"/>
      <c r="Q479" s="577"/>
      <c r="R479" s="577"/>
      <c r="S479" s="577"/>
      <c r="T479" s="213"/>
      <c r="U479" s="213"/>
      <c r="V479" s="213"/>
      <c r="W479" s="213"/>
      <c r="X479" s="213"/>
      <c r="Y479" s="213"/>
      <c r="Z479" s="213"/>
    </row>
    <row r="480" spans="1:26" s="210" customFormat="1" ht="13.15" customHeight="1">
      <c r="A480" s="206"/>
      <c r="B480" s="207"/>
      <c r="C480" s="208"/>
      <c r="D480" s="209"/>
      <c r="M480" s="211"/>
      <c r="N480" s="212"/>
      <c r="O480" s="577"/>
      <c r="P480" s="577"/>
      <c r="Q480" s="577"/>
      <c r="R480" s="577"/>
      <c r="S480" s="577"/>
      <c r="T480" s="213"/>
      <c r="U480" s="213"/>
      <c r="V480" s="213"/>
      <c r="W480" s="213"/>
      <c r="X480" s="213"/>
      <c r="Y480" s="213"/>
      <c r="Z480" s="213"/>
    </row>
    <row r="481" spans="1:26" s="210" customFormat="1" ht="13.15" customHeight="1">
      <c r="A481" s="206"/>
      <c r="B481" s="207"/>
      <c r="C481" s="208"/>
      <c r="D481" s="209"/>
      <c r="M481" s="211"/>
      <c r="N481" s="212"/>
      <c r="O481" s="577"/>
      <c r="P481" s="577"/>
      <c r="Q481" s="577"/>
      <c r="R481" s="577"/>
      <c r="S481" s="577"/>
      <c r="T481" s="213"/>
      <c r="U481" s="213"/>
      <c r="V481" s="213"/>
      <c r="W481" s="213"/>
      <c r="X481" s="213"/>
      <c r="Y481" s="213"/>
      <c r="Z481" s="213"/>
    </row>
    <row r="482" spans="1:26" s="210" customFormat="1" ht="13.15" customHeight="1">
      <c r="A482" s="206"/>
      <c r="B482" s="207"/>
      <c r="C482" s="208"/>
      <c r="D482" s="209"/>
      <c r="M482" s="211"/>
      <c r="N482" s="212"/>
      <c r="O482" s="577"/>
      <c r="P482" s="577"/>
      <c r="Q482" s="577"/>
      <c r="R482" s="577"/>
      <c r="S482" s="577"/>
      <c r="T482" s="213"/>
      <c r="U482" s="213"/>
      <c r="V482" s="213"/>
      <c r="W482" s="213"/>
      <c r="X482" s="213"/>
      <c r="Y482" s="213"/>
      <c r="Z482" s="213"/>
    </row>
    <row r="483" spans="1:26" s="210" customFormat="1" ht="13.15" customHeight="1">
      <c r="A483" s="206"/>
      <c r="B483" s="207"/>
      <c r="C483" s="208"/>
      <c r="D483" s="209"/>
      <c r="M483" s="211"/>
      <c r="N483" s="212"/>
      <c r="O483" s="577"/>
      <c r="P483" s="577"/>
      <c r="Q483" s="577"/>
      <c r="R483" s="577"/>
      <c r="S483" s="577"/>
      <c r="T483" s="213"/>
      <c r="U483" s="213"/>
      <c r="V483" s="213"/>
      <c r="W483" s="213"/>
      <c r="X483" s="213"/>
      <c r="Y483" s="213"/>
      <c r="Z483" s="213"/>
    </row>
    <row r="484" spans="1:26" s="210" customFormat="1" ht="13.15" customHeight="1">
      <c r="A484" s="206"/>
      <c r="B484" s="207"/>
      <c r="C484" s="208"/>
      <c r="D484" s="209"/>
      <c r="M484" s="211"/>
      <c r="N484" s="212"/>
      <c r="O484" s="577"/>
      <c r="P484" s="577"/>
      <c r="Q484" s="577"/>
      <c r="R484" s="577"/>
      <c r="S484" s="577"/>
      <c r="T484" s="213"/>
      <c r="U484" s="213"/>
      <c r="V484" s="213"/>
      <c r="W484" s="213"/>
      <c r="X484" s="213"/>
      <c r="Y484" s="213"/>
      <c r="Z484" s="213"/>
    </row>
    <row r="485" spans="1:26" s="210" customFormat="1" ht="13.15" customHeight="1">
      <c r="A485" s="206"/>
      <c r="B485" s="207"/>
      <c r="C485" s="208"/>
      <c r="D485" s="209"/>
      <c r="M485" s="211"/>
      <c r="N485" s="212"/>
      <c r="O485" s="577"/>
      <c r="P485" s="577"/>
      <c r="Q485" s="577"/>
      <c r="R485" s="577"/>
      <c r="S485" s="577"/>
      <c r="T485" s="213"/>
      <c r="U485" s="213"/>
      <c r="V485" s="213"/>
      <c r="W485" s="213"/>
      <c r="X485" s="213"/>
      <c r="Y485" s="213"/>
      <c r="Z485" s="213"/>
    </row>
    <row r="486" spans="1:26" s="210" customFormat="1" ht="13.15" customHeight="1">
      <c r="A486" s="206"/>
      <c r="B486" s="207"/>
      <c r="C486" s="208"/>
      <c r="D486" s="209"/>
      <c r="M486" s="211"/>
      <c r="N486" s="212"/>
      <c r="O486" s="577"/>
      <c r="P486" s="577"/>
      <c r="Q486" s="577"/>
      <c r="R486" s="577"/>
      <c r="S486" s="577"/>
      <c r="T486" s="213"/>
      <c r="U486" s="213"/>
      <c r="V486" s="213"/>
      <c r="W486" s="213"/>
      <c r="X486" s="213"/>
      <c r="Y486" s="213"/>
      <c r="Z486" s="213"/>
    </row>
    <row r="487" spans="1:26" s="210" customFormat="1" ht="13.15" customHeight="1">
      <c r="A487" s="206"/>
      <c r="B487" s="207"/>
      <c r="C487" s="208"/>
      <c r="D487" s="209"/>
      <c r="M487" s="211"/>
      <c r="N487" s="212"/>
      <c r="O487" s="577"/>
      <c r="P487" s="577"/>
      <c r="Q487" s="577"/>
      <c r="R487" s="577"/>
      <c r="S487" s="577"/>
      <c r="T487" s="213"/>
      <c r="U487" s="213"/>
      <c r="V487" s="213"/>
      <c r="W487" s="213"/>
      <c r="X487" s="213"/>
      <c r="Y487" s="213"/>
      <c r="Z487" s="213"/>
    </row>
    <row r="488" spans="1:26" s="210" customFormat="1" ht="13.15" customHeight="1">
      <c r="A488" s="206"/>
      <c r="B488" s="207"/>
      <c r="C488" s="208"/>
      <c r="D488" s="209"/>
      <c r="M488" s="211"/>
      <c r="N488" s="212"/>
      <c r="O488" s="577"/>
      <c r="P488" s="577"/>
      <c r="Q488" s="577"/>
      <c r="R488" s="577"/>
      <c r="S488" s="577"/>
      <c r="T488" s="213"/>
      <c r="U488" s="213"/>
      <c r="V488" s="213"/>
      <c r="W488" s="213"/>
      <c r="X488" s="213"/>
      <c r="Y488" s="213"/>
      <c r="Z488" s="213"/>
    </row>
    <row r="489" spans="1:26" s="210" customFormat="1" ht="13.15" customHeight="1">
      <c r="A489" s="206"/>
      <c r="B489" s="207"/>
      <c r="C489" s="208"/>
      <c r="D489" s="209"/>
      <c r="M489" s="211"/>
      <c r="N489" s="212"/>
      <c r="O489" s="577"/>
      <c r="P489" s="577"/>
      <c r="Q489" s="577"/>
      <c r="R489" s="577"/>
      <c r="S489" s="577"/>
      <c r="T489" s="213"/>
      <c r="U489" s="213"/>
      <c r="V489" s="213"/>
      <c r="W489" s="213"/>
      <c r="X489" s="213"/>
      <c r="Y489" s="213"/>
      <c r="Z489" s="213"/>
    </row>
    <row r="490" spans="1:26" s="210" customFormat="1" ht="13.15" customHeight="1">
      <c r="A490" s="206"/>
      <c r="B490" s="207"/>
      <c r="C490" s="208"/>
      <c r="D490" s="209"/>
      <c r="M490" s="211"/>
      <c r="N490" s="212"/>
      <c r="O490" s="577"/>
      <c r="P490" s="577"/>
      <c r="Q490" s="577"/>
      <c r="R490" s="577"/>
      <c r="S490" s="577"/>
      <c r="T490" s="213"/>
      <c r="U490" s="213"/>
      <c r="V490" s="213"/>
      <c r="W490" s="213"/>
      <c r="X490" s="213"/>
      <c r="Y490" s="213"/>
      <c r="Z490" s="213"/>
    </row>
    <row r="491" spans="1:26" s="210" customFormat="1" ht="13.15" customHeight="1">
      <c r="A491" s="206"/>
      <c r="B491" s="207"/>
      <c r="C491" s="208"/>
      <c r="D491" s="209"/>
      <c r="M491" s="211"/>
      <c r="N491" s="212"/>
      <c r="O491" s="577"/>
      <c r="P491" s="577"/>
      <c r="Q491" s="577"/>
      <c r="R491" s="577"/>
      <c r="S491" s="577"/>
      <c r="T491" s="213"/>
      <c r="U491" s="213"/>
      <c r="V491" s="213"/>
      <c r="W491" s="213"/>
      <c r="X491" s="213"/>
      <c r="Y491" s="213"/>
      <c r="Z491" s="213"/>
    </row>
    <row r="492" spans="1:26" s="210" customFormat="1" ht="13.15" customHeight="1">
      <c r="A492" s="206"/>
      <c r="B492" s="207"/>
      <c r="C492" s="208"/>
      <c r="D492" s="209"/>
      <c r="M492" s="211"/>
      <c r="N492" s="212"/>
      <c r="O492" s="577"/>
      <c r="P492" s="577"/>
      <c r="Q492" s="577"/>
      <c r="R492" s="577"/>
      <c r="S492" s="577"/>
      <c r="T492" s="213"/>
      <c r="U492" s="213"/>
      <c r="V492" s="213"/>
      <c r="W492" s="213"/>
      <c r="X492" s="213"/>
      <c r="Y492" s="213"/>
      <c r="Z492" s="213"/>
    </row>
    <row r="493" spans="1:26" s="210" customFormat="1" ht="13.15" customHeight="1">
      <c r="A493" s="206"/>
      <c r="B493" s="207"/>
      <c r="C493" s="208"/>
      <c r="D493" s="209"/>
      <c r="M493" s="211"/>
      <c r="N493" s="212"/>
      <c r="O493" s="577"/>
      <c r="P493" s="577"/>
      <c r="Q493" s="577"/>
      <c r="R493" s="577"/>
      <c r="S493" s="577"/>
      <c r="T493" s="213"/>
      <c r="U493" s="213"/>
      <c r="V493" s="213"/>
      <c r="W493" s="213"/>
      <c r="X493" s="213"/>
      <c r="Y493" s="213"/>
      <c r="Z493" s="213"/>
    </row>
    <row r="494" spans="1:26" s="210" customFormat="1" ht="13.15" customHeight="1">
      <c r="A494" s="206"/>
      <c r="B494" s="207"/>
      <c r="C494" s="208"/>
      <c r="D494" s="209"/>
      <c r="M494" s="211"/>
      <c r="N494" s="212"/>
      <c r="O494" s="577"/>
      <c r="P494" s="577"/>
      <c r="Q494" s="577"/>
      <c r="R494" s="577"/>
      <c r="S494" s="577"/>
      <c r="T494" s="213"/>
      <c r="U494" s="213"/>
      <c r="V494" s="213"/>
      <c r="W494" s="213"/>
      <c r="X494" s="213"/>
      <c r="Y494" s="213"/>
      <c r="Z494" s="213"/>
    </row>
    <row r="495" spans="1:26" s="210" customFormat="1" ht="13.15" customHeight="1">
      <c r="A495" s="206"/>
      <c r="B495" s="207"/>
      <c r="C495" s="208"/>
      <c r="D495" s="209"/>
      <c r="M495" s="211"/>
      <c r="N495" s="212"/>
      <c r="O495" s="577"/>
      <c r="P495" s="577"/>
      <c r="Q495" s="577"/>
      <c r="R495" s="577"/>
      <c r="S495" s="577"/>
      <c r="T495" s="213"/>
      <c r="U495" s="213"/>
      <c r="V495" s="213"/>
      <c r="W495" s="213"/>
      <c r="X495" s="213"/>
      <c r="Y495" s="213"/>
      <c r="Z495" s="213"/>
    </row>
    <row r="496" spans="1:26" s="210" customFormat="1" ht="13.15" customHeight="1">
      <c r="A496" s="206"/>
      <c r="B496" s="207"/>
      <c r="C496" s="208"/>
      <c r="D496" s="209"/>
      <c r="M496" s="211"/>
      <c r="N496" s="212"/>
      <c r="O496" s="577"/>
      <c r="P496" s="577"/>
      <c r="Q496" s="577"/>
      <c r="R496" s="577"/>
      <c r="S496" s="577"/>
      <c r="T496" s="213"/>
      <c r="U496" s="213"/>
      <c r="V496" s="213"/>
      <c r="W496" s="213"/>
      <c r="X496" s="213"/>
      <c r="Y496" s="213"/>
      <c r="Z496" s="213"/>
    </row>
    <row r="497" spans="1:26" s="210" customFormat="1" ht="13.15" customHeight="1">
      <c r="A497" s="206"/>
      <c r="B497" s="207"/>
      <c r="C497" s="208"/>
      <c r="D497" s="209"/>
      <c r="M497" s="211"/>
      <c r="N497" s="212"/>
      <c r="O497" s="577"/>
      <c r="P497" s="577"/>
      <c r="Q497" s="577"/>
      <c r="R497" s="577"/>
      <c r="S497" s="577"/>
      <c r="T497" s="213"/>
      <c r="U497" s="213"/>
      <c r="V497" s="213"/>
      <c r="W497" s="213"/>
      <c r="X497" s="213"/>
      <c r="Y497" s="213"/>
      <c r="Z497" s="213"/>
    </row>
    <row r="498" spans="1:26" s="210" customFormat="1" ht="13.15" customHeight="1">
      <c r="A498" s="206"/>
      <c r="B498" s="207"/>
      <c r="C498" s="208"/>
      <c r="D498" s="209"/>
      <c r="M498" s="211"/>
      <c r="N498" s="212"/>
      <c r="O498" s="577"/>
      <c r="P498" s="577"/>
      <c r="Q498" s="577"/>
      <c r="R498" s="577"/>
      <c r="S498" s="577"/>
      <c r="T498" s="213"/>
      <c r="U498" s="213"/>
      <c r="V498" s="213"/>
      <c r="W498" s="213"/>
      <c r="X498" s="213"/>
      <c r="Y498" s="213"/>
      <c r="Z498" s="213"/>
    </row>
    <row r="499" spans="1:26" s="210" customFormat="1" ht="13.15" customHeight="1">
      <c r="A499" s="206"/>
      <c r="B499" s="207"/>
      <c r="C499" s="208"/>
      <c r="D499" s="209"/>
      <c r="M499" s="211"/>
      <c r="N499" s="212"/>
      <c r="O499" s="577"/>
      <c r="P499" s="577"/>
      <c r="Q499" s="577"/>
      <c r="R499" s="577"/>
      <c r="S499" s="577"/>
      <c r="T499" s="213"/>
      <c r="U499" s="213"/>
      <c r="V499" s="213"/>
      <c r="W499" s="213"/>
      <c r="X499" s="213"/>
      <c r="Y499" s="213"/>
      <c r="Z499" s="213"/>
    </row>
    <row r="500" spans="1:26" s="210" customFormat="1" ht="13.15" customHeight="1">
      <c r="A500" s="206"/>
      <c r="B500" s="207"/>
      <c r="C500" s="208"/>
      <c r="D500" s="209"/>
      <c r="M500" s="211"/>
      <c r="N500" s="212"/>
      <c r="O500" s="577"/>
      <c r="P500" s="577"/>
      <c r="Q500" s="577"/>
      <c r="R500" s="577"/>
      <c r="S500" s="577"/>
      <c r="T500" s="213"/>
      <c r="U500" s="213"/>
      <c r="V500" s="213"/>
      <c r="W500" s="213"/>
      <c r="X500" s="213"/>
      <c r="Y500" s="213"/>
      <c r="Z500" s="213"/>
    </row>
    <row r="501" spans="1:26" s="210" customFormat="1" ht="13.15" customHeight="1">
      <c r="A501" s="206"/>
      <c r="B501" s="207"/>
      <c r="C501" s="208"/>
      <c r="D501" s="209"/>
      <c r="M501" s="211"/>
      <c r="N501" s="212"/>
      <c r="O501" s="577"/>
      <c r="P501" s="577"/>
      <c r="Q501" s="577"/>
      <c r="R501" s="577"/>
      <c r="S501" s="577"/>
      <c r="T501" s="213"/>
      <c r="U501" s="213"/>
      <c r="V501" s="213"/>
      <c r="W501" s="213"/>
      <c r="X501" s="213"/>
      <c r="Y501" s="213"/>
      <c r="Z501" s="213"/>
    </row>
    <row r="502" spans="1:26" s="210" customFormat="1" ht="13.15" customHeight="1">
      <c r="A502" s="206"/>
      <c r="B502" s="207"/>
      <c r="C502" s="208"/>
      <c r="D502" s="209"/>
      <c r="M502" s="211"/>
      <c r="N502" s="212"/>
      <c r="O502" s="577"/>
      <c r="P502" s="577"/>
      <c r="Q502" s="577"/>
      <c r="R502" s="577"/>
      <c r="S502" s="577"/>
      <c r="T502" s="213"/>
      <c r="U502" s="213"/>
      <c r="V502" s="213"/>
      <c r="W502" s="213"/>
      <c r="X502" s="213"/>
      <c r="Y502" s="213"/>
      <c r="Z502" s="213"/>
    </row>
    <row r="503" spans="1:26" s="210" customFormat="1" ht="13.15" customHeight="1">
      <c r="A503" s="206"/>
      <c r="B503" s="207"/>
      <c r="C503" s="208"/>
      <c r="D503" s="209"/>
      <c r="M503" s="211"/>
      <c r="N503" s="212"/>
      <c r="O503" s="577"/>
      <c r="P503" s="577"/>
      <c r="Q503" s="577"/>
      <c r="R503" s="577"/>
      <c r="S503" s="577"/>
      <c r="T503" s="213"/>
      <c r="U503" s="213"/>
      <c r="V503" s="213"/>
      <c r="W503" s="213"/>
      <c r="X503" s="213"/>
      <c r="Y503" s="213"/>
      <c r="Z503" s="213"/>
    </row>
    <row r="504" spans="1:26" s="210" customFormat="1" ht="13.15" customHeight="1">
      <c r="A504" s="206"/>
      <c r="B504" s="207"/>
      <c r="C504" s="208"/>
      <c r="D504" s="209"/>
      <c r="M504" s="211"/>
      <c r="N504" s="212"/>
      <c r="O504" s="577"/>
      <c r="P504" s="577"/>
      <c r="Q504" s="577"/>
      <c r="R504" s="577"/>
      <c r="S504" s="577"/>
      <c r="T504" s="213"/>
      <c r="U504" s="213"/>
      <c r="V504" s="213"/>
      <c r="W504" s="213"/>
      <c r="X504" s="213"/>
      <c r="Y504" s="213"/>
      <c r="Z504" s="213"/>
    </row>
    <row r="505" spans="1:26" s="210" customFormat="1" ht="13.15" customHeight="1">
      <c r="A505" s="206"/>
      <c r="B505" s="207"/>
      <c r="C505" s="208"/>
      <c r="D505" s="209"/>
      <c r="M505" s="211"/>
      <c r="N505" s="212"/>
      <c r="O505" s="577"/>
      <c r="P505" s="577"/>
      <c r="Q505" s="577"/>
      <c r="R505" s="577"/>
      <c r="S505" s="577"/>
      <c r="T505" s="213"/>
      <c r="U505" s="213"/>
      <c r="V505" s="213"/>
      <c r="W505" s="213"/>
      <c r="X505" s="213"/>
      <c r="Y505" s="213"/>
      <c r="Z505" s="213"/>
    </row>
    <row r="506" spans="1:26" s="210" customFormat="1" ht="13.15" customHeight="1">
      <c r="A506" s="206"/>
      <c r="B506" s="207"/>
      <c r="C506" s="208"/>
      <c r="D506" s="209"/>
      <c r="M506" s="211"/>
      <c r="N506" s="212"/>
      <c r="O506" s="577"/>
      <c r="P506" s="577"/>
      <c r="Q506" s="577"/>
      <c r="R506" s="577"/>
      <c r="S506" s="577"/>
      <c r="T506" s="213"/>
      <c r="U506" s="213"/>
      <c r="V506" s="213"/>
      <c r="W506" s="213"/>
      <c r="X506" s="213"/>
      <c r="Y506" s="213"/>
      <c r="Z506" s="213"/>
    </row>
    <row r="507" spans="1:26" s="210" customFormat="1" ht="13.15" customHeight="1">
      <c r="A507" s="206"/>
      <c r="B507" s="207"/>
      <c r="C507" s="208"/>
      <c r="D507" s="209"/>
      <c r="M507" s="211"/>
      <c r="N507" s="212"/>
      <c r="O507" s="577"/>
      <c r="P507" s="577"/>
      <c r="Q507" s="577"/>
      <c r="R507" s="577"/>
      <c r="S507" s="577"/>
      <c r="T507" s="213"/>
      <c r="U507" s="213"/>
      <c r="V507" s="213"/>
      <c r="W507" s="213"/>
      <c r="X507" s="213"/>
      <c r="Y507" s="213"/>
      <c r="Z507" s="213"/>
    </row>
    <row r="508" spans="1:26" s="210" customFormat="1" ht="13.15" customHeight="1">
      <c r="A508" s="206"/>
      <c r="B508" s="207"/>
      <c r="C508" s="208"/>
      <c r="D508" s="209"/>
      <c r="M508" s="211"/>
      <c r="N508" s="212"/>
      <c r="O508" s="577"/>
      <c r="P508" s="577"/>
      <c r="Q508" s="577"/>
      <c r="R508" s="577"/>
      <c r="S508" s="577"/>
      <c r="T508" s="213"/>
      <c r="U508" s="213"/>
      <c r="V508" s="213"/>
      <c r="W508" s="213"/>
      <c r="X508" s="213"/>
      <c r="Y508" s="213"/>
      <c r="Z508" s="213"/>
    </row>
    <row r="509" spans="1:26" s="210" customFormat="1" ht="13.15" customHeight="1">
      <c r="A509" s="206"/>
      <c r="B509" s="207"/>
      <c r="C509" s="208"/>
      <c r="D509" s="209"/>
      <c r="M509" s="211"/>
      <c r="N509" s="212"/>
      <c r="O509" s="577"/>
      <c r="P509" s="577"/>
      <c r="Q509" s="577"/>
      <c r="R509" s="577"/>
      <c r="S509" s="577"/>
      <c r="T509" s="213"/>
      <c r="U509" s="213"/>
      <c r="V509" s="213"/>
      <c r="W509" s="213"/>
      <c r="X509" s="213"/>
      <c r="Y509" s="213"/>
      <c r="Z509" s="213"/>
    </row>
    <row r="510" spans="1:26" s="210" customFormat="1" ht="13.15" customHeight="1">
      <c r="A510" s="206"/>
      <c r="B510" s="207"/>
      <c r="C510" s="208"/>
      <c r="D510" s="209"/>
      <c r="M510" s="211"/>
      <c r="N510" s="212"/>
      <c r="O510" s="577"/>
      <c r="P510" s="577"/>
      <c r="Q510" s="577"/>
      <c r="R510" s="577"/>
      <c r="S510" s="577"/>
      <c r="T510" s="213"/>
      <c r="U510" s="213"/>
      <c r="V510" s="213"/>
      <c r="W510" s="213"/>
      <c r="X510" s="213"/>
      <c r="Y510" s="213"/>
      <c r="Z510" s="213"/>
    </row>
    <row r="511" spans="1:26" s="210" customFormat="1" ht="13.15" customHeight="1">
      <c r="A511" s="206"/>
      <c r="B511" s="207"/>
      <c r="C511" s="208"/>
      <c r="D511" s="209"/>
      <c r="M511" s="211"/>
      <c r="N511" s="212"/>
      <c r="O511" s="577"/>
      <c r="P511" s="577"/>
      <c r="Q511" s="577"/>
      <c r="R511" s="577"/>
      <c r="S511" s="577"/>
      <c r="T511" s="213"/>
      <c r="U511" s="213"/>
      <c r="V511" s="213"/>
      <c r="W511" s="213"/>
      <c r="X511" s="213"/>
      <c r="Y511" s="213"/>
      <c r="Z511" s="213"/>
    </row>
    <row r="512" spans="1:26" s="210" customFormat="1" ht="13.15" customHeight="1">
      <c r="A512" s="206"/>
      <c r="B512" s="207"/>
      <c r="C512" s="208"/>
      <c r="D512" s="209"/>
      <c r="M512" s="211"/>
      <c r="N512" s="212"/>
      <c r="O512" s="577"/>
      <c r="P512" s="577"/>
      <c r="Q512" s="577"/>
      <c r="R512" s="577"/>
      <c r="S512" s="577"/>
      <c r="T512" s="213"/>
      <c r="U512" s="213"/>
      <c r="V512" s="213"/>
      <c r="W512" s="213"/>
      <c r="X512" s="213"/>
      <c r="Y512" s="213"/>
      <c r="Z512" s="213"/>
    </row>
    <row r="513" spans="1:26" s="210" customFormat="1" ht="13.15" customHeight="1">
      <c r="A513" s="206"/>
      <c r="B513" s="207"/>
      <c r="C513" s="208"/>
      <c r="D513" s="209"/>
      <c r="M513" s="211"/>
      <c r="N513" s="212"/>
      <c r="O513" s="577"/>
      <c r="P513" s="577"/>
      <c r="Q513" s="577"/>
      <c r="R513" s="577"/>
      <c r="S513" s="577"/>
      <c r="T513" s="213"/>
      <c r="U513" s="213"/>
      <c r="V513" s="213"/>
      <c r="W513" s="213"/>
      <c r="X513" s="213"/>
      <c r="Y513" s="213"/>
      <c r="Z513" s="213"/>
    </row>
    <row r="514" spans="1:26" s="210" customFormat="1" ht="13.15" customHeight="1">
      <c r="A514" s="206"/>
      <c r="B514" s="207"/>
      <c r="C514" s="208"/>
      <c r="D514" s="209"/>
      <c r="M514" s="211"/>
      <c r="N514" s="212"/>
      <c r="O514" s="577"/>
      <c r="P514" s="577"/>
      <c r="Q514" s="577"/>
      <c r="R514" s="577"/>
      <c r="S514" s="577"/>
      <c r="T514" s="213"/>
      <c r="U514" s="213"/>
      <c r="V514" s="213"/>
      <c r="W514" s="213"/>
      <c r="X514" s="213"/>
      <c r="Y514" s="213"/>
      <c r="Z514" s="213"/>
    </row>
    <row r="515" spans="1:26" s="210" customFormat="1" ht="13.15" customHeight="1">
      <c r="A515" s="206"/>
      <c r="B515" s="207"/>
      <c r="C515" s="208"/>
      <c r="D515" s="209"/>
      <c r="M515" s="211"/>
      <c r="N515" s="212"/>
      <c r="O515" s="577"/>
      <c r="P515" s="577"/>
      <c r="Q515" s="577"/>
      <c r="R515" s="577"/>
      <c r="S515" s="577"/>
      <c r="T515" s="213"/>
      <c r="U515" s="213"/>
      <c r="V515" s="213"/>
      <c r="W515" s="213"/>
      <c r="X515" s="213"/>
      <c r="Y515" s="213"/>
      <c r="Z515" s="213"/>
    </row>
    <row r="516" spans="1:26" s="210" customFormat="1" ht="13.15" customHeight="1">
      <c r="A516" s="206"/>
      <c r="B516" s="207"/>
      <c r="C516" s="208"/>
      <c r="D516" s="209"/>
      <c r="M516" s="211"/>
      <c r="N516" s="212"/>
      <c r="O516" s="577"/>
      <c r="P516" s="577"/>
      <c r="Q516" s="577"/>
      <c r="R516" s="577"/>
      <c r="S516" s="577"/>
      <c r="T516" s="213"/>
      <c r="U516" s="213"/>
      <c r="V516" s="213"/>
      <c r="W516" s="213"/>
      <c r="X516" s="213"/>
      <c r="Y516" s="213"/>
      <c r="Z516" s="213"/>
    </row>
    <row r="517" spans="1:26" s="210" customFormat="1" ht="13.15" customHeight="1">
      <c r="A517" s="206"/>
      <c r="B517" s="207"/>
      <c r="C517" s="208"/>
      <c r="D517" s="209"/>
      <c r="M517" s="211"/>
      <c r="N517" s="212"/>
      <c r="O517" s="577"/>
      <c r="P517" s="577"/>
      <c r="Q517" s="577"/>
      <c r="R517" s="577"/>
      <c r="S517" s="577"/>
      <c r="T517" s="213"/>
      <c r="U517" s="213"/>
      <c r="V517" s="213"/>
      <c r="W517" s="213"/>
      <c r="X517" s="213"/>
      <c r="Y517" s="213"/>
      <c r="Z517" s="213"/>
    </row>
    <row r="518" spans="1:26" s="210" customFormat="1" ht="13.15" customHeight="1">
      <c r="A518" s="206"/>
      <c r="B518" s="207"/>
      <c r="C518" s="208"/>
      <c r="D518" s="209"/>
      <c r="M518" s="211"/>
      <c r="N518" s="212"/>
      <c r="O518" s="577"/>
      <c r="P518" s="577"/>
      <c r="Q518" s="577"/>
      <c r="R518" s="577"/>
      <c r="S518" s="577"/>
      <c r="T518" s="213"/>
      <c r="U518" s="213"/>
      <c r="V518" s="213"/>
      <c r="W518" s="213"/>
      <c r="X518" s="213"/>
      <c r="Y518" s="213"/>
      <c r="Z518" s="213"/>
    </row>
    <row r="519" spans="1:26" s="210" customFormat="1" ht="13.15" customHeight="1">
      <c r="A519" s="206"/>
      <c r="B519" s="207"/>
      <c r="C519" s="208"/>
      <c r="D519" s="209"/>
      <c r="M519" s="211"/>
      <c r="N519" s="212"/>
      <c r="O519" s="577"/>
      <c r="P519" s="577"/>
      <c r="Q519" s="577"/>
      <c r="R519" s="577"/>
      <c r="S519" s="577"/>
      <c r="T519" s="213"/>
      <c r="U519" s="213"/>
      <c r="V519" s="213"/>
      <c r="W519" s="213"/>
      <c r="X519" s="213"/>
      <c r="Y519" s="213"/>
      <c r="Z519" s="213"/>
    </row>
    <row r="520" spans="1:26" s="210" customFormat="1" ht="13.15" customHeight="1">
      <c r="A520" s="206"/>
      <c r="B520" s="207"/>
      <c r="C520" s="208"/>
      <c r="D520" s="209"/>
      <c r="M520" s="211"/>
      <c r="N520" s="212"/>
      <c r="O520" s="577"/>
      <c r="P520" s="577"/>
      <c r="Q520" s="577"/>
      <c r="R520" s="577"/>
      <c r="S520" s="577"/>
      <c r="T520" s="213"/>
      <c r="U520" s="213"/>
      <c r="V520" s="213"/>
      <c r="W520" s="213"/>
      <c r="X520" s="213"/>
      <c r="Y520" s="213"/>
      <c r="Z520" s="213"/>
    </row>
    <row r="521" spans="1:26" s="210" customFormat="1" ht="13.15" customHeight="1">
      <c r="A521" s="206"/>
      <c r="B521" s="207"/>
      <c r="C521" s="208"/>
      <c r="D521" s="209"/>
      <c r="M521" s="211"/>
      <c r="N521" s="212"/>
      <c r="O521" s="577"/>
      <c r="P521" s="577"/>
      <c r="Q521" s="577"/>
      <c r="R521" s="577"/>
      <c r="S521" s="577"/>
      <c r="T521" s="213"/>
      <c r="U521" s="213"/>
      <c r="V521" s="213"/>
      <c r="W521" s="213"/>
      <c r="X521" s="213"/>
      <c r="Y521" s="213"/>
      <c r="Z521" s="213"/>
    </row>
    <row r="522" spans="1:26" s="210" customFormat="1" ht="13.15" customHeight="1">
      <c r="A522" s="206"/>
      <c r="B522" s="207"/>
      <c r="C522" s="208"/>
      <c r="D522" s="209"/>
      <c r="M522" s="211"/>
      <c r="N522" s="212"/>
      <c r="O522" s="577"/>
      <c r="P522" s="577"/>
      <c r="Q522" s="577"/>
      <c r="R522" s="577"/>
      <c r="S522" s="577"/>
      <c r="T522" s="213"/>
      <c r="U522" s="213"/>
      <c r="V522" s="213"/>
      <c r="W522" s="213"/>
      <c r="X522" s="213"/>
      <c r="Y522" s="213"/>
      <c r="Z522" s="213"/>
    </row>
    <row r="523" spans="1:26" s="210" customFormat="1" ht="13.15" customHeight="1">
      <c r="A523" s="206"/>
      <c r="B523" s="207"/>
      <c r="C523" s="208"/>
      <c r="D523" s="209"/>
      <c r="M523" s="211"/>
      <c r="N523" s="212"/>
      <c r="O523" s="577"/>
      <c r="P523" s="577"/>
      <c r="Q523" s="577"/>
      <c r="R523" s="577"/>
      <c r="S523" s="577"/>
      <c r="T523" s="213"/>
      <c r="U523" s="213"/>
      <c r="V523" s="213"/>
      <c r="W523" s="213"/>
      <c r="X523" s="213"/>
      <c r="Y523" s="213"/>
      <c r="Z523" s="213"/>
    </row>
    <row r="524" spans="1:26" s="210" customFormat="1" ht="13.15" customHeight="1">
      <c r="A524" s="206"/>
      <c r="B524" s="207"/>
      <c r="C524" s="208"/>
      <c r="D524" s="209"/>
      <c r="M524" s="211"/>
      <c r="N524" s="212"/>
      <c r="O524" s="577"/>
      <c r="P524" s="577"/>
      <c r="Q524" s="577"/>
      <c r="R524" s="577"/>
      <c r="S524" s="577"/>
      <c r="T524" s="213"/>
      <c r="U524" s="213"/>
      <c r="V524" s="213"/>
      <c r="W524" s="213"/>
      <c r="X524" s="213"/>
      <c r="Y524" s="213"/>
      <c r="Z524" s="213"/>
    </row>
    <row r="525" spans="1:26" s="210" customFormat="1" ht="13.15" customHeight="1">
      <c r="A525" s="206"/>
      <c r="B525" s="207"/>
      <c r="C525" s="208"/>
      <c r="D525" s="209"/>
      <c r="M525" s="211"/>
      <c r="N525" s="212"/>
      <c r="O525" s="577"/>
      <c r="P525" s="577"/>
      <c r="Q525" s="577"/>
      <c r="R525" s="577"/>
      <c r="S525" s="577"/>
      <c r="T525" s="213"/>
      <c r="U525" s="213"/>
      <c r="V525" s="213"/>
      <c r="W525" s="213"/>
      <c r="X525" s="213"/>
      <c r="Y525" s="213"/>
      <c r="Z525" s="213"/>
    </row>
    <row r="526" spans="1:26" s="210" customFormat="1" ht="13.15" customHeight="1">
      <c r="A526" s="206"/>
      <c r="B526" s="207"/>
      <c r="C526" s="208"/>
      <c r="D526" s="209"/>
      <c r="M526" s="211"/>
      <c r="N526" s="212"/>
      <c r="O526" s="577"/>
      <c r="P526" s="577"/>
      <c r="Q526" s="577"/>
      <c r="R526" s="577"/>
      <c r="S526" s="577"/>
      <c r="T526" s="213"/>
      <c r="U526" s="213"/>
      <c r="V526" s="213"/>
      <c r="W526" s="213"/>
      <c r="X526" s="213"/>
      <c r="Y526" s="213"/>
      <c r="Z526" s="213"/>
    </row>
    <row r="527" spans="1:26" s="210" customFormat="1" ht="13.15" customHeight="1">
      <c r="A527" s="206"/>
      <c r="B527" s="207"/>
      <c r="C527" s="208"/>
      <c r="D527" s="209"/>
      <c r="M527" s="211"/>
      <c r="N527" s="212"/>
      <c r="O527" s="577"/>
      <c r="P527" s="577"/>
      <c r="Q527" s="577"/>
      <c r="R527" s="577"/>
      <c r="S527" s="577"/>
      <c r="T527" s="213"/>
      <c r="U527" s="213"/>
      <c r="V527" s="213"/>
      <c r="W527" s="213"/>
      <c r="X527" s="213"/>
      <c r="Y527" s="213"/>
      <c r="Z527" s="213"/>
    </row>
    <row r="528" spans="1:26" s="210" customFormat="1" ht="13.15" customHeight="1">
      <c r="A528" s="206"/>
      <c r="B528" s="207"/>
      <c r="C528" s="208"/>
      <c r="D528" s="209"/>
      <c r="M528" s="211"/>
      <c r="N528" s="212"/>
      <c r="O528" s="577"/>
      <c r="P528" s="577"/>
      <c r="Q528" s="577"/>
      <c r="R528" s="577"/>
      <c r="S528" s="577"/>
      <c r="T528" s="213"/>
      <c r="U528" s="213"/>
      <c r="V528" s="213"/>
      <c r="W528" s="213"/>
      <c r="X528" s="213"/>
      <c r="Y528" s="213"/>
      <c r="Z528" s="213"/>
    </row>
    <row r="529" spans="1:26" s="210" customFormat="1" ht="13.15" customHeight="1">
      <c r="A529" s="206"/>
      <c r="B529" s="207"/>
      <c r="C529" s="208"/>
      <c r="D529" s="209"/>
      <c r="M529" s="211"/>
      <c r="N529" s="212"/>
      <c r="O529" s="577"/>
      <c r="P529" s="577"/>
      <c r="Q529" s="577"/>
      <c r="R529" s="577"/>
      <c r="S529" s="577"/>
      <c r="T529" s="213"/>
      <c r="U529" s="213"/>
      <c r="V529" s="213"/>
      <c r="W529" s="213"/>
      <c r="X529" s="213"/>
      <c r="Y529" s="213"/>
      <c r="Z529" s="213"/>
    </row>
    <row r="530" spans="1:26" s="210" customFormat="1" ht="13.15" customHeight="1">
      <c r="A530" s="206"/>
      <c r="B530" s="207"/>
      <c r="C530" s="208"/>
      <c r="D530" s="209"/>
      <c r="M530" s="211"/>
      <c r="N530" s="212"/>
      <c r="O530" s="577"/>
      <c r="P530" s="577"/>
      <c r="Q530" s="577"/>
      <c r="R530" s="577"/>
      <c r="S530" s="577"/>
      <c r="T530" s="213"/>
      <c r="U530" s="213"/>
      <c r="V530" s="213"/>
      <c r="W530" s="213"/>
      <c r="X530" s="213"/>
      <c r="Y530" s="213"/>
      <c r="Z530" s="213"/>
    </row>
    <row r="531" spans="1:26" s="210" customFormat="1" ht="13.15" customHeight="1">
      <c r="A531" s="206"/>
      <c r="B531" s="207"/>
      <c r="C531" s="208"/>
      <c r="D531" s="209"/>
      <c r="M531" s="211"/>
      <c r="N531" s="212"/>
      <c r="O531" s="577"/>
      <c r="P531" s="577"/>
      <c r="Q531" s="577"/>
      <c r="R531" s="577"/>
      <c r="S531" s="577"/>
      <c r="T531" s="213"/>
      <c r="U531" s="213"/>
      <c r="V531" s="213"/>
      <c r="W531" s="213"/>
      <c r="X531" s="213"/>
      <c r="Y531" s="213"/>
      <c r="Z531" s="213"/>
    </row>
    <row r="532" spans="1:26" s="210" customFormat="1" ht="13.15" customHeight="1">
      <c r="A532" s="206"/>
      <c r="B532" s="207"/>
      <c r="C532" s="208"/>
      <c r="D532" s="209"/>
      <c r="M532" s="211"/>
      <c r="N532" s="212"/>
      <c r="O532" s="577"/>
      <c r="P532" s="577"/>
      <c r="Q532" s="577"/>
      <c r="R532" s="577"/>
      <c r="S532" s="577"/>
      <c r="T532" s="213"/>
      <c r="U532" s="213"/>
      <c r="V532" s="213"/>
      <c r="W532" s="213"/>
      <c r="X532" s="213"/>
      <c r="Y532" s="213"/>
      <c r="Z532" s="213"/>
    </row>
    <row r="533" spans="1:26" s="210" customFormat="1" ht="13.15" customHeight="1">
      <c r="A533" s="206"/>
      <c r="B533" s="207"/>
      <c r="C533" s="208"/>
      <c r="D533" s="209"/>
      <c r="M533" s="211"/>
      <c r="N533" s="212"/>
      <c r="O533" s="577"/>
      <c r="P533" s="577"/>
      <c r="Q533" s="577"/>
      <c r="R533" s="577"/>
      <c r="S533" s="577"/>
      <c r="T533" s="213"/>
      <c r="U533" s="213"/>
      <c r="V533" s="213"/>
      <c r="W533" s="213"/>
      <c r="X533" s="213"/>
      <c r="Y533" s="213"/>
      <c r="Z533" s="213"/>
    </row>
    <row r="534" spans="1:26" s="210" customFormat="1" ht="13.15" customHeight="1">
      <c r="A534" s="206"/>
      <c r="B534" s="207"/>
      <c r="C534" s="208"/>
      <c r="D534" s="209"/>
      <c r="M534" s="211"/>
      <c r="N534" s="212"/>
      <c r="O534" s="577"/>
      <c r="P534" s="577"/>
      <c r="Q534" s="577"/>
      <c r="R534" s="577"/>
      <c r="S534" s="577"/>
      <c r="T534" s="213"/>
      <c r="U534" s="213"/>
      <c r="V534" s="213"/>
      <c r="W534" s="213"/>
      <c r="X534" s="213"/>
      <c r="Y534" s="213"/>
      <c r="Z534" s="213"/>
    </row>
    <row r="535" spans="1:26" s="210" customFormat="1" ht="13.15" customHeight="1">
      <c r="A535" s="206"/>
      <c r="B535" s="207"/>
      <c r="C535" s="208"/>
      <c r="D535" s="209"/>
      <c r="M535" s="211"/>
      <c r="N535" s="212"/>
      <c r="O535" s="577"/>
      <c r="P535" s="577"/>
      <c r="Q535" s="577"/>
      <c r="R535" s="577"/>
      <c r="S535" s="577"/>
      <c r="T535" s="213"/>
      <c r="U535" s="213"/>
      <c r="V535" s="213"/>
      <c r="W535" s="213"/>
      <c r="X535" s="213"/>
      <c r="Y535" s="213"/>
      <c r="Z535" s="213"/>
    </row>
    <row r="536" spans="1:26" s="210" customFormat="1" ht="13.15" customHeight="1">
      <c r="A536" s="206"/>
      <c r="B536" s="207"/>
      <c r="C536" s="208"/>
      <c r="D536" s="209"/>
      <c r="M536" s="211"/>
      <c r="N536" s="212"/>
      <c r="O536" s="577"/>
      <c r="P536" s="577"/>
      <c r="Q536" s="577"/>
      <c r="R536" s="577"/>
      <c r="S536" s="577"/>
      <c r="T536" s="213"/>
      <c r="U536" s="213"/>
      <c r="V536" s="213"/>
      <c r="W536" s="213"/>
      <c r="X536" s="213"/>
      <c r="Y536" s="213"/>
      <c r="Z536" s="213"/>
    </row>
    <row r="537" spans="1:26" s="210" customFormat="1" ht="13.15" customHeight="1">
      <c r="A537" s="206"/>
      <c r="B537" s="207"/>
      <c r="C537" s="208"/>
      <c r="D537" s="209"/>
      <c r="M537" s="211"/>
      <c r="N537" s="212"/>
      <c r="O537" s="577"/>
      <c r="P537" s="577"/>
      <c r="Q537" s="577"/>
      <c r="R537" s="577"/>
      <c r="S537" s="577"/>
      <c r="T537" s="213"/>
      <c r="U537" s="213"/>
      <c r="V537" s="213"/>
      <c r="W537" s="213"/>
      <c r="X537" s="213"/>
      <c r="Y537" s="213"/>
      <c r="Z537" s="213"/>
    </row>
    <row r="538" spans="1:26" s="210" customFormat="1" ht="13.15" customHeight="1">
      <c r="A538" s="206"/>
      <c r="B538" s="207"/>
      <c r="C538" s="208"/>
      <c r="D538" s="209"/>
      <c r="M538" s="211"/>
      <c r="N538" s="212"/>
      <c r="O538" s="577"/>
      <c r="P538" s="577"/>
      <c r="Q538" s="577"/>
      <c r="R538" s="577"/>
      <c r="S538" s="577"/>
      <c r="T538" s="213"/>
      <c r="U538" s="213"/>
      <c r="V538" s="213"/>
      <c r="W538" s="213"/>
      <c r="X538" s="213"/>
      <c r="Y538" s="213"/>
      <c r="Z538" s="213"/>
    </row>
    <row r="539" spans="1:26" s="210" customFormat="1" ht="13.15" customHeight="1">
      <c r="A539" s="206"/>
      <c r="B539" s="207"/>
      <c r="C539" s="208"/>
      <c r="D539" s="209"/>
      <c r="M539" s="211"/>
      <c r="N539" s="212"/>
      <c r="O539" s="577"/>
      <c r="P539" s="577"/>
      <c r="Q539" s="577"/>
      <c r="R539" s="577"/>
      <c r="S539" s="577"/>
      <c r="T539" s="213"/>
      <c r="U539" s="213"/>
      <c r="V539" s="213"/>
      <c r="W539" s="213"/>
      <c r="X539" s="213"/>
      <c r="Y539" s="213"/>
      <c r="Z539" s="213"/>
    </row>
    <row r="540" spans="1:26" s="210" customFormat="1" ht="13.15" customHeight="1">
      <c r="A540" s="206"/>
      <c r="B540" s="207"/>
      <c r="C540" s="208"/>
      <c r="D540" s="209"/>
      <c r="M540" s="211"/>
      <c r="N540" s="212"/>
      <c r="O540" s="577"/>
      <c r="P540" s="577"/>
      <c r="Q540" s="577"/>
      <c r="R540" s="577"/>
      <c r="S540" s="577"/>
      <c r="T540" s="213"/>
      <c r="U540" s="213"/>
      <c r="V540" s="213"/>
      <c r="W540" s="213"/>
      <c r="X540" s="213"/>
      <c r="Y540" s="213"/>
      <c r="Z540" s="213"/>
    </row>
    <row r="541" spans="1:26" s="210" customFormat="1" ht="13.15" customHeight="1">
      <c r="A541" s="206"/>
      <c r="B541" s="207"/>
      <c r="C541" s="208"/>
      <c r="D541" s="209"/>
      <c r="M541" s="211"/>
      <c r="N541" s="212"/>
      <c r="O541" s="577"/>
      <c r="P541" s="577"/>
      <c r="Q541" s="577"/>
      <c r="R541" s="577"/>
      <c r="S541" s="577"/>
      <c r="T541" s="213"/>
      <c r="U541" s="213"/>
      <c r="V541" s="213"/>
      <c r="W541" s="213"/>
      <c r="X541" s="213"/>
      <c r="Y541" s="213"/>
      <c r="Z541" s="213"/>
    </row>
    <row r="542" spans="1:26" s="210" customFormat="1" ht="13.15" customHeight="1">
      <c r="A542" s="206"/>
      <c r="B542" s="207"/>
      <c r="C542" s="208"/>
      <c r="D542" s="209"/>
      <c r="M542" s="211"/>
      <c r="N542" s="212"/>
      <c r="O542" s="577"/>
      <c r="P542" s="577"/>
      <c r="Q542" s="577"/>
      <c r="R542" s="577"/>
      <c r="S542" s="577"/>
      <c r="T542" s="213"/>
      <c r="U542" s="213"/>
      <c r="V542" s="213"/>
      <c r="W542" s="213"/>
      <c r="X542" s="213"/>
      <c r="Y542" s="213"/>
      <c r="Z542" s="213"/>
    </row>
    <row r="543" spans="1:26" s="210" customFormat="1" ht="13.15" customHeight="1">
      <c r="A543" s="206"/>
      <c r="B543" s="207"/>
      <c r="C543" s="208"/>
      <c r="D543" s="209"/>
      <c r="M543" s="211"/>
      <c r="N543" s="212"/>
      <c r="O543" s="577"/>
      <c r="P543" s="577"/>
      <c r="Q543" s="577"/>
      <c r="R543" s="577"/>
      <c r="S543" s="577"/>
      <c r="T543" s="213"/>
      <c r="U543" s="213"/>
      <c r="V543" s="213"/>
      <c r="W543" s="213"/>
      <c r="X543" s="213"/>
      <c r="Y543" s="213"/>
      <c r="Z543" s="213"/>
    </row>
    <row r="544" spans="1:26" s="210" customFormat="1" ht="13.15" customHeight="1">
      <c r="A544" s="206"/>
      <c r="B544" s="207"/>
      <c r="C544" s="208"/>
      <c r="D544" s="209"/>
      <c r="M544" s="211"/>
      <c r="N544" s="212"/>
      <c r="O544" s="577"/>
      <c r="P544" s="577"/>
      <c r="Q544" s="577"/>
      <c r="R544" s="577"/>
      <c r="S544" s="577"/>
      <c r="T544" s="213"/>
      <c r="U544" s="213"/>
      <c r="V544" s="213"/>
      <c r="W544" s="213"/>
      <c r="X544" s="213"/>
      <c r="Y544" s="213"/>
      <c r="Z544" s="213"/>
    </row>
    <row r="545" spans="1:26" s="210" customFormat="1" ht="13.15" customHeight="1">
      <c r="A545" s="206"/>
      <c r="B545" s="207"/>
      <c r="C545" s="208"/>
      <c r="D545" s="209"/>
      <c r="M545" s="211"/>
      <c r="N545" s="212"/>
      <c r="O545" s="577"/>
      <c r="P545" s="577"/>
      <c r="Q545" s="577"/>
      <c r="R545" s="577"/>
      <c r="S545" s="577"/>
      <c r="T545" s="213"/>
      <c r="U545" s="213"/>
      <c r="V545" s="213"/>
      <c r="W545" s="213"/>
      <c r="X545" s="213"/>
      <c r="Y545" s="213"/>
      <c r="Z545" s="213"/>
    </row>
    <row r="546" spans="1:26" s="210" customFormat="1" ht="13.15" customHeight="1">
      <c r="A546" s="206"/>
      <c r="B546" s="207"/>
      <c r="C546" s="208"/>
      <c r="D546" s="209"/>
      <c r="M546" s="211"/>
      <c r="N546" s="212"/>
      <c r="O546" s="577"/>
      <c r="P546" s="577"/>
      <c r="Q546" s="577"/>
      <c r="R546" s="577"/>
      <c r="S546" s="577"/>
      <c r="T546" s="213"/>
      <c r="U546" s="213"/>
      <c r="V546" s="213"/>
      <c r="W546" s="213"/>
      <c r="X546" s="213"/>
      <c r="Y546" s="213"/>
      <c r="Z546" s="213"/>
    </row>
    <row r="547" spans="1:26" s="210" customFormat="1" ht="13.15" customHeight="1">
      <c r="A547" s="206"/>
      <c r="B547" s="207"/>
      <c r="C547" s="208"/>
      <c r="D547" s="209"/>
      <c r="M547" s="211"/>
      <c r="N547" s="212"/>
      <c r="O547" s="577"/>
      <c r="P547" s="577"/>
      <c r="Q547" s="577"/>
      <c r="R547" s="577"/>
      <c r="S547" s="577"/>
      <c r="T547" s="213"/>
      <c r="U547" s="213"/>
      <c r="V547" s="213"/>
      <c r="W547" s="213"/>
      <c r="X547" s="213"/>
      <c r="Y547" s="213"/>
      <c r="Z547" s="213"/>
    </row>
    <row r="548" spans="1:26" s="210" customFormat="1" ht="13.15" customHeight="1">
      <c r="A548" s="206"/>
      <c r="B548" s="207"/>
      <c r="C548" s="208"/>
      <c r="D548" s="209"/>
      <c r="M548" s="211"/>
      <c r="N548" s="212"/>
      <c r="O548" s="577"/>
      <c r="P548" s="577"/>
      <c r="Q548" s="577"/>
      <c r="R548" s="577"/>
      <c r="S548" s="577"/>
      <c r="T548" s="213"/>
      <c r="U548" s="213"/>
      <c r="V548" s="213"/>
      <c r="W548" s="213"/>
      <c r="X548" s="213"/>
      <c r="Y548" s="213"/>
      <c r="Z548" s="213"/>
    </row>
    <row r="549" spans="1:26" s="210" customFormat="1" ht="13.15" customHeight="1">
      <c r="A549" s="206"/>
      <c r="B549" s="207"/>
      <c r="C549" s="208"/>
      <c r="D549" s="209"/>
      <c r="M549" s="211"/>
      <c r="N549" s="212"/>
      <c r="O549" s="577"/>
      <c r="P549" s="577"/>
      <c r="Q549" s="577"/>
      <c r="R549" s="577"/>
      <c r="S549" s="577"/>
      <c r="T549" s="213"/>
      <c r="U549" s="213"/>
      <c r="V549" s="213"/>
      <c r="W549" s="213"/>
      <c r="X549" s="213"/>
      <c r="Y549" s="213"/>
      <c r="Z549" s="213"/>
    </row>
    <row r="550" spans="1:26" s="210" customFormat="1" ht="13.15" customHeight="1">
      <c r="A550" s="206"/>
      <c r="B550" s="207"/>
      <c r="C550" s="208"/>
      <c r="D550" s="209"/>
      <c r="M550" s="211"/>
      <c r="N550" s="212"/>
      <c r="O550" s="577"/>
      <c r="P550" s="577"/>
      <c r="Q550" s="577"/>
      <c r="R550" s="577"/>
      <c r="S550" s="577"/>
      <c r="T550" s="213"/>
      <c r="U550" s="213"/>
      <c r="V550" s="213"/>
      <c r="W550" s="213"/>
      <c r="X550" s="213"/>
      <c r="Y550" s="213"/>
      <c r="Z550" s="213"/>
    </row>
    <row r="551" spans="1:26" s="210" customFormat="1" ht="13.15" customHeight="1">
      <c r="A551" s="206"/>
      <c r="B551" s="207"/>
      <c r="C551" s="208"/>
      <c r="D551" s="209"/>
      <c r="M551" s="211"/>
      <c r="N551" s="212"/>
      <c r="O551" s="577"/>
      <c r="P551" s="577"/>
      <c r="Q551" s="577"/>
      <c r="R551" s="577"/>
      <c r="S551" s="577"/>
      <c r="T551" s="213"/>
      <c r="U551" s="213"/>
      <c r="V551" s="213"/>
      <c r="W551" s="213"/>
      <c r="X551" s="213"/>
      <c r="Y551" s="213"/>
      <c r="Z551" s="213"/>
    </row>
    <row r="552" spans="1:26" s="210" customFormat="1" ht="13.15" customHeight="1">
      <c r="A552" s="206"/>
      <c r="B552" s="207"/>
      <c r="C552" s="208"/>
      <c r="D552" s="209"/>
      <c r="M552" s="211"/>
      <c r="N552" s="212"/>
      <c r="O552" s="577"/>
      <c r="P552" s="577"/>
      <c r="Q552" s="577"/>
      <c r="R552" s="577"/>
      <c r="S552" s="577"/>
      <c r="T552" s="213"/>
      <c r="U552" s="213"/>
      <c r="V552" s="213"/>
      <c r="W552" s="213"/>
      <c r="X552" s="213"/>
      <c r="Y552" s="213"/>
      <c r="Z552" s="213"/>
    </row>
    <row r="553" spans="1:26" s="210" customFormat="1" ht="13.15" customHeight="1">
      <c r="A553" s="206"/>
      <c r="B553" s="207"/>
      <c r="C553" s="208"/>
      <c r="D553" s="209"/>
      <c r="M553" s="211"/>
      <c r="N553" s="212"/>
      <c r="O553" s="577"/>
      <c r="P553" s="577"/>
      <c r="Q553" s="577"/>
      <c r="R553" s="577"/>
      <c r="S553" s="577"/>
      <c r="T553" s="213"/>
      <c r="U553" s="213"/>
      <c r="V553" s="213"/>
      <c r="W553" s="213"/>
      <c r="X553" s="213"/>
      <c r="Y553" s="213"/>
      <c r="Z553" s="213"/>
    </row>
    <row r="554" spans="1:26" s="210" customFormat="1" ht="13.15" customHeight="1">
      <c r="A554" s="206"/>
      <c r="B554" s="207"/>
      <c r="C554" s="208"/>
      <c r="D554" s="209"/>
      <c r="M554" s="211"/>
      <c r="N554" s="212"/>
      <c r="O554" s="577"/>
      <c r="P554" s="577"/>
      <c r="Q554" s="577"/>
      <c r="R554" s="577"/>
      <c r="S554" s="577"/>
      <c r="T554" s="213"/>
      <c r="U554" s="213"/>
      <c r="V554" s="213"/>
      <c r="W554" s="213"/>
      <c r="X554" s="213"/>
      <c r="Y554" s="213"/>
      <c r="Z554" s="213"/>
    </row>
    <row r="555" spans="1:26" s="210" customFormat="1" ht="13.15" customHeight="1">
      <c r="A555" s="206"/>
      <c r="B555" s="207"/>
      <c r="C555" s="208"/>
      <c r="D555" s="209"/>
      <c r="M555" s="211"/>
      <c r="N555" s="212"/>
      <c r="O555" s="577"/>
      <c r="P555" s="577"/>
      <c r="Q555" s="577"/>
      <c r="R555" s="577"/>
      <c r="S555" s="577"/>
      <c r="T555" s="213"/>
      <c r="U555" s="213"/>
      <c r="V555" s="213"/>
      <c r="W555" s="213"/>
      <c r="X555" s="213"/>
      <c r="Y555" s="213"/>
      <c r="Z555" s="213"/>
    </row>
    <row r="556" spans="1:26" s="210" customFormat="1" ht="13.15" customHeight="1">
      <c r="A556" s="206"/>
      <c r="B556" s="207"/>
      <c r="C556" s="208"/>
      <c r="D556" s="209"/>
      <c r="M556" s="211"/>
      <c r="N556" s="212"/>
      <c r="O556" s="577"/>
      <c r="P556" s="577"/>
      <c r="Q556" s="577"/>
      <c r="R556" s="577"/>
      <c r="S556" s="577"/>
      <c r="T556" s="213"/>
      <c r="U556" s="213"/>
      <c r="V556" s="213"/>
      <c r="W556" s="213"/>
      <c r="X556" s="213"/>
      <c r="Y556" s="213"/>
      <c r="Z556" s="213"/>
    </row>
    <row r="557" spans="1:26" s="210" customFormat="1" ht="13.15" customHeight="1">
      <c r="A557" s="206"/>
      <c r="B557" s="207"/>
      <c r="C557" s="208"/>
      <c r="D557" s="209"/>
      <c r="M557" s="211"/>
      <c r="N557" s="212"/>
      <c r="O557" s="577"/>
      <c r="P557" s="577"/>
      <c r="Q557" s="577"/>
      <c r="R557" s="577"/>
      <c r="S557" s="577"/>
      <c r="T557" s="213"/>
      <c r="U557" s="213"/>
      <c r="V557" s="213"/>
      <c r="W557" s="213"/>
      <c r="X557" s="213"/>
      <c r="Y557" s="213"/>
      <c r="Z557" s="213"/>
    </row>
    <row r="558" spans="1:26" s="210" customFormat="1" ht="13.15" customHeight="1">
      <c r="A558" s="206"/>
      <c r="B558" s="207"/>
      <c r="C558" s="208"/>
      <c r="D558" s="209"/>
      <c r="M558" s="211"/>
      <c r="N558" s="212"/>
      <c r="O558" s="577"/>
      <c r="P558" s="577"/>
      <c r="Q558" s="577"/>
      <c r="R558" s="577"/>
      <c r="S558" s="577"/>
      <c r="T558" s="213"/>
      <c r="U558" s="213"/>
      <c r="V558" s="213"/>
      <c r="W558" s="213"/>
      <c r="X558" s="213"/>
      <c r="Y558" s="213"/>
      <c r="Z558" s="213"/>
    </row>
    <row r="559" spans="1:26" s="210" customFormat="1" ht="13.15" customHeight="1">
      <c r="A559" s="206"/>
      <c r="B559" s="207"/>
      <c r="C559" s="208"/>
      <c r="D559" s="209"/>
      <c r="M559" s="211"/>
      <c r="N559" s="212"/>
      <c r="O559" s="577"/>
      <c r="P559" s="577"/>
      <c r="Q559" s="577"/>
      <c r="R559" s="577"/>
      <c r="S559" s="577"/>
      <c r="T559" s="213"/>
      <c r="U559" s="213"/>
      <c r="V559" s="213"/>
      <c r="W559" s="213"/>
      <c r="X559" s="213"/>
      <c r="Y559" s="213"/>
      <c r="Z559" s="213"/>
    </row>
    <row r="560" spans="1:26" s="210" customFormat="1" ht="13.15" customHeight="1">
      <c r="A560" s="206"/>
      <c r="B560" s="207"/>
      <c r="C560" s="208"/>
      <c r="D560" s="209"/>
      <c r="M560" s="211"/>
      <c r="N560" s="212"/>
      <c r="O560" s="577"/>
      <c r="P560" s="577"/>
      <c r="Q560" s="577"/>
      <c r="R560" s="577"/>
      <c r="S560" s="577"/>
      <c r="T560" s="213"/>
      <c r="U560" s="213"/>
      <c r="V560" s="213"/>
      <c r="W560" s="213"/>
      <c r="X560" s="213"/>
      <c r="Y560" s="213"/>
      <c r="Z560" s="213"/>
    </row>
    <row r="561" spans="1:90" s="210" customFormat="1" ht="13.15" customHeight="1">
      <c r="A561" s="206"/>
      <c r="B561" s="207"/>
      <c r="C561" s="208"/>
      <c r="D561" s="209"/>
      <c r="M561" s="211"/>
      <c r="N561" s="212"/>
      <c r="O561" s="577"/>
      <c r="P561" s="577"/>
      <c r="Q561" s="577"/>
      <c r="R561" s="577"/>
      <c r="S561" s="577"/>
      <c r="T561" s="213"/>
      <c r="U561" s="213"/>
      <c r="V561" s="213"/>
      <c r="W561" s="213"/>
      <c r="X561" s="213"/>
      <c r="Y561" s="213"/>
      <c r="Z561" s="213"/>
    </row>
    <row r="562" spans="1:90" s="210" customFormat="1" ht="13.15" customHeight="1">
      <c r="A562" s="206"/>
      <c r="B562" s="207"/>
      <c r="C562" s="208"/>
      <c r="D562" s="209"/>
      <c r="M562" s="211"/>
      <c r="N562" s="212"/>
      <c r="O562" s="577"/>
      <c r="P562" s="577"/>
      <c r="Q562" s="577"/>
      <c r="R562" s="577"/>
      <c r="S562" s="577"/>
      <c r="T562" s="213"/>
      <c r="U562" s="213"/>
      <c r="V562" s="213"/>
      <c r="W562" s="213"/>
      <c r="X562" s="213"/>
      <c r="Y562" s="213"/>
      <c r="Z562" s="213"/>
    </row>
    <row r="563" spans="1:90" s="210" customFormat="1" ht="13.15" customHeight="1">
      <c r="A563" s="206"/>
      <c r="B563" s="207"/>
      <c r="C563" s="208"/>
      <c r="D563" s="209"/>
      <c r="M563" s="211"/>
      <c r="N563" s="212"/>
      <c r="O563" s="577"/>
      <c r="P563" s="577"/>
      <c r="Q563" s="577"/>
      <c r="R563" s="577"/>
      <c r="S563" s="577"/>
      <c r="T563" s="213"/>
      <c r="U563" s="213"/>
      <c r="V563" s="213"/>
      <c r="W563" s="213"/>
      <c r="X563" s="213"/>
      <c r="Y563" s="213"/>
      <c r="Z563" s="213"/>
    </row>
    <row r="564" spans="1:90" s="210" customFormat="1" ht="13.15" customHeight="1">
      <c r="A564" s="206"/>
      <c r="B564" s="207"/>
      <c r="C564" s="208"/>
      <c r="D564" s="209"/>
      <c r="M564" s="211"/>
      <c r="N564" s="212"/>
      <c r="O564" s="577"/>
      <c r="P564" s="577"/>
      <c r="Q564" s="577"/>
      <c r="R564" s="577"/>
      <c r="S564" s="577"/>
      <c r="T564" s="213"/>
      <c r="U564" s="213"/>
      <c r="V564" s="213"/>
      <c r="W564" s="213"/>
      <c r="X564" s="213"/>
      <c r="Y564" s="213"/>
      <c r="Z564" s="213"/>
    </row>
    <row r="565" spans="1:90" s="210" customFormat="1" ht="13.15" customHeight="1">
      <c r="A565" s="206"/>
      <c r="B565" s="207"/>
      <c r="C565" s="208"/>
      <c r="D565" s="209"/>
      <c r="M565" s="211"/>
      <c r="N565" s="212"/>
      <c r="O565" s="577"/>
      <c r="P565" s="577"/>
      <c r="Q565" s="577"/>
      <c r="R565" s="577"/>
      <c r="S565" s="577"/>
      <c r="T565" s="213"/>
      <c r="U565" s="213"/>
      <c r="V565" s="213"/>
      <c r="W565" s="213"/>
      <c r="X565" s="213"/>
      <c r="Y565" s="213"/>
      <c r="Z565" s="213"/>
    </row>
    <row r="566" spans="1:90" s="210" customFormat="1" ht="13.15" customHeight="1">
      <c r="A566" s="206"/>
      <c r="B566" s="207"/>
      <c r="C566" s="208"/>
      <c r="D566" s="209"/>
      <c r="M566" s="211"/>
      <c r="N566" s="212"/>
      <c r="O566" s="577"/>
      <c r="P566" s="577"/>
      <c r="Q566" s="577"/>
      <c r="R566" s="577"/>
      <c r="S566" s="577"/>
      <c r="T566" s="213"/>
      <c r="U566" s="213"/>
      <c r="V566" s="213"/>
      <c r="W566" s="213"/>
      <c r="X566" s="213"/>
      <c r="Y566" s="213"/>
      <c r="Z566" s="213"/>
    </row>
    <row r="567" spans="1:90" s="210" customFormat="1" ht="13.15" customHeight="1">
      <c r="A567" s="206"/>
      <c r="B567" s="207"/>
      <c r="C567" s="208"/>
      <c r="D567" s="209"/>
      <c r="M567" s="211"/>
      <c r="N567" s="212"/>
      <c r="O567" s="577"/>
      <c r="P567" s="577"/>
      <c r="Q567" s="577"/>
      <c r="R567" s="577"/>
      <c r="S567" s="577"/>
      <c r="T567" s="213"/>
      <c r="U567" s="213"/>
      <c r="V567" s="213"/>
      <c r="W567" s="213"/>
      <c r="X567" s="213"/>
      <c r="Y567" s="213"/>
      <c r="Z567" s="213"/>
    </row>
    <row r="568" spans="1:90" s="214" customFormat="1" ht="13.15" customHeight="1">
      <c r="A568" s="206"/>
      <c r="B568" s="207"/>
      <c r="C568" s="208"/>
      <c r="D568" s="209"/>
      <c r="E568" s="210"/>
      <c r="F568" s="210"/>
      <c r="G568" s="210"/>
      <c r="H568" s="210"/>
      <c r="I568" s="210"/>
      <c r="J568" s="210"/>
      <c r="K568" s="210"/>
      <c r="L568" s="210"/>
      <c r="M568" s="211"/>
      <c r="N568" s="212"/>
      <c r="O568" s="577"/>
      <c r="P568" s="577"/>
      <c r="Q568" s="577"/>
      <c r="R568" s="577"/>
      <c r="S568" s="577"/>
      <c r="T568" s="213"/>
      <c r="U568" s="213"/>
      <c r="V568" s="213"/>
      <c r="W568" s="213"/>
      <c r="X568" s="213"/>
      <c r="Y568" s="213"/>
      <c r="Z568" s="213"/>
      <c r="AA568" s="210"/>
      <c r="AB568" s="210"/>
      <c r="AC568" s="210"/>
      <c r="AD568" s="210"/>
      <c r="AE568" s="210"/>
      <c r="AF568" s="210"/>
      <c r="AG568" s="210"/>
      <c r="AH568" s="210"/>
      <c r="AI568" s="210"/>
      <c r="AJ568" s="210"/>
      <c r="AK568" s="210"/>
      <c r="AL568" s="210"/>
      <c r="AM568" s="210"/>
      <c r="AN568" s="210"/>
      <c r="AO568" s="210"/>
      <c r="AP568" s="210"/>
      <c r="AQ568" s="210"/>
      <c r="AR568" s="210"/>
      <c r="AS568" s="210"/>
      <c r="AT568" s="210"/>
      <c r="AU568" s="210"/>
      <c r="AV568" s="210"/>
      <c r="AW568" s="210"/>
      <c r="AX568" s="210"/>
      <c r="AY568" s="210"/>
      <c r="AZ568" s="210"/>
      <c r="BA568" s="210"/>
      <c r="BB568" s="210"/>
      <c r="BC568" s="210"/>
      <c r="BD568" s="210"/>
      <c r="BE568" s="210"/>
      <c r="BF568" s="210"/>
      <c r="BG568" s="210"/>
      <c r="BH568" s="210"/>
      <c r="BI568" s="210"/>
      <c r="BJ568" s="210"/>
      <c r="BK568" s="210"/>
      <c r="BL568" s="210"/>
      <c r="BM568" s="210"/>
      <c r="BN568" s="210"/>
      <c r="BO568" s="210"/>
      <c r="BP568" s="210"/>
      <c r="BQ568" s="210"/>
      <c r="BR568" s="210"/>
      <c r="BS568" s="210"/>
      <c r="BT568" s="210"/>
      <c r="BU568" s="210"/>
      <c r="BV568" s="210"/>
      <c r="BW568" s="210"/>
      <c r="BX568" s="210"/>
      <c r="BY568" s="210"/>
      <c r="BZ568" s="210"/>
      <c r="CA568" s="210"/>
      <c r="CB568" s="210"/>
      <c r="CC568" s="210"/>
      <c r="CD568" s="210"/>
      <c r="CE568" s="210"/>
      <c r="CF568" s="210"/>
      <c r="CG568" s="210"/>
      <c r="CH568" s="210"/>
      <c r="CI568" s="210"/>
      <c r="CJ568" s="210"/>
      <c r="CK568" s="210"/>
      <c r="CL568" s="210"/>
    </row>
    <row r="657" spans="1:19" s="213" customFormat="1" ht="13.15" customHeight="1">
      <c r="A657" s="457"/>
      <c r="B657" s="207"/>
      <c r="C657" s="497"/>
      <c r="D657" s="219"/>
      <c r="M657" s="498"/>
      <c r="N657" s="212"/>
      <c r="O657" s="577"/>
      <c r="P657" s="577"/>
      <c r="Q657" s="577"/>
      <c r="R657" s="577"/>
      <c r="S657" s="577"/>
    </row>
    <row r="658" spans="1:19" s="213" customFormat="1" ht="13.15" customHeight="1">
      <c r="A658" s="457"/>
      <c r="B658" s="207"/>
      <c r="C658" s="497"/>
      <c r="D658" s="219"/>
      <c r="M658" s="498"/>
      <c r="N658" s="212"/>
      <c r="O658" s="577"/>
      <c r="P658" s="577"/>
      <c r="Q658" s="577"/>
      <c r="R658" s="577"/>
      <c r="S658" s="577"/>
    </row>
    <row r="659" spans="1:19" s="213" customFormat="1" ht="13.15" customHeight="1">
      <c r="A659" s="457"/>
      <c r="B659" s="207"/>
      <c r="C659" s="497"/>
      <c r="D659" s="219"/>
      <c r="M659" s="498"/>
      <c r="N659" s="212"/>
      <c r="O659" s="577"/>
      <c r="P659" s="577"/>
      <c r="Q659" s="577"/>
      <c r="R659" s="577"/>
      <c r="S659" s="577"/>
    </row>
    <row r="660" spans="1:19" s="213" customFormat="1" ht="13.15" customHeight="1">
      <c r="A660" s="457"/>
      <c r="B660" s="207"/>
      <c r="C660" s="497"/>
      <c r="D660" s="219"/>
      <c r="M660" s="498"/>
      <c r="N660" s="212"/>
      <c r="O660" s="577"/>
      <c r="P660" s="577"/>
      <c r="Q660" s="577"/>
      <c r="R660" s="577"/>
      <c r="S660" s="577"/>
    </row>
    <row r="661" spans="1:19" s="213" customFormat="1" ht="13.15" customHeight="1">
      <c r="A661" s="457"/>
      <c r="B661" s="207"/>
      <c r="C661" s="497"/>
      <c r="D661" s="219"/>
      <c r="M661" s="498"/>
      <c r="N661" s="212"/>
      <c r="O661" s="577"/>
      <c r="P661" s="577"/>
      <c r="Q661" s="577"/>
      <c r="R661" s="577"/>
      <c r="S661" s="577"/>
    </row>
    <row r="662" spans="1:19" s="213" customFormat="1" ht="13.15" customHeight="1">
      <c r="A662" s="457"/>
      <c r="B662" s="207"/>
      <c r="C662" s="497"/>
      <c r="D662" s="219"/>
      <c r="M662" s="498"/>
      <c r="N662" s="212"/>
      <c r="O662" s="577"/>
      <c r="P662" s="577"/>
      <c r="Q662" s="577"/>
      <c r="R662" s="577"/>
      <c r="S662" s="577"/>
    </row>
    <row r="663" spans="1:19" s="213" customFormat="1" ht="13.15" customHeight="1">
      <c r="A663" s="457"/>
      <c r="B663" s="207"/>
      <c r="C663" s="497"/>
      <c r="D663" s="219"/>
      <c r="M663" s="498"/>
      <c r="N663" s="212"/>
      <c r="O663" s="577"/>
      <c r="P663" s="577"/>
      <c r="Q663" s="577"/>
      <c r="R663" s="577"/>
      <c r="S663" s="577"/>
    </row>
    <row r="664" spans="1:19" s="213" customFormat="1" ht="13.15" customHeight="1">
      <c r="A664" s="457"/>
      <c r="B664" s="207"/>
      <c r="C664" s="497"/>
      <c r="D664" s="219"/>
      <c r="M664" s="498"/>
      <c r="N664" s="212"/>
      <c r="O664" s="577"/>
      <c r="P664" s="577"/>
      <c r="Q664" s="577"/>
      <c r="R664" s="577"/>
      <c r="S664" s="577"/>
    </row>
    <row r="665" spans="1:19" s="213" customFormat="1" ht="13.15" customHeight="1">
      <c r="A665" s="457"/>
      <c r="B665" s="207"/>
      <c r="C665" s="497"/>
      <c r="D665" s="219"/>
      <c r="M665" s="498"/>
      <c r="N665" s="212"/>
      <c r="O665" s="577"/>
      <c r="P665" s="577"/>
      <c r="Q665" s="577"/>
      <c r="R665" s="577"/>
      <c r="S665" s="577"/>
    </row>
    <row r="666" spans="1:19" s="213" customFormat="1" ht="13.15" customHeight="1">
      <c r="A666" s="457"/>
      <c r="B666" s="207"/>
      <c r="C666" s="497"/>
      <c r="D666" s="219"/>
      <c r="M666" s="498"/>
      <c r="N666" s="212"/>
      <c r="O666" s="577"/>
      <c r="P666" s="577"/>
      <c r="Q666" s="577"/>
      <c r="R666" s="577"/>
      <c r="S666" s="577"/>
    </row>
    <row r="667" spans="1:19" s="213" customFormat="1" ht="13.15" customHeight="1">
      <c r="A667" s="457"/>
      <c r="B667" s="207"/>
      <c r="C667" s="497"/>
      <c r="D667" s="219"/>
      <c r="M667" s="498"/>
      <c r="N667" s="212"/>
      <c r="O667" s="577"/>
      <c r="P667" s="577"/>
      <c r="Q667" s="577"/>
      <c r="R667" s="577"/>
      <c r="S667" s="577"/>
    </row>
    <row r="668" spans="1:19" s="213" customFormat="1" ht="13.15" customHeight="1">
      <c r="A668" s="457"/>
      <c r="B668" s="207"/>
      <c r="C668" s="497"/>
      <c r="D668" s="219"/>
      <c r="M668" s="498"/>
      <c r="N668" s="212"/>
      <c r="O668" s="577"/>
      <c r="P668" s="577"/>
      <c r="Q668" s="577"/>
      <c r="R668" s="577"/>
      <c r="S668" s="577"/>
    </row>
    <row r="669" spans="1:19" s="213" customFormat="1" ht="13.15" customHeight="1">
      <c r="A669" s="457"/>
      <c r="B669" s="207"/>
      <c r="C669" s="497"/>
      <c r="D669" s="219"/>
      <c r="M669" s="498"/>
      <c r="N669" s="212"/>
      <c r="O669" s="577"/>
      <c r="P669" s="577"/>
      <c r="Q669" s="577"/>
      <c r="R669" s="577"/>
      <c r="S669" s="577"/>
    </row>
    <row r="670" spans="1:19" s="213" customFormat="1" ht="13.15" customHeight="1">
      <c r="A670" s="457"/>
      <c r="B670" s="207"/>
      <c r="C670" s="497"/>
      <c r="D670" s="219"/>
      <c r="M670" s="498"/>
      <c r="N670" s="212"/>
      <c r="O670" s="577"/>
      <c r="P670" s="577"/>
      <c r="Q670" s="577"/>
      <c r="R670" s="577"/>
      <c r="S670" s="577"/>
    </row>
    <row r="671" spans="1:19" s="213" customFormat="1" ht="13.15" customHeight="1">
      <c r="A671" s="457"/>
      <c r="B671" s="207"/>
      <c r="C671" s="497"/>
      <c r="D671" s="219"/>
      <c r="M671" s="498"/>
      <c r="N671" s="212"/>
      <c r="O671" s="577"/>
      <c r="P671" s="577"/>
      <c r="Q671" s="577"/>
      <c r="R671" s="577"/>
      <c r="S671" s="577"/>
    </row>
    <row r="672" spans="1:19" s="213" customFormat="1" ht="13.15" customHeight="1">
      <c r="A672" s="457"/>
      <c r="B672" s="207"/>
      <c r="C672" s="497"/>
      <c r="D672" s="219"/>
      <c r="M672" s="498"/>
      <c r="N672" s="212"/>
      <c r="O672" s="577"/>
      <c r="P672" s="577"/>
      <c r="Q672" s="577"/>
      <c r="R672" s="577"/>
      <c r="S672" s="577"/>
    </row>
    <row r="673" spans="1:19" s="213" customFormat="1" ht="13.15" customHeight="1">
      <c r="A673" s="457"/>
      <c r="B673" s="207"/>
      <c r="C673" s="497"/>
      <c r="D673" s="219"/>
      <c r="M673" s="498"/>
      <c r="N673" s="212"/>
      <c r="O673" s="577"/>
      <c r="P673" s="577"/>
      <c r="Q673" s="577"/>
      <c r="R673" s="577"/>
      <c r="S673" s="577"/>
    </row>
    <row r="674" spans="1:19" s="213" customFormat="1" ht="13.15" customHeight="1">
      <c r="A674" s="457"/>
      <c r="B674" s="207"/>
      <c r="C674" s="497"/>
      <c r="D674" s="219"/>
      <c r="M674" s="498"/>
      <c r="N674" s="212"/>
      <c r="O674" s="577"/>
      <c r="P674" s="577"/>
      <c r="Q674" s="577"/>
      <c r="R674" s="577"/>
      <c r="S674" s="577"/>
    </row>
    <row r="675" spans="1:19" s="213" customFormat="1" ht="13.15" customHeight="1">
      <c r="A675" s="457"/>
      <c r="B675" s="207"/>
      <c r="C675" s="497"/>
      <c r="D675" s="219"/>
      <c r="M675" s="498"/>
      <c r="N675" s="212"/>
      <c r="O675" s="577"/>
      <c r="P675" s="577"/>
      <c r="Q675" s="577"/>
      <c r="R675" s="577"/>
      <c r="S675" s="577"/>
    </row>
    <row r="676" spans="1:19" s="213" customFormat="1" ht="13.15" customHeight="1">
      <c r="A676" s="457"/>
      <c r="B676" s="207"/>
      <c r="C676" s="497"/>
      <c r="D676" s="219"/>
      <c r="M676" s="498"/>
      <c r="N676" s="212"/>
      <c r="O676" s="577"/>
      <c r="P676" s="577"/>
      <c r="Q676" s="577"/>
      <c r="R676" s="577"/>
      <c r="S676" s="577"/>
    </row>
    <row r="677" spans="1:19" s="213" customFormat="1" ht="13.15" customHeight="1">
      <c r="A677" s="457"/>
      <c r="B677" s="207"/>
      <c r="C677" s="497"/>
      <c r="D677" s="219"/>
      <c r="M677" s="498"/>
      <c r="N677" s="212"/>
      <c r="O677" s="577"/>
      <c r="P677" s="577"/>
      <c r="Q677" s="577"/>
      <c r="R677" s="577"/>
      <c r="S677" s="577"/>
    </row>
    <row r="678" spans="1:19" s="213" customFormat="1" ht="13.15" customHeight="1">
      <c r="A678" s="457"/>
      <c r="B678" s="207"/>
      <c r="C678" s="497"/>
      <c r="D678" s="219"/>
      <c r="M678" s="498"/>
      <c r="N678" s="212"/>
      <c r="O678" s="577"/>
      <c r="P678" s="577"/>
      <c r="Q678" s="577"/>
      <c r="R678" s="577"/>
      <c r="S678" s="577"/>
    </row>
    <row r="679" spans="1:19" s="213" customFormat="1" ht="13.15" customHeight="1">
      <c r="A679" s="457"/>
      <c r="B679" s="207"/>
      <c r="C679" s="497"/>
      <c r="D679" s="219"/>
      <c r="M679" s="498"/>
      <c r="N679" s="212"/>
      <c r="O679" s="577"/>
      <c r="P679" s="577"/>
      <c r="Q679" s="577"/>
      <c r="R679" s="577"/>
      <c r="S679" s="577"/>
    </row>
    <row r="680" spans="1:19" s="213" customFormat="1" ht="13.15" customHeight="1">
      <c r="A680" s="457"/>
      <c r="B680" s="207"/>
      <c r="C680" s="497"/>
      <c r="D680" s="219"/>
      <c r="M680" s="498"/>
      <c r="N680" s="212"/>
      <c r="O680" s="577"/>
      <c r="P680" s="577"/>
      <c r="Q680" s="577"/>
      <c r="R680" s="577"/>
      <c r="S680" s="577"/>
    </row>
    <row r="681" spans="1:19" s="213" customFormat="1" ht="13.15" customHeight="1">
      <c r="A681" s="457"/>
      <c r="B681" s="207"/>
      <c r="C681" s="497"/>
      <c r="D681" s="219"/>
      <c r="M681" s="498"/>
      <c r="N681" s="212"/>
      <c r="O681" s="577"/>
      <c r="P681" s="577"/>
      <c r="Q681" s="577"/>
      <c r="R681" s="577"/>
      <c r="S681" s="577"/>
    </row>
    <row r="682" spans="1:19" s="213" customFormat="1" ht="13.15" customHeight="1">
      <c r="A682" s="457"/>
      <c r="B682" s="207"/>
      <c r="C682" s="497"/>
      <c r="D682" s="219"/>
      <c r="M682" s="498"/>
      <c r="N682" s="212"/>
      <c r="O682" s="577"/>
      <c r="P682" s="577"/>
      <c r="Q682" s="577"/>
      <c r="R682" s="577"/>
      <c r="S682" s="577"/>
    </row>
    <row r="683" spans="1:19" s="213" customFormat="1" ht="13.15" customHeight="1">
      <c r="A683" s="457"/>
      <c r="B683" s="207"/>
      <c r="C683" s="497"/>
      <c r="D683" s="219"/>
      <c r="M683" s="498"/>
      <c r="N683" s="212"/>
      <c r="O683" s="577"/>
      <c r="P683" s="577"/>
      <c r="Q683" s="577"/>
      <c r="R683" s="577"/>
      <c r="S683" s="577"/>
    </row>
    <row r="684" spans="1:19" s="213" customFormat="1" ht="13.15" customHeight="1">
      <c r="A684" s="457"/>
      <c r="B684" s="207"/>
      <c r="C684" s="497"/>
      <c r="D684" s="219"/>
      <c r="M684" s="498"/>
      <c r="N684" s="212"/>
      <c r="O684" s="577"/>
      <c r="P684" s="577"/>
      <c r="Q684" s="577"/>
      <c r="R684" s="577"/>
      <c r="S684" s="577"/>
    </row>
    <row r="685" spans="1:19" s="213" customFormat="1" ht="13.15" customHeight="1">
      <c r="A685" s="457"/>
      <c r="B685" s="207"/>
      <c r="C685" s="497"/>
      <c r="D685" s="219"/>
      <c r="M685" s="498"/>
      <c r="N685" s="212"/>
      <c r="O685" s="577"/>
      <c r="P685" s="577"/>
      <c r="Q685" s="577"/>
      <c r="R685" s="577"/>
      <c r="S685" s="577"/>
    </row>
    <row r="686" spans="1:19" s="213" customFormat="1" ht="13.15" customHeight="1">
      <c r="A686" s="457"/>
      <c r="B686" s="207"/>
      <c r="C686" s="497"/>
      <c r="D686" s="219"/>
      <c r="M686" s="498"/>
      <c r="N686" s="212"/>
      <c r="O686" s="577"/>
      <c r="P686" s="577"/>
      <c r="Q686" s="577"/>
      <c r="R686" s="577"/>
      <c r="S686" s="577"/>
    </row>
    <row r="687" spans="1:19" s="213" customFormat="1" ht="13.15" customHeight="1">
      <c r="A687" s="457"/>
      <c r="B687" s="207"/>
      <c r="C687" s="497"/>
      <c r="D687" s="219"/>
      <c r="M687" s="498"/>
      <c r="N687" s="212"/>
      <c r="O687" s="577"/>
      <c r="P687" s="577"/>
      <c r="Q687" s="577"/>
      <c r="R687" s="577"/>
      <c r="S687" s="577"/>
    </row>
    <row r="688" spans="1:19" s="213" customFormat="1" ht="13.15" customHeight="1">
      <c r="A688" s="457"/>
      <c r="B688" s="207"/>
      <c r="C688" s="497"/>
      <c r="D688" s="219"/>
      <c r="M688" s="498"/>
      <c r="N688" s="212"/>
      <c r="O688" s="577"/>
      <c r="P688" s="577"/>
      <c r="Q688" s="577"/>
      <c r="R688" s="577"/>
      <c r="S688" s="577"/>
    </row>
    <row r="689" spans="1:19" s="213" customFormat="1" ht="13.15" customHeight="1">
      <c r="A689" s="457"/>
      <c r="B689" s="207"/>
      <c r="C689" s="497"/>
      <c r="D689" s="219"/>
      <c r="M689" s="498"/>
      <c r="N689" s="212"/>
      <c r="O689" s="577"/>
      <c r="P689" s="577"/>
      <c r="Q689" s="577"/>
      <c r="R689" s="577"/>
      <c r="S689" s="577"/>
    </row>
    <row r="690" spans="1:19" s="213" customFormat="1" ht="13.15" customHeight="1">
      <c r="A690" s="457"/>
      <c r="B690" s="207"/>
      <c r="C690" s="497"/>
      <c r="D690" s="219"/>
      <c r="M690" s="498"/>
      <c r="N690" s="212"/>
      <c r="O690" s="577"/>
      <c r="P690" s="577"/>
      <c r="Q690" s="577"/>
      <c r="R690" s="577"/>
      <c r="S690" s="577"/>
    </row>
    <row r="691" spans="1:19" s="213" customFormat="1" ht="13.15" customHeight="1">
      <c r="A691" s="457"/>
      <c r="B691" s="207"/>
      <c r="C691" s="497"/>
      <c r="D691" s="219"/>
      <c r="M691" s="498"/>
      <c r="N691" s="212"/>
      <c r="O691" s="577"/>
      <c r="P691" s="577"/>
      <c r="Q691" s="577"/>
      <c r="R691" s="577"/>
      <c r="S691" s="577"/>
    </row>
    <row r="692" spans="1:19" s="213" customFormat="1" ht="13.15" customHeight="1">
      <c r="A692" s="457"/>
      <c r="B692" s="207"/>
      <c r="C692" s="497"/>
      <c r="D692" s="219"/>
      <c r="M692" s="498"/>
      <c r="N692" s="212"/>
      <c r="O692" s="577"/>
      <c r="P692" s="577"/>
      <c r="Q692" s="577"/>
      <c r="R692" s="577"/>
      <c r="S692" s="577"/>
    </row>
    <row r="693" spans="1:19" s="213" customFormat="1" ht="13.15" customHeight="1">
      <c r="A693" s="457"/>
      <c r="B693" s="207"/>
      <c r="C693" s="497"/>
      <c r="D693" s="219"/>
      <c r="M693" s="498"/>
      <c r="N693" s="212"/>
      <c r="O693" s="577"/>
      <c r="P693" s="577"/>
      <c r="Q693" s="577"/>
      <c r="R693" s="577"/>
      <c r="S693" s="577"/>
    </row>
    <row r="694" spans="1:19" s="213" customFormat="1" ht="13.15" customHeight="1">
      <c r="A694" s="457"/>
      <c r="B694" s="207"/>
      <c r="C694" s="497"/>
      <c r="D694" s="219"/>
      <c r="M694" s="498"/>
      <c r="N694" s="212"/>
      <c r="O694" s="577"/>
      <c r="P694" s="577"/>
      <c r="Q694" s="577"/>
      <c r="R694" s="577"/>
      <c r="S694" s="577"/>
    </row>
    <row r="695" spans="1:19" s="213" customFormat="1" ht="13.15" customHeight="1">
      <c r="A695" s="457"/>
      <c r="B695" s="207"/>
      <c r="C695" s="497"/>
      <c r="D695" s="219"/>
      <c r="M695" s="498"/>
      <c r="N695" s="212"/>
      <c r="O695" s="577"/>
      <c r="P695" s="577"/>
      <c r="Q695" s="577"/>
      <c r="R695" s="577"/>
      <c r="S695" s="577"/>
    </row>
    <row r="696" spans="1:19" s="213" customFormat="1" ht="13.15" customHeight="1">
      <c r="A696" s="457"/>
      <c r="B696" s="207"/>
      <c r="C696" s="497"/>
      <c r="D696" s="219"/>
      <c r="M696" s="498"/>
      <c r="N696" s="212"/>
      <c r="O696" s="577"/>
      <c r="P696" s="577"/>
      <c r="Q696" s="577"/>
      <c r="R696" s="577"/>
      <c r="S696" s="577"/>
    </row>
    <row r="697" spans="1:19" s="213" customFormat="1" ht="13.15" customHeight="1">
      <c r="A697" s="457"/>
      <c r="B697" s="207"/>
      <c r="C697" s="497"/>
      <c r="D697" s="219"/>
      <c r="M697" s="498"/>
      <c r="N697" s="212"/>
      <c r="O697" s="577"/>
      <c r="P697" s="577"/>
      <c r="Q697" s="577"/>
      <c r="R697" s="577"/>
      <c r="S697" s="577"/>
    </row>
    <row r="698" spans="1:19" s="213" customFormat="1" ht="13.15" customHeight="1">
      <c r="A698" s="457"/>
      <c r="B698" s="207"/>
      <c r="C698" s="497"/>
      <c r="D698" s="219"/>
      <c r="M698" s="498"/>
      <c r="N698" s="212"/>
      <c r="O698" s="577"/>
      <c r="P698" s="577"/>
      <c r="Q698" s="577"/>
      <c r="R698" s="577"/>
      <c r="S698" s="577"/>
    </row>
    <row r="699" spans="1:19" s="213" customFormat="1" ht="13.15" customHeight="1">
      <c r="A699" s="457"/>
      <c r="B699" s="207"/>
      <c r="C699" s="497"/>
      <c r="D699" s="219"/>
      <c r="M699" s="498"/>
      <c r="N699" s="212"/>
      <c r="O699" s="577"/>
      <c r="P699" s="577"/>
      <c r="Q699" s="577"/>
      <c r="R699" s="577"/>
      <c r="S699" s="577"/>
    </row>
    <row r="700" spans="1:19" s="213" customFormat="1" ht="13.15" customHeight="1">
      <c r="A700" s="457"/>
      <c r="B700" s="207"/>
      <c r="C700" s="497"/>
      <c r="D700" s="219"/>
      <c r="M700" s="498"/>
      <c r="N700" s="212"/>
      <c r="O700" s="577"/>
      <c r="P700" s="577"/>
      <c r="Q700" s="577"/>
      <c r="R700" s="577"/>
      <c r="S700" s="577"/>
    </row>
    <row r="701" spans="1:19" s="213" customFormat="1" ht="13.15" customHeight="1">
      <c r="A701" s="457"/>
      <c r="B701" s="207"/>
      <c r="C701" s="497"/>
      <c r="D701" s="219"/>
      <c r="M701" s="498"/>
      <c r="N701" s="212"/>
      <c r="O701" s="577"/>
      <c r="P701" s="577"/>
      <c r="Q701" s="577"/>
      <c r="R701" s="577"/>
      <c r="S701" s="577"/>
    </row>
    <row r="702" spans="1:19" s="213" customFormat="1" ht="13.15" customHeight="1">
      <c r="A702" s="457"/>
      <c r="B702" s="207"/>
      <c r="C702" s="497"/>
      <c r="D702" s="219"/>
      <c r="M702" s="498"/>
      <c r="N702" s="212"/>
      <c r="O702" s="577"/>
      <c r="P702" s="577"/>
      <c r="Q702" s="577"/>
      <c r="R702" s="577"/>
      <c r="S702" s="577"/>
    </row>
    <row r="703" spans="1:19" s="213" customFormat="1" ht="13.15" customHeight="1">
      <c r="A703" s="457"/>
      <c r="B703" s="207"/>
      <c r="C703" s="497"/>
      <c r="D703" s="219"/>
      <c r="M703" s="498"/>
      <c r="N703" s="212"/>
      <c r="O703" s="577"/>
      <c r="P703" s="577"/>
      <c r="Q703" s="577"/>
      <c r="R703" s="577"/>
      <c r="S703" s="577"/>
    </row>
    <row r="704" spans="1:19" s="213" customFormat="1" ht="13.15" customHeight="1">
      <c r="A704" s="457"/>
      <c r="B704" s="207"/>
      <c r="C704" s="497"/>
      <c r="D704" s="219"/>
      <c r="M704" s="498"/>
      <c r="N704" s="212"/>
      <c r="O704" s="577"/>
      <c r="P704" s="577"/>
      <c r="Q704" s="577"/>
      <c r="R704" s="577"/>
      <c r="S704" s="577"/>
    </row>
    <row r="705" spans="1:19" s="213" customFormat="1" ht="13.15" customHeight="1">
      <c r="A705" s="457"/>
      <c r="B705" s="207"/>
      <c r="C705" s="497"/>
      <c r="D705" s="219"/>
      <c r="M705" s="498"/>
      <c r="N705" s="212"/>
      <c r="O705" s="577"/>
      <c r="P705" s="577"/>
      <c r="Q705" s="577"/>
      <c r="R705" s="577"/>
      <c r="S705" s="577"/>
    </row>
    <row r="706" spans="1:19" s="213" customFormat="1" ht="13.15" customHeight="1">
      <c r="A706" s="457"/>
      <c r="B706" s="207"/>
      <c r="C706" s="497"/>
      <c r="D706" s="219"/>
      <c r="M706" s="498"/>
      <c r="N706" s="212"/>
      <c r="O706" s="577"/>
      <c r="P706" s="577"/>
      <c r="Q706" s="577"/>
      <c r="R706" s="577"/>
      <c r="S706" s="577"/>
    </row>
    <row r="707" spans="1:19" s="213" customFormat="1" ht="13.15" customHeight="1">
      <c r="A707" s="457"/>
      <c r="B707" s="207"/>
      <c r="C707" s="497"/>
      <c r="D707" s="219"/>
      <c r="M707" s="498"/>
      <c r="N707" s="212"/>
      <c r="O707" s="577"/>
      <c r="P707" s="577"/>
      <c r="Q707" s="577"/>
      <c r="R707" s="577"/>
      <c r="S707" s="577"/>
    </row>
    <row r="708" spans="1:19" s="213" customFormat="1" ht="13.15" customHeight="1">
      <c r="A708" s="457"/>
      <c r="B708" s="207"/>
      <c r="C708" s="497"/>
      <c r="D708" s="219"/>
      <c r="M708" s="498"/>
      <c r="N708" s="212"/>
      <c r="O708" s="577"/>
      <c r="P708" s="577"/>
      <c r="Q708" s="577"/>
      <c r="R708" s="577"/>
      <c r="S708" s="577"/>
    </row>
    <row r="709" spans="1:19" s="213" customFormat="1" ht="13.15" customHeight="1">
      <c r="A709" s="457"/>
      <c r="B709" s="207"/>
      <c r="C709" s="497"/>
      <c r="D709" s="219"/>
      <c r="M709" s="498"/>
      <c r="N709" s="212"/>
      <c r="O709" s="577"/>
      <c r="P709" s="577"/>
      <c r="Q709" s="577"/>
      <c r="R709" s="577"/>
      <c r="S709" s="577"/>
    </row>
    <row r="710" spans="1:19" s="213" customFormat="1" ht="13.15" customHeight="1">
      <c r="A710" s="457"/>
      <c r="B710" s="207"/>
      <c r="C710" s="497"/>
      <c r="D710" s="219"/>
      <c r="M710" s="498"/>
      <c r="N710" s="212"/>
      <c r="O710" s="577"/>
      <c r="P710" s="577"/>
      <c r="Q710" s="577"/>
      <c r="R710" s="577"/>
      <c r="S710" s="577"/>
    </row>
    <row r="711" spans="1:19" s="213" customFormat="1" ht="13.15" customHeight="1">
      <c r="A711" s="457"/>
      <c r="B711" s="207"/>
      <c r="C711" s="497"/>
      <c r="D711" s="219"/>
      <c r="M711" s="498"/>
      <c r="N711" s="212"/>
      <c r="O711" s="577"/>
      <c r="P711" s="577"/>
      <c r="Q711" s="577"/>
      <c r="R711" s="577"/>
      <c r="S711" s="577"/>
    </row>
    <row r="712" spans="1:19" s="213" customFormat="1" ht="13.15" customHeight="1">
      <c r="A712" s="457"/>
      <c r="B712" s="207"/>
      <c r="C712" s="497"/>
      <c r="D712" s="219"/>
      <c r="M712" s="498"/>
      <c r="N712" s="212"/>
      <c r="O712" s="577"/>
      <c r="P712" s="577"/>
      <c r="Q712" s="577"/>
      <c r="R712" s="577"/>
      <c r="S712" s="577"/>
    </row>
    <row r="713" spans="1:19" s="213" customFormat="1" ht="13.15" customHeight="1">
      <c r="A713" s="457"/>
      <c r="B713" s="207"/>
      <c r="C713" s="497"/>
      <c r="D713" s="219"/>
      <c r="M713" s="498"/>
      <c r="N713" s="212"/>
      <c r="O713" s="577"/>
      <c r="P713" s="577"/>
      <c r="Q713" s="577"/>
      <c r="R713" s="577"/>
      <c r="S713" s="577"/>
    </row>
    <row r="714" spans="1:19" s="213" customFormat="1" ht="13.15" customHeight="1">
      <c r="A714" s="457"/>
      <c r="B714" s="207"/>
      <c r="C714" s="497"/>
      <c r="D714" s="219"/>
      <c r="M714" s="498"/>
      <c r="N714" s="212"/>
      <c r="O714" s="577"/>
      <c r="P714" s="577"/>
      <c r="Q714" s="577"/>
      <c r="R714" s="577"/>
      <c r="S714" s="577"/>
    </row>
    <row r="715" spans="1:19" s="213" customFormat="1" ht="13.15" customHeight="1">
      <c r="A715" s="457"/>
      <c r="B715" s="207"/>
      <c r="C715" s="497"/>
      <c r="D715" s="219"/>
      <c r="M715" s="498"/>
      <c r="N715" s="212"/>
      <c r="O715" s="577"/>
      <c r="P715" s="577"/>
      <c r="Q715" s="577"/>
      <c r="R715" s="577"/>
      <c r="S715" s="577"/>
    </row>
    <row r="716" spans="1:19" s="213" customFormat="1" ht="13.15" customHeight="1">
      <c r="A716" s="457"/>
      <c r="B716" s="207"/>
      <c r="C716" s="497"/>
      <c r="D716" s="219"/>
      <c r="M716" s="498"/>
      <c r="N716" s="212"/>
      <c r="O716" s="577"/>
      <c r="P716" s="577"/>
      <c r="Q716" s="577"/>
      <c r="R716" s="577"/>
      <c r="S716" s="577"/>
    </row>
    <row r="717" spans="1:19" s="213" customFormat="1" ht="13.15" customHeight="1">
      <c r="A717" s="457"/>
      <c r="B717" s="207"/>
      <c r="C717" s="497"/>
      <c r="D717" s="219"/>
      <c r="M717" s="498"/>
      <c r="N717" s="212"/>
      <c r="O717" s="577"/>
      <c r="P717" s="577"/>
      <c r="Q717" s="577"/>
      <c r="R717" s="577"/>
      <c r="S717" s="577"/>
    </row>
    <row r="718" spans="1:19" s="213" customFormat="1" ht="13.15" customHeight="1">
      <c r="A718" s="457"/>
      <c r="B718" s="207"/>
      <c r="C718" s="497"/>
      <c r="D718" s="219"/>
      <c r="M718" s="498"/>
      <c r="N718" s="212"/>
      <c r="O718" s="577"/>
      <c r="P718" s="577"/>
      <c r="Q718" s="577"/>
      <c r="R718" s="577"/>
      <c r="S718" s="577"/>
    </row>
    <row r="719" spans="1:19" s="213" customFormat="1" ht="13.15" customHeight="1">
      <c r="A719" s="457"/>
      <c r="B719" s="207"/>
      <c r="C719" s="497"/>
      <c r="D719" s="219"/>
      <c r="M719" s="498"/>
      <c r="N719" s="212"/>
      <c r="O719" s="577"/>
      <c r="P719" s="577"/>
      <c r="Q719" s="577"/>
      <c r="R719" s="577"/>
      <c r="S719" s="577"/>
    </row>
    <row r="720" spans="1:19" s="213" customFormat="1" ht="13.15" customHeight="1">
      <c r="A720" s="457"/>
      <c r="B720" s="207"/>
      <c r="C720" s="497"/>
      <c r="D720" s="219"/>
      <c r="M720" s="498"/>
      <c r="N720" s="212"/>
      <c r="O720" s="577"/>
      <c r="P720" s="577"/>
      <c r="Q720" s="577"/>
      <c r="R720" s="577"/>
      <c r="S720" s="577"/>
    </row>
    <row r="721" spans="1:19" s="213" customFormat="1" ht="13.15" customHeight="1">
      <c r="A721" s="457"/>
      <c r="B721" s="207"/>
      <c r="C721" s="497"/>
      <c r="D721" s="219"/>
      <c r="M721" s="498"/>
      <c r="N721" s="212"/>
      <c r="O721" s="577"/>
      <c r="P721" s="577"/>
      <c r="Q721" s="577"/>
      <c r="R721" s="577"/>
      <c r="S721" s="577"/>
    </row>
    <row r="722" spans="1:19" s="213" customFormat="1" ht="13.15" customHeight="1">
      <c r="A722" s="457"/>
      <c r="B722" s="207"/>
      <c r="C722" s="497"/>
      <c r="D722" s="219"/>
      <c r="M722" s="498"/>
      <c r="N722" s="212"/>
      <c r="O722" s="577"/>
      <c r="P722" s="577"/>
      <c r="Q722" s="577"/>
      <c r="R722" s="577"/>
      <c r="S722" s="577"/>
    </row>
    <row r="723" spans="1:19" s="213" customFormat="1" ht="13.15" customHeight="1">
      <c r="A723" s="457"/>
      <c r="B723" s="207"/>
      <c r="C723" s="497"/>
      <c r="D723" s="219"/>
      <c r="M723" s="498"/>
      <c r="N723" s="212"/>
      <c r="O723" s="577"/>
      <c r="P723" s="577"/>
      <c r="Q723" s="577"/>
      <c r="R723" s="577"/>
      <c r="S723" s="577"/>
    </row>
    <row r="724" spans="1:19" s="213" customFormat="1" ht="13.15" customHeight="1">
      <c r="A724" s="457"/>
      <c r="B724" s="207"/>
      <c r="C724" s="497"/>
      <c r="D724" s="219"/>
      <c r="M724" s="498"/>
      <c r="N724" s="212"/>
      <c r="O724" s="577"/>
      <c r="P724" s="577"/>
      <c r="Q724" s="577"/>
      <c r="R724" s="577"/>
      <c r="S724" s="577"/>
    </row>
    <row r="725" spans="1:19" s="213" customFormat="1" ht="13.15" customHeight="1">
      <c r="A725" s="457"/>
      <c r="B725" s="207"/>
      <c r="C725" s="497"/>
      <c r="D725" s="219"/>
      <c r="M725" s="498"/>
      <c r="N725" s="212"/>
      <c r="O725" s="577"/>
      <c r="P725" s="577"/>
      <c r="Q725" s="577"/>
      <c r="R725" s="577"/>
      <c r="S725" s="577"/>
    </row>
    <row r="726" spans="1:19" s="213" customFormat="1" ht="13.15" customHeight="1">
      <c r="A726" s="457"/>
      <c r="B726" s="207"/>
      <c r="C726" s="497"/>
      <c r="D726" s="219"/>
      <c r="M726" s="498"/>
      <c r="N726" s="212"/>
      <c r="O726" s="577"/>
      <c r="P726" s="577"/>
      <c r="Q726" s="577"/>
      <c r="R726" s="577"/>
      <c r="S726" s="577"/>
    </row>
    <row r="727" spans="1:19" s="213" customFormat="1" ht="13.15" customHeight="1">
      <c r="A727" s="457"/>
      <c r="B727" s="207"/>
      <c r="C727" s="497"/>
      <c r="D727" s="219"/>
      <c r="M727" s="498"/>
      <c r="N727" s="212"/>
      <c r="O727" s="577"/>
      <c r="P727" s="577"/>
      <c r="Q727" s="577"/>
      <c r="R727" s="577"/>
      <c r="S727" s="577"/>
    </row>
    <row r="728" spans="1:19" s="213" customFormat="1" ht="13.15" customHeight="1">
      <c r="A728" s="457"/>
      <c r="B728" s="207"/>
      <c r="C728" s="497"/>
      <c r="D728" s="219"/>
      <c r="M728" s="498"/>
      <c r="N728" s="212"/>
      <c r="O728" s="577"/>
      <c r="P728" s="577"/>
      <c r="Q728" s="577"/>
      <c r="R728" s="577"/>
      <c r="S728" s="577"/>
    </row>
    <row r="729" spans="1:19" s="213" customFormat="1" ht="13.15" customHeight="1">
      <c r="A729" s="457"/>
      <c r="B729" s="207"/>
      <c r="C729" s="497"/>
      <c r="D729" s="219"/>
      <c r="M729" s="498"/>
      <c r="N729" s="212"/>
      <c r="O729" s="577"/>
      <c r="P729" s="577"/>
      <c r="Q729" s="577"/>
      <c r="R729" s="577"/>
      <c r="S729" s="577"/>
    </row>
    <row r="730" spans="1:19" s="213" customFormat="1" ht="13.15" customHeight="1">
      <c r="A730" s="457"/>
      <c r="B730" s="207"/>
      <c r="C730" s="497"/>
      <c r="D730" s="219"/>
      <c r="M730" s="498"/>
      <c r="N730" s="212"/>
      <c r="O730" s="577"/>
      <c r="P730" s="577"/>
      <c r="Q730" s="577"/>
      <c r="R730" s="577"/>
      <c r="S730" s="577"/>
    </row>
    <row r="731" spans="1:19" s="213" customFormat="1" ht="13.15" customHeight="1">
      <c r="A731" s="457"/>
      <c r="B731" s="207"/>
      <c r="C731" s="497"/>
      <c r="D731" s="219"/>
      <c r="M731" s="498"/>
      <c r="N731" s="212"/>
      <c r="O731" s="577"/>
      <c r="P731" s="577"/>
      <c r="Q731" s="577"/>
      <c r="R731" s="577"/>
      <c r="S731" s="577"/>
    </row>
    <row r="732" spans="1:19" s="213" customFormat="1" ht="13.15" customHeight="1">
      <c r="A732" s="457"/>
      <c r="B732" s="207"/>
      <c r="C732" s="497"/>
      <c r="D732" s="219"/>
      <c r="M732" s="498"/>
      <c r="N732" s="212"/>
      <c r="O732" s="577"/>
      <c r="P732" s="577"/>
      <c r="Q732" s="577"/>
      <c r="R732" s="577"/>
      <c r="S732" s="577"/>
    </row>
    <row r="733" spans="1:19" s="213" customFormat="1" ht="13.15" customHeight="1">
      <c r="A733" s="457"/>
      <c r="B733" s="207"/>
      <c r="C733" s="497"/>
      <c r="D733" s="219"/>
      <c r="M733" s="498"/>
      <c r="N733" s="212"/>
      <c r="O733" s="577"/>
      <c r="P733" s="577"/>
      <c r="Q733" s="577"/>
      <c r="R733" s="577"/>
      <c r="S733" s="577"/>
    </row>
    <row r="734" spans="1:19" s="213" customFormat="1" ht="13.15" customHeight="1">
      <c r="A734" s="457"/>
      <c r="B734" s="207"/>
      <c r="C734" s="497"/>
      <c r="D734" s="219"/>
      <c r="M734" s="498"/>
      <c r="N734" s="212"/>
      <c r="O734" s="577"/>
      <c r="P734" s="577"/>
      <c r="Q734" s="577"/>
      <c r="R734" s="577"/>
      <c r="S734" s="577"/>
    </row>
    <row r="735" spans="1:19" s="213" customFormat="1" ht="13.15" customHeight="1">
      <c r="A735" s="457"/>
      <c r="B735" s="207"/>
      <c r="C735" s="497"/>
      <c r="D735" s="219"/>
      <c r="M735" s="498"/>
      <c r="N735" s="212"/>
      <c r="O735" s="577"/>
      <c r="P735" s="577"/>
      <c r="Q735" s="577"/>
      <c r="R735" s="577"/>
      <c r="S735" s="577"/>
    </row>
    <row r="736" spans="1:19" s="213" customFormat="1" ht="13.15" customHeight="1">
      <c r="A736" s="457"/>
      <c r="B736" s="207"/>
      <c r="C736" s="497"/>
      <c r="D736" s="219"/>
      <c r="M736" s="498"/>
      <c r="N736" s="212"/>
      <c r="O736" s="577"/>
      <c r="P736" s="577"/>
      <c r="Q736" s="577"/>
      <c r="R736" s="577"/>
      <c r="S736" s="577"/>
    </row>
    <row r="737" spans="1:19" s="213" customFormat="1" ht="13.15" customHeight="1">
      <c r="A737" s="457"/>
      <c r="B737" s="207"/>
      <c r="C737" s="497"/>
      <c r="D737" s="219"/>
      <c r="M737" s="498"/>
      <c r="N737" s="212"/>
      <c r="O737" s="577"/>
      <c r="P737" s="577"/>
      <c r="Q737" s="577"/>
      <c r="R737" s="577"/>
      <c r="S737" s="577"/>
    </row>
    <row r="738" spans="1:19" s="213" customFormat="1" ht="13.15" customHeight="1">
      <c r="A738" s="457"/>
      <c r="B738" s="207"/>
      <c r="C738" s="497"/>
      <c r="D738" s="219"/>
      <c r="M738" s="498"/>
      <c r="N738" s="212"/>
      <c r="O738" s="577"/>
      <c r="P738" s="577"/>
      <c r="Q738" s="577"/>
      <c r="R738" s="577"/>
      <c r="S738" s="577"/>
    </row>
    <row r="739" spans="1:19" s="213" customFormat="1" ht="13.15" customHeight="1">
      <c r="A739" s="457"/>
      <c r="B739" s="207"/>
      <c r="C739" s="497"/>
      <c r="D739" s="219"/>
      <c r="M739" s="498"/>
      <c r="N739" s="212"/>
      <c r="O739" s="577"/>
      <c r="P739" s="577"/>
      <c r="Q739" s="577"/>
      <c r="R739" s="577"/>
      <c r="S739" s="577"/>
    </row>
    <row r="740" spans="1:19" s="213" customFormat="1" ht="13.15" customHeight="1">
      <c r="A740" s="457"/>
      <c r="B740" s="207"/>
      <c r="C740" s="497"/>
      <c r="D740" s="219"/>
      <c r="M740" s="498"/>
      <c r="N740" s="212"/>
      <c r="O740" s="577"/>
      <c r="P740" s="577"/>
      <c r="Q740" s="577"/>
      <c r="R740" s="577"/>
      <c r="S740" s="577"/>
    </row>
    <row r="741" spans="1:19" s="213" customFormat="1" ht="13.15" customHeight="1">
      <c r="A741" s="457"/>
      <c r="B741" s="207"/>
      <c r="C741" s="497"/>
      <c r="D741" s="219"/>
      <c r="M741" s="498"/>
      <c r="N741" s="212"/>
      <c r="O741" s="577"/>
      <c r="P741" s="577"/>
      <c r="Q741" s="577"/>
      <c r="R741" s="577"/>
      <c r="S741" s="577"/>
    </row>
    <row r="742" spans="1:19" s="213" customFormat="1" ht="13.15" customHeight="1">
      <c r="A742" s="457"/>
      <c r="B742" s="207"/>
      <c r="C742" s="497"/>
      <c r="D742" s="219"/>
      <c r="M742" s="498"/>
      <c r="N742" s="212"/>
      <c r="O742" s="577"/>
      <c r="P742" s="577"/>
      <c r="Q742" s="577"/>
      <c r="R742" s="577"/>
      <c r="S742" s="577"/>
    </row>
    <row r="743" spans="1:19" s="213" customFormat="1" ht="13.15" customHeight="1">
      <c r="A743" s="457"/>
      <c r="B743" s="207"/>
      <c r="C743" s="497"/>
      <c r="D743" s="219"/>
      <c r="M743" s="498"/>
      <c r="N743" s="212"/>
      <c r="O743" s="577"/>
      <c r="P743" s="577"/>
      <c r="Q743" s="577"/>
      <c r="R743" s="577"/>
      <c r="S743" s="577"/>
    </row>
    <row r="744" spans="1:19" s="213" customFormat="1" ht="13.15" customHeight="1">
      <c r="A744" s="457"/>
      <c r="B744" s="207"/>
      <c r="C744" s="497"/>
      <c r="D744" s="219"/>
      <c r="M744" s="498"/>
      <c r="N744" s="212"/>
      <c r="O744" s="577"/>
      <c r="P744" s="577"/>
      <c r="Q744" s="577"/>
      <c r="R744" s="577"/>
      <c r="S744" s="577"/>
    </row>
    <row r="745" spans="1:19" s="213" customFormat="1" ht="13.15" customHeight="1">
      <c r="A745" s="457"/>
      <c r="B745" s="207"/>
      <c r="C745" s="497"/>
      <c r="D745" s="219"/>
      <c r="M745" s="498"/>
      <c r="N745" s="212"/>
      <c r="O745" s="577"/>
      <c r="P745" s="577"/>
      <c r="Q745" s="577"/>
      <c r="R745" s="577"/>
      <c r="S745" s="577"/>
    </row>
    <row r="746" spans="1:19" s="213" customFormat="1" ht="13.15" customHeight="1">
      <c r="A746" s="457"/>
      <c r="B746" s="207"/>
      <c r="C746" s="497"/>
      <c r="D746" s="219"/>
      <c r="M746" s="498"/>
      <c r="N746" s="212"/>
      <c r="O746" s="577"/>
      <c r="P746" s="577"/>
      <c r="Q746" s="577"/>
      <c r="R746" s="577"/>
      <c r="S746" s="577"/>
    </row>
    <row r="747" spans="1:19" s="213" customFormat="1" ht="13.15" customHeight="1">
      <c r="A747" s="457"/>
      <c r="B747" s="207"/>
      <c r="C747" s="497"/>
      <c r="D747" s="219"/>
      <c r="M747" s="498"/>
      <c r="N747" s="212"/>
      <c r="O747" s="577"/>
      <c r="P747" s="577"/>
      <c r="Q747" s="577"/>
      <c r="R747" s="577"/>
      <c r="S747" s="577"/>
    </row>
    <row r="748" spans="1:19" s="213" customFormat="1" ht="13.15" customHeight="1">
      <c r="A748" s="457"/>
      <c r="B748" s="207"/>
      <c r="C748" s="497"/>
      <c r="D748" s="219"/>
      <c r="M748" s="498"/>
      <c r="N748" s="212"/>
      <c r="O748" s="577"/>
      <c r="P748" s="577"/>
      <c r="Q748" s="577"/>
      <c r="R748" s="577"/>
      <c r="S748" s="577"/>
    </row>
    <row r="749" spans="1:19" s="213" customFormat="1" ht="13.15" customHeight="1">
      <c r="A749" s="457"/>
      <c r="B749" s="207"/>
      <c r="C749" s="497"/>
      <c r="D749" s="219"/>
      <c r="M749" s="498"/>
      <c r="N749" s="212"/>
      <c r="O749" s="577"/>
      <c r="P749" s="577"/>
      <c r="Q749" s="577"/>
      <c r="R749" s="577"/>
      <c r="S749" s="577"/>
    </row>
    <row r="750" spans="1:19" s="213" customFormat="1" ht="13.15" customHeight="1">
      <c r="A750" s="457"/>
      <c r="B750" s="207"/>
      <c r="C750" s="497"/>
      <c r="D750" s="219"/>
      <c r="M750" s="498"/>
      <c r="N750" s="212"/>
      <c r="O750" s="577"/>
      <c r="P750" s="577"/>
      <c r="Q750" s="577"/>
      <c r="R750" s="577"/>
      <c r="S750" s="577"/>
    </row>
    <row r="751" spans="1:19" s="213" customFormat="1" ht="13.15" customHeight="1">
      <c r="A751" s="457"/>
      <c r="B751" s="207"/>
      <c r="C751" s="497"/>
      <c r="D751" s="219"/>
      <c r="M751" s="498"/>
      <c r="N751" s="212"/>
      <c r="O751" s="577"/>
      <c r="P751" s="577"/>
      <c r="Q751" s="577"/>
      <c r="R751" s="577"/>
      <c r="S751" s="577"/>
    </row>
    <row r="752" spans="1:19" s="213" customFormat="1" ht="13.15" customHeight="1">
      <c r="A752" s="457"/>
      <c r="B752" s="207"/>
      <c r="C752" s="497"/>
      <c r="D752" s="219"/>
      <c r="M752" s="498"/>
      <c r="N752" s="212"/>
      <c r="O752" s="577"/>
      <c r="P752" s="577"/>
      <c r="Q752" s="577"/>
      <c r="R752" s="577"/>
      <c r="S752" s="577"/>
    </row>
    <row r="753" spans="1:19" s="213" customFormat="1" ht="13.15" customHeight="1">
      <c r="A753" s="457"/>
      <c r="B753" s="207"/>
      <c r="C753" s="497"/>
      <c r="D753" s="219"/>
      <c r="M753" s="498"/>
      <c r="N753" s="212"/>
      <c r="O753" s="577"/>
      <c r="P753" s="577"/>
      <c r="Q753" s="577"/>
      <c r="R753" s="577"/>
      <c r="S753" s="577"/>
    </row>
    <row r="754" spans="1:19" s="213" customFormat="1" ht="13.15" customHeight="1">
      <c r="A754" s="457"/>
      <c r="B754" s="207"/>
      <c r="C754" s="497"/>
      <c r="D754" s="219"/>
      <c r="M754" s="498"/>
      <c r="N754" s="212"/>
      <c r="O754" s="577"/>
      <c r="P754" s="577"/>
      <c r="Q754" s="577"/>
      <c r="R754" s="577"/>
      <c r="S754" s="577"/>
    </row>
    <row r="755" spans="1:19" s="213" customFormat="1" ht="13.15" customHeight="1">
      <c r="A755" s="457"/>
      <c r="B755" s="207"/>
      <c r="C755" s="497"/>
      <c r="D755" s="219"/>
      <c r="M755" s="498"/>
      <c r="N755" s="212"/>
      <c r="O755" s="577"/>
      <c r="P755" s="577"/>
      <c r="Q755" s="577"/>
      <c r="R755" s="577"/>
      <c r="S755" s="577"/>
    </row>
    <row r="756" spans="1:19" s="213" customFormat="1" ht="13.15" customHeight="1">
      <c r="A756" s="457"/>
      <c r="B756" s="207"/>
      <c r="C756" s="497"/>
      <c r="D756" s="219"/>
      <c r="M756" s="498"/>
      <c r="N756" s="212"/>
      <c r="O756" s="577"/>
      <c r="P756" s="577"/>
      <c r="Q756" s="577"/>
      <c r="R756" s="577"/>
      <c r="S756" s="577"/>
    </row>
    <row r="757" spans="1:19" s="213" customFormat="1" ht="13.15" customHeight="1">
      <c r="A757" s="457"/>
      <c r="B757" s="207"/>
      <c r="C757" s="497"/>
      <c r="D757" s="219"/>
      <c r="M757" s="498"/>
      <c r="N757" s="212"/>
      <c r="O757" s="577"/>
      <c r="P757" s="577"/>
      <c r="Q757" s="577"/>
      <c r="R757" s="577"/>
      <c r="S757" s="577"/>
    </row>
    <row r="758" spans="1:19" s="213" customFormat="1" ht="13.15" customHeight="1">
      <c r="A758" s="457"/>
      <c r="B758" s="207"/>
      <c r="C758" s="497"/>
      <c r="D758" s="219"/>
      <c r="M758" s="498"/>
      <c r="N758" s="212"/>
      <c r="O758" s="577"/>
      <c r="P758" s="577"/>
      <c r="Q758" s="577"/>
      <c r="R758" s="577"/>
      <c r="S758" s="577"/>
    </row>
    <row r="759" spans="1:19" s="213" customFormat="1" ht="13.15" customHeight="1">
      <c r="A759" s="457"/>
      <c r="B759" s="207"/>
      <c r="C759" s="497"/>
      <c r="D759" s="219"/>
      <c r="M759" s="498"/>
      <c r="N759" s="212"/>
      <c r="O759" s="577"/>
      <c r="P759" s="577"/>
      <c r="Q759" s="577"/>
      <c r="R759" s="577"/>
      <c r="S759" s="577"/>
    </row>
    <row r="760" spans="1:19" s="213" customFormat="1" ht="13.15" customHeight="1">
      <c r="A760" s="457"/>
      <c r="B760" s="207"/>
      <c r="C760" s="497"/>
      <c r="D760" s="219"/>
      <c r="M760" s="498"/>
      <c r="N760" s="212"/>
      <c r="O760" s="577"/>
      <c r="P760" s="577"/>
      <c r="Q760" s="577"/>
      <c r="R760" s="577"/>
      <c r="S760" s="577"/>
    </row>
    <row r="761" spans="1:19" s="213" customFormat="1" ht="13.15" customHeight="1">
      <c r="A761" s="457"/>
      <c r="B761" s="207"/>
      <c r="C761" s="497"/>
      <c r="D761" s="219"/>
      <c r="M761" s="498"/>
      <c r="N761" s="212"/>
      <c r="O761" s="577"/>
      <c r="P761" s="577"/>
      <c r="Q761" s="577"/>
      <c r="R761" s="577"/>
      <c r="S761" s="577"/>
    </row>
    <row r="762" spans="1:19" s="213" customFormat="1" ht="13.15" customHeight="1">
      <c r="A762" s="457"/>
      <c r="B762" s="207"/>
      <c r="C762" s="497"/>
      <c r="D762" s="219"/>
      <c r="M762" s="498"/>
      <c r="N762" s="212"/>
      <c r="O762" s="577"/>
      <c r="P762" s="577"/>
      <c r="Q762" s="577"/>
      <c r="R762" s="577"/>
      <c r="S762" s="577"/>
    </row>
    <row r="763" spans="1:19" s="213" customFormat="1" ht="13.15" customHeight="1">
      <c r="A763" s="457"/>
      <c r="B763" s="207"/>
      <c r="C763" s="497"/>
      <c r="D763" s="219"/>
      <c r="M763" s="498"/>
      <c r="N763" s="212"/>
      <c r="O763" s="577"/>
      <c r="P763" s="577"/>
      <c r="Q763" s="577"/>
      <c r="R763" s="577"/>
      <c r="S763" s="577"/>
    </row>
    <row r="764" spans="1:19" s="213" customFormat="1" ht="13.15" customHeight="1">
      <c r="A764" s="457"/>
      <c r="B764" s="207"/>
      <c r="C764" s="497"/>
      <c r="D764" s="219"/>
      <c r="M764" s="498"/>
      <c r="N764" s="212"/>
      <c r="O764" s="577"/>
      <c r="P764" s="577"/>
      <c r="Q764" s="577"/>
      <c r="R764" s="577"/>
      <c r="S764" s="577"/>
    </row>
    <row r="765" spans="1:19" s="213" customFormat="1" ht="13.15" customHeight="1">
      <c r="A765" s="457"/>
      <c r="B765" s="207"/>
      <c r="C765" s="497"/>
      <c r="D765" s="219"/>
      <c r="M765" s="498"/>
      <c r="N765" s="212"/>
      <c r="O765" s="577"/>
      <c r="P765" s="577"/>
      <c r="Q765" s="577"/>
      <c r="R765" s="577"/>
      <c r="S765" s="577"/>
    </row>
    <row r="766" spans="1:19" s="213" customFormat="1" ht="13.15" customHeight="1">
      <c r="A766" s="457"/>
      <c r="B766" s="207"/>
      <c r="C766" s="497"/>
      <c r="D766" s="219"/>
      <c r="M766" s="498"/>
      <c r="N766" s="212"/>
      <c r="O766" s="577"/>
      <c r="P766" s="577"/>
      <c r="Q766" s="577"/>
      <c r="R766" s="577"/>
      <c r="S766" s="577"/>
    </row>
    <row r="767" spans="1:19" s="213" customFormat="1" ht="13.15" customHeight="1">
      <c r="A767" s="457"/>
      <c r="B767" s="207"/>
      <c r="C767" s="497"/>
      <c r="D767" s="219"/>
      <c r="M767" s="498"/>
      <c r="N767" s="212"/>
      <c r="O767" s="577"/>
      <c r="P767" s="577"/>
      <c r="Q767" s="577"/>
      <c r="R767" s="577"/>
      <c r="S767" s="577"/>
    </row>
    <row r="768" spans="1:19" s="213" customFormat="1" ht="13.15" customHeight="1">
      <c r="A768" s="457"/>
      <c r="B768" s="207"/>
      <c r="C768" s="497"/>
      <c r="D768" s="219"/>
      <c r="M768" s="498"/>
      <c r="N768" s="212"/>
      <c r="O768" s="577"/>
      <c r="P768" s="577"/>
      <c r="Q768" s="577"/>
      <c r="R768" s="577"/>
      <c r="S768" s="577"/>
    </row>
    <row r="769" spans="1:19" s="213" customFormat="1" ht="13.15" customHeight="1">
      <c r="A769" s="457"/>
      <c r="B769" s="207"/>
      <c r="C769" s="497"/>
      <c r="D769" s="219"/>
      <c r="M769" s="498"/>
      <c r="N769" s="212"/>
      <c r="O769" s="577"/>
      <c r="P769" s="577"/>
      <c r="Q769" s="577"/>
      <c r="R769" s="577"/>
      <c r="S769" s="577"/>
    </row>
    <row r="770" spans="1:19" s="213" customFormat="1" ht="13.15" customHeight="1">
      <c r="A770" s="457"/>
      <c r="B770" s="207"/>
      <c r="C770" s="497"/>
      <c r="D770" s="219"/>
      <c r="M770" s="498"/>
      <c r="N770" s="212"/>
      <c r="O770" s="577"/>
      <c r="P770" s="577"/>
      <c r="Q770" s="577"/>
      <c r="R770" s="577"/>
      <c r="S770" s="577"/>
    </row>
    <row r="771" spans="1:19" s="213" customFormat="1" ht="13.15" customHeight="1">
      <c r="A771" s="457"/>
      <c r="B771" s="207"/>
      <c r="C771" s="497"/>
      <c r="D771" s="219"/>
      <c r="M771" s="498"/>
      <c r="N771" s="212"/>
      <c r="O771" s="577"/>
      <c r="P771" s="577"/>
      <c r="Q771" s="577"/>
      <c r="R771" s="577"/>
      <c r="S771" s="577"/>
    </row>
    <row r="772" spans="1:19" s="213" customFormat="1" ht="13.15" customHeight="1">
      <c r="A772" s="457"/>
      <c r="B772" s="207"/>
      <c r="C772" s="497"/>
      <c r="D772" s="219"/>
      <c r="M772" s="498"/>
      <c r="N772" s="212"/>
      <c r="O772" s="577"/>
      <c r="P772" s="577"/>
      <c r="Q772" s="577"/>
      <c r="R772" s="577"/>
      <c r="S772" s="577"/>
    </row>
    <row r="773" spans="1:19" s="213" customFormat="1" ht="13.15" customHeight="1">
      <c r="A773" s="457"/>
      <c r="B773" s="207"/>
      <c r="C773" s="497"/>
      <c r="D773" s="219"/>
      <c r="M773" s="498"/>
      <c r="N773" s="212"/>
      <c r="O773" s="577"/>
      <c r="P773" s="577"/>
      <c r="Q773" s="577"/>
      <c r="R773" s="577"/>
      <c r="S773" s="577"/>
    </row>
    <row r="774" spans="1:19" s="213" customFormat="1" ht="13.15" customHeight="1">
      <c r="A774" s="457"/>
      <c r="B774" s="207"/>
      <c r="C774" s="497"/>
      <c r="D774" s="219"/>
      <c r="M774" s="498"/>
      <c r="N774" s="212"/>
      <c r="O774" s="577"/>
      <c r="P774" s="577"/>
      <c r="Q774" s="577"/>
      <c r="R774" s="577"/>
      <c r="S774" s="577"/>
    </row>
    <row r="775" spans="1:19" s="213" customFormat="1" ht="13.15" customHeight="1">
      <c r="A775" s="457"/>
      <c r="B775" s="207"/>
      <c r="C775" s="497"/>
      <c r="D775" s="219"/>
      <c r="M775" s="498"/>
      <c r="N775" s="212"/>
      <c r="O775" s="577"/>
      <c r="P775" s="577"/>
      <c r="Q775" s="577"/>
      <c r="R775" s="577"/>
      <c r="S775" s="577"/>
    </row>
    <row r="776" spans="1:19" s="213" customFormat="1" ht="13.15" customHeight="1">
      <c r="A776" s="457"/>
      <c r="B776" s="207"/>
      <c r="C776" s="497"/>
      <c r="D776" s="219"/>
      <c r="M776" s="498"/>
      <c r="N776" s="212"/>
      <c r="O776" s="577"/>
      <c r="P776" s="577"/>
      <c r="Q776" s="577"/>
      <c r="R776" s="577"/>
      <c r="S776" s="577"/>
    </row>
    <row r="777" spans="1:19" s="213" customFormat="1" ht="13.15" customHeight="1">
      <c r="A777" s="457"/>
      <c r="B777" s="207"/>
      <c r="C777" s="497"/>
      <c r="D777" s="219"/>
      <c r="M777" s="498"/>
      <c r="N777" s="212"/>
      <c r="O777" s="577"/>
      <c r="P777" s="577"/>
      <c r="Q777" s="577"/>
      <c r="R777" s="577"/>
      <c r="S777" s="577"/>
    </row>
    <row r="778" spans="1:19" s="213" customFormat="1" ht="13.15" customHeight="1">
      <c r="A778" s="457"/>
      <c r="B778" s="207"/>
      <c r="C778" s="497"/>
      <c r="D778" s="219"/>
      <c r="M778" s="498"/>
      <c r="N778" s="212"/>
      <c r="O778" s="577"/>
      <c r="P778" s="577"/>
      <c r="Q778" s="577"/>
      <c r="R778" s="577"/>
      <c r="S778" s="577"/>
    </row>
    <row r="779" spans="1:19" s="213" customFormat="1" ht="13.15" customHeight="1">
      <c r="A779" s="457"/>
      <c r="B779" s="207"/>
      <c r="C779" s="497"/>
      <c r="D779" s="219"/>
      <c r="M779" s="498"/>
      <c r="N779" s="212"/>
      <c r="O779" s="577"/>
      <c r="P779" s="577"/>
      <c r="Q779" s="577"/>
      <c r="R779" s="577"/>
      <c r="S779" s="577"/>
    </row>
    <row r="780" spans="1:19" s="213" customFormat="1" ht="13.15" customHeight="1">
      <c r="A780" s="457"/>
      <c r="B780" s="207"/>
      <c r="C780" s="497"/>
      <c r="D780" s="219"/>
      <c r="M780" s="498"/>
      <c r="N780" s="212"/>
      <c r="O780" s="577"/>
      <c r="P780" s="577"/>
      <c r="Q780" s="577"/>
      <c r="R780" s="577"/>
      <c r="S780" s="577"/>
    </row>
    <row r="781" spans="1:19" s="213" customFormat="1" ht="13.15" customHeight="1">
      <c r="A781" s="457"/>
      <c r="B781" s="207"/>
      <c r="C781" s="497"/>
      <c r="D781" s="219"/>
      <c r="M781" s="498"/>
      <c r="N781" s="212"/>
      <c r="O781" s="577"/>
      <c r="P781" s="577"/>
      <c r="Q781" s="577"/>
      <c r="R781" s="577"/>
      <c r="S781" s="577"/>
    </row>
    <row r="782" spans="1:19" s="213" customFormat="1" ht="13.15" customHeight="1">
      <c r="A782" s="457"/>
      <c r="B782" s="207"/>
      <c r="C782" s="497"/>
      <c r="D782" s="219"/>
      <c r="M782" s="498"/>
      <c r="N782" s="212"/>
      <c r="O782" s="577"/>
      <c r="P782" s="577"/>
      <c r="Q782" s="577"/>
      <c r="R782" s="577"/>
      <c r="S782" s="577"/>
    </row>
    <row r="783" spans="1:19" s="213" customFormat="1" ht="13.15" customHeight="1">
      <c r="A783" s="457"/>
      <c r="B783" s="207"/>
      <c r="C783" s="497"/>
      <c r="D783" s="219"/>
      <c r="M783" s="498"/>
      <c r="N783" s="212"/>
      <c r="O783" s="577"/>
      <c r="P783" s="577"/>
      <c r="Q783" s="577"/>
      <c r="R783" s="577"/>
      <c r="S783" s="577"/>
    </row>
    <row r="784" spans="1:19" s="213" customFormat="1" ht="13.15" customHeight="1">
      <c r="A784" s="457"/>
      <c r="B784" s="207"/>
      <c r="C784" s="497"/>
      <c r="D784" s="219"/>
      <c r="M784" s="498"/>
      <c r="N784" s="212"/>
      <c r="O784" s="577"/>
      <c r="P784" s="577"/>
      <c r="Q784" s="577"/>
      <c r="R784" s="577"/>
      <c r="S784" s="577"/>
    </row>
    <row r="785" spans="1:19" s="213" customFormat="1" ht="13.15" customHeight="1">
      <c r="A785" s="457"/>
      <c r="B785" s="207"/>
      <c r="C785" s="497"/>
      <c r="D785" s="219"/>
      <c r="M785" s="498"/>
      <c r="N785" s="212"/>
      <c r="O785" s="577"/>
      <c r="P785" s="577"/>
      <c r="Q785" s="577"/>
      <c r="R785" s="577"/>
      <c r="S785" s="577"/>
    </row>
    <row r="786" spans="1:19" s="213" customFormat="1" ht="13.15" customHeight="1">
      <c r="A786" s="457"/>
      <c r="B786" s="207"/>
      <c r="C786" s="497"/>
      <c r="D786" s="219"/>
      <c r="M786" s="498"/>
      <c r="N786" s="212"/>
      <c r="O786" s="577"/>
      <c r="P786" s="577"/>
      <c r="Q786" s="577"/>
      <c r="R786" s="577"/>
      <c r="S786" s="577"/>
    </row>
    <row r="787" spans="1:19" s="213" customFormat="1" ht="13.15" customHeight="1">
      <c r="A787" s="457"/>
      <c r="B787" s="207"/>
      <c r="C787" s="497"/>
      <c r="D787" s="219"/>
      <c r="M787" s="498"/>
      <c r="N787" s="212"/>
      <c r="O787" s="577"/>
      <c r="P787" s="577"/>
      <c r="Q787" s="577"/>
      <c r="R787" s="577"/>
      <c r="S787" s="577"/>
    </row>
    <row r="788" spans="1:19" s="213" customFormat="1" ht="13.15" customHeight="1">
      <c r="A788" s="457"/>
      <c r="B788" s="207"/>
      <c r="C788" s="497"/>
      <c r="D788" s="219"/>
      <c r="M788" s="498"/>
      <c r="N788" s="212"/>
      <c r="O788" s="577"/>
      <c r="P788" s="577"/>
      <c r="Q788" s="577"/>
      <c r="R788" s="577"/>
      <c r="S788" s="577"/>
    </row>
    <row r="789" spans="1:19" s="213" customFormat="1" ht="13.15" customHeight="1">
      <c r="A789" s="457"/>
      <c r="B789" s="207"/>
      <c r="C789" s="497"/>
      <c r="D789" s="219"/>
      <c r="M789" s="498"/>
      <c r="N789" s="212"/>
      <c r="O789" s="577"/>
      <c r="P789" s="577"/>
      <c r="Q789" s="577"/>
      <c r="R789" s="577"/>
      <c r="S789" s="577"/>
    </row>
    <row r="790" spans="1:19" s="213" customFormat="1" ht="13.15" customHeight="1">
      <c r="A790" s="457"/>
      <c r="B790" s="207"/>
      <c r="C790" s="497"/>
      <c r="D790" s="219"/>
      <c r="M790" s="498"/>
      <c r="N790" s="212"/>
      <c r="O790" s="577"/>
      <c r="P790" s="577"/>
      <c r="Q790" s="577"/>
      <c r="R790" s="577"/>
      <c r="S790" s="577"/>
    </row>
    <row r="791" spans="1:19" s="213" customFormat="1" ht="13.15" customHeight="1">
      <c r="A791" s="457"/>
      <c r="B791" s="207"/>
      <c r="C791" s="497"/>
      <c r="D791" s="219"/>
      <c r="M791" s="498"/>
      <c r="N791" s="212"/>
      <c r="O791" s="577"/>
      <c r="P791" s="577"/>
      <c r="Q791" s="577"/>
      <c r="R791" s="577"/>
      <c r="S791" s="577"/>
    </row>
    <row r="792" spans="1:19" s="213" customFormat="1" ht="13.15" customHeight="1">
      <c r="A792" s="457"/>
      <c r="B792" s="207"/>
      <c r="C792" s="497"/>
      <c r="D792" s="219"/>
      <c r="M792" s="498"/>
      <c r="N792" s="212"/>
      <c r="O792" s="577"/>
      <c r="P792" s="577"/>
      <c r="Q792" s="577"/>
      <c r="R792" s="577"/>
      <c r="S792" s="577"/>
    </row>
    <row r="793" spans="1:19" s="213" customFormat="1" ht="13.15" customHeight="1">
      <c r="A793" s="457"/>
      <c r="B793" s="207"/>
      <c r="C793" s="497"/>
      <c r="D793" s="219"/>
      <c r="M793" s="498"/>
      <c r="N793" s="212"/>
      <c r="O793" s="577"/>
      <c r="P793" s="577"/>
      <c r="Q793" s="577"/>
      <c r="R793" s="577"/>
      <c r="S793" s="577"/>
    </row>
    <row r="794" spans="1:19" s="213" customFormat="1" ht="13.15" customHeight="1">
      <c r="A794" s="457"/>
      <c r="B794" s="207"/>
      <c r="C794" s="497"/>
      <c r="D794" s="219"/>
      <c r="M794" s="498"/>
      <c r="N794" s="212"/>
      <c r="O794" s="577"/>
      <c r="P794" s="577"/>
      <c r="Q794" s="577"/>
      <c r="R794" s="577"/>
      <c r="S794" s="577"/>
    </row>
    <row r="795" spans="1:19" s="213" customFormat="1" ht="13.15" customHeight="1">
      <c r="A795" s="457"/>
      <c r="B795" s="207"/>
      <c r="C795" s="497"/>
      <c r="D795" s="219"/>
      <c r="M795" s="498"/>
      <c r="N795" s="212"/>
      <c r="O795" s="577"/>
      <c r="P795" s="577"/>
      <c r="Q795" s="577"/>
      <c r="R795" s="577"/>
      <c r="S795" s="577"/>
    </row>
    <row r="796" spans="1:19" s="213" customFormat="1" ht="13.15" customHeight="1">
      <c r="A796" s="457"/>
      <c r="B796" s="207"/>
      <c r="C796" s="497"/>
      <c r="D796" s="219"/>
      <c r="M796" s="498"/>
      <c r="N796" s="212"/>
      <c r="O796" s="577"/>
      <c r="P796" s="577"/>
      <c r="Q796" s="577"/>
      <c r="R796" s="577"/>
      <c r="S796" s="577"/>
    </row>
    <row r="797" spans="1:19" s="213" customFormat="1" ht="13.15" customHeight="1">
      <c r="A797" s="457"/>
      <c r="B797" s="207"/>
      <c r="C797" s="497"/>
      <c r="D797" s="219"/>
      <c r="M797" s="498"/>
      <c r="N797" s="212"/>
      <c r="O797" s="577"/>
      <c r="P797" s="577"/>
      <c r="Q797" s="577"/>
      <c r="R797" s="577"/>
      <c r="S797" s="577"/>
    </row>
    <row r="798" spans="1:19" s="213" customFormat="1" ht="13.15" customHeight="1">
      <c r="A798" s="457"/>
      <c r="B798" s="207"/>
      <c r="C798" s="497"/>
      <c r="D798" s="219"/>
      <c r="M798" s="498"/>
      <c r="N798" s="212"/>
      <c r="O798" s="577"/>
      <c r="P798" s="577"/>
      <c r="Q798" s="577"/>
      <c r="R798" s="577"/>
      <c r="S798" s="577"/>
    </row>
    <row r="799" spans="1:19" s="213" customFormat="1" ht="13.15" customHeight="1">
      <c r="A799" s="457"/>
      <c r="B799" s="207"/>
      <c r="C799" s="497"/>
      <c r="D799" s="219"/>
      <c r="M799" s="498"/>
      <c r="N799" s="212"/>
      <c r="O799" s="577"/>
      <c r="P799" s="577"/>
      <c r="Q799" s="577"/>
      <c r="R799" s="577"/>
      <c r="S799" s="577"/>
    </row>
    <row r="800" spans="1:19" s="213" customFormat="1" ht="13.15" customHeight="1">
      <c r="A800" s="457"/>
      <c r="B800" s="207"/>
      <c r="C800" s="497"/>
      <c r="D800" s="219"/>
      <c r="M800" s="498"/>
      <c r="N800" s="212"/>
      <c r="O800" s="577"/>
      <c r="P800" s="577"/>
      <c r="Q800" s="577"/>
      <c r="R800" s="577"/>
      <c r="S800" s="577"/>
    </row>
    <row r="801" spans="1:19" s="213" customFormat="1" ht="13.15" customHeight="1">
      <c r="A801" s="457"/>
      <c r="B801" s="207"/>
      <c r="C801" s="497"/>
      <c r="D801" s="219"/>
      <c r="M801" s="498"/>
      <c r="N801" s="212"/>
      <c r="O801" s="577"/>
      <c r="P801" s="577"/>
      <c r="Q801" s="577"/>
      <c r="R801" s="577"/>
      <c r="S801" s="577"/>
    </row>
    <row r="802" spans="1:19" s="213" customFormat="1" ht="13.15" customHeight="1">
      <c r="A802" s="457"/>
      <c r="B802" s="207"/>
      <c r="C802" s="497"/>
      <c r="D802" s="219"/>
      <c r="M802" s="498"/>
      <c r="N802" s="212"/>
      <c r="O802" s="577"/>
      <c r="P802" s="577"/>
      <c r="Q802" s="577"/>
      <c r="R802" s="577"/>
      <c r="S802" s="577"/>
    </row>
    <row r="803" spans="1:19" s="213" customFormat="1" ht="13.15" customHeight="1">
      <c r="A803" s="457"/>
      <c r="B803" s="207"/>
      <c r="C803" s="497"/>
      <c r="D803" s="219"/>
      <c r="M803" s="498"/>
      <c r="N803" s="212"/>
      <c r="O803" s="577"/>
      <c r="P803" s="577"/>
      <c r="Q803" s="577"/>
      <c r="R803" s="577"/>
      <c r="S803" s="577"/>
    </row>
    <row r="804" spans="1:19" s="213" customFormat="1" ht="13.15" customHeight="1">
      <c r="A804" s="457"/>
      <c r="B804" s="207"/>
      <c r="C804" s="497"/>
      <c r="D804" s="219"/>
      <c r="M804" s="498"/>
      <c r="N804" s="212"/>
      <c r="O804" s="577"/>
      <c r="P804" s="577"/>
      <c r="Q804" s="577"/>
      <c r="R804" s="577"/>
      <c r="S804" s="577"/>
    </row>
    <row r="805" spans="1:19" s="213" customFormat="1" ht="13.15" customHeight="1">
      <c r="A805" s="457"/>
      <c r="B805" s="207"/>
      <c r="C805" s="497"/>
      <c r="D805" s="219"/>
      <c r="M805" s="498"/>
      <c r="N805" s="212"/>
      <c r="O805" s="577"/>
      <c r="P805" s="577"/>
      <c r="Q805" s="577"/>
      <c r="R805" s="577"/>
      <c r="S805" s="577"/>
    </row>
    <row r="806" spans="1:19" s="213" customFormat="1" ht="13.15" customHeight="1">
      <c r="A806" s="457"/>
      <c r="B806" s="207"/>
      <c r="C806" s="497"/>
      <c r="D806" s="219"/>
      <c r="M806" s="498"/>
      <c r="N806" s="212"/>
      <c r="O806" s="577"/>
      <c r="P806" s="577"/>
      <c r="Q806" s="577"/>
      <c r="R806" s="577"/>
      <c r="S806" s="577"/>
    </row>
    <row r="807" spans="1:19" s="213" customFormat="1" ht="13.15" customHeight="1">
      <c r="A807" s="457"/>
      <c r="B807" s="207"/>
      <c r="C807" s="497"/>
      <c r="D807" s="219"/>
      <c r="M807" s="498"/>
      <c r="N807" s="212"/>
      <c r="O807" s="577"/>
      <c r="P807" s="577"/>
      <c r="Q807" s="577"/>
      <c r="R807" s="577"/>
      <c r="S807" s="577"/>
    </row>
    <row r="808" spans="1:19" s="213" customFormat="1" ht="13.15" customHeight="1">
      <c r="A808" s="457"/>
      <c r="B808" s="207"/>
      <c r="C808" s="497"/>
      <c r="D808" s="219"/>
      <c r="M808" s="498"/>
      <c r="N808" s="212"/>
      <c r="O808" s="577"/>
      <c r="P808" s="577"/>
      <c r="Q808" s="577"/>
      <c r="R808" s="577"/>
      <c r="S808" s="577"/>
    </row>
    <row r="809" spans="1:19" s="213" customFormat="1" ht="13.15" customHeight="1">
      <c r="A809" s="457"/>
      <c r="B809" s="207"/>
      <c r="C809" s="497"/>
      <c r="D809" s="219"/>
      <c r="M809" s="498"/>
      <c r="N809" s="212"/>
      <c r="O809" s="577"/>
      <c r="P809" s="577"/>
      <c r="Q809" s="577"/>
      <c r="R809" s="577"/>
      <c r="S809" s="577"/>
    </row>
    <row r="810" spans="1:19" s="213" customFormat="1" ht="13.15" customHeight="1">
      <c r="A810" s="457"/>
      <c r="B810" s="207"/>
      <c r="C810" s="497"/>
      <c r="D810" s="219"/>
      <c r="M810" s="498"/>
      <c r="N810" s="212"/>
      <c r="O810" s="577"/>
      <c r="P810" s="577"/>
      <c r="Q810" s="577"/>
      <c r="R810" s="577"/>
      <c r="S810" s="577"/>
    </row>
    <row r="811" spans="1:19" s="213" customFormat="1" ht="13.15" customHeight="1">
      <c r="A811" s="457"/>
      <c r="B811" s="207"/>
      <c r="C811" s="497"/>
      <c r="D811" s="219"/>
      <c r="M811" s="498"/>
      <c r="N811" s="212"/>
      <c r="O811" s="577"/>
      <c r="P811" s="577"/>
      <c r="Q811" s="577"/>
      <c r="R811" s="577"/>
      <c r="S811" s="577"/>
    </row>
    <row r="812" spans="1:19" s="213" customFormat="1" ht="13.15" customHeight="1">
      <c r="A812" s="457"/>
      <c r="B812" s="207"/>
      <c r="C812" s="497"/>
      <c r="D812" s="219"/>
      <c r="M812" s="498"/>
      <c r="N812" s="212"/>
      <c r="O812" s="577"/>
      <c r="P812" s="577"/>
      <c r="Q812" s="577"/>
      <c r="R812" s="577"/>
      <c r="S812" s="577"/>
    </row>
    <row r="813" spans="1:19" s="213" customFormat="1" ht="13.15" customHeight="1">
      <c r="A813" s="457"/>
      <c r="B813" s="207"/>
      <c r="C813" s="497"/>
      <c r="D813" s="219"/>
      <c r="M813" s="498"/>
      <c r="N813" s="212"/>
      <c r="O813" s="577"/>
      <c r="P813" s="577"/>
      <c r="Q813" s="577"/>
      <c r="R813" s="577"/>
      <c r="S813" s="577"/>
    </row>
    <row r="814" spans="1:19" s="213" customFormat="1" ht="13.15" customHeight="1">
      <c r="A814" s="457"/>
      <c r="B814" s="207"/>
      <c r="C814" s="497"/>
      <c r="D814" s="219"/>
      <c r="M814" s="498"/>
      <c r="N814" s="212"/>
      <c r="O814" s="577"/>
      <c r="P814" s="577"/>
      <c r="Q814" s="577"/>
      <c r="R814" s="577"/>
      <c r="S814" s="577"/>
    </row>
    <row r="815" spans="1:19" s="213" customFormat="1" ht="13.15" customHeight="1">
      <c r="A815" s="457"/>
      <c r="B815" s="207"/>
      <c r="C815" s="497"/>
      <c r="D815" s="219"/>
      <c r="M815" s="498"/>
      <c r="N815" s="212"/>
      <c r="O815" s="577"/>
      <c r="P815" s="577"/>
      <c r="Q815" s="577"/>
      <c r="R815" s="577"/>
      <c r="S815" s="577"/>
    </row>
    <row r="816" spans="1:19" s="213" customFormat="1" ht="13.15" customHeight="1">
      <c r="A816" s="457"/>
      <c r="B816" s="207"/>
      <c r="C816" s="497"/>
      <c r="D816" s="219"/>
      <c r="M816" s="498"/>
      <c r="N816" s="212"/>
      <c r="O816" s="577"/>
      <c r="P816" s="577"/>
      <c r="Q816" s="577"/>
      <c r="R816" s="577"/>
      <c r="S816" s="577"/>
    </row>
    <row r="817" spans="1:19" s="213" customFormat="1" ht="13.15" customHeight="1">
      <c r="A817" s="457"/>
      <c r="B817" s="207"/>
      <c r="C817" s="497"/>
      <c r="D817" s="219"/>
      <c r="M817" s="498"/>
      <c r="N817" s="212"/>
      <c r="O817" s="577"/>
      <c r="P817" s="577"/>
      <c r="Q817" s="577"/>
      <c r="R817" s="577"/>
      <c r="S817" s="577"/>
    </row>
    <row r="818" spans="1:19" s="213" customFormat="1" ht="13.15" customHeight="1">
      <c r="A818" s="457"/>
      <c r="B818" s="207"/>
      <c r="C818" s="497"/>
      <c r="D818" s="219"/>
      <c r="M818" s="498"/>
      <c r="N818" s="212"/>
      <c r="O818" s="577"/>
      <c r="P818" s="577"/>
      <c r="Q818" s="577"/>
      <c r="R818" s="577"/>
      <c r="S818" s="577"/>
    </row>
    <row r="819" spans="1:19" s="213" customFormat="1" ht="13.15" customHeight="1">
      <c r="A819" s="457"/>
      <c r="B819" s="207"/>
      <c r="C819" s="497"/>
      <c r="D819" s="219"/>
      <c r="M819" s="498"/>
      <c r="N819" s="212"/>
      <c r="O819" s="577"/>
      <c r="P819" s="577"/>
      <c r="Q819" s="577"/>
      <c r="R819" s="577"/>
      <c r="S819" s="577"/>
    </row>
    <row r="820" spans="1:19" s="213" customFormat="1" ht="13.15" customHeight="1">
      <c r="A820" s="457"/>
      <c r="B820" s="207"/>
      <c r="C820" s="497"/>
      <c r="D820" s="219"/>
      <c r="M820" s="498"/>
      <c r="N820" s="212"/>
      <c r="O820" s="577"/>
      <c r="P820" s="577"/>
      <c r="Q820" s="577"/>
      <c r="R820" s="577"/>
      <c r="S820" s="577"/>
    </row>
    <row r="821" spans="1:19" s="213" customFormat="1" ht="13.15" customHeight="1">
      <c r="A821" s="457"/>
      <c r="B821" s="207"/>
      <c r="C821" s="497"/>
      <c r="D821" s="219"/>
      <c r="M821" s="498"/>
      <c r="N821" s="212"/>
      <c r="O821" s="577"/>
      <c r="P821" s="577"/>
      <c r="Q821" s="577"/>
      <c r="R821" s="577"/>
      <c r="S821" s="577"/>
    </row>
    <row r="822" spans="1:19" s="213" customFormat="1" ht="13.15" customHeight="1">
      <c r="A822" s="457"/>
      <c r="B822" s="207"/>
      <c r="C822" s="497"/>
      <c r="D822" s="219"/>
      <c r="M822" s="498"/>
      <c r="N822" s="212"/>
      <c r="O822" s="577"/>
      <c r="P822" s="577"/>
      <c r="Q822" s="577"/>
      <c r="R822" s="577"/>
      <c r="S822" s="577"/>
    </row>
    <row r="823" spans="1:19" s="213" customFormat="1" ht="13.15" customHeight="1">
      <c r="A823" s="457"/>
      <c r="B823" s="207"/>
      <c r="C823" s="497"/>
      <c r="D823" s="219"/>
      <c r="M823" s="498"/>
      <c r="N823" s="212"/>
      <c r="O823" s="577"/>
      <c r="P823" s="577"/>
      <c r="Q823" s="577"/>
      <c r="R823" s="577"/>
      <c r="S823" s="577"/>
    </row>
    <row r="824" spans="1:19" s="213" customFormat="1" ht="13.15" customHeight="1">
      <c r="A824" s="457"/>
      <c r="B824" s="207"/>
      <c r="C824" s="497"/>
      <c r="D824" s="219"/>
      <c r="M824" s="498"/>
      <c r="N824" s="212"/>
      <c r="O824" s="577"/>
      <c r="P824" s="577"/>
      <c r="Q824" s="577"/>
      <c r="R824" s="577"/>
      <c r="S824" s="577"/>
    </row>
    <row r="825" spans="1:19" s="213" customFormat="1" ht="13.15" customHeight="1">
      <c r="A825" s="457"/>
      <c r="B825" s="207"/>
      <c r="C825" s="497"/>
      <c r="D825" s="219"/>
      <c r="M825" s="498"/>
      <c r="N825" s="212"/>
      <c r="O825" s="577"/>
      <c r="P825" s="577"/>
      <c r="Q825" s="577"/>
      <c r="R825" s="577"/>
      <c r="S825" s="577"/>
    </row>
    <row r="826" spans="1:19" s="213" customFormat="1" ht="13.15" customHeight="1">
      <c r="A826" s="457"/>
      <c r="B826" s="207"/>
      <c r="C826" s="497"/>
      <c r="D826" s="219"/>
      <c r="M826" s="498"/>
      <c r="N826" s="212"/>
      <c r="O826" s="577"/>
      <c r="P826" s="577"/>
      <c r="Q826" s="577"/>
      <c r="R826" s="577"/>
      <c r="S826" s="577"/>
    </row>
    <row r="827" spans="1:19" s="213" customFormat="1" ht="13.15" customHeight="1">
      <c r="A827" s="457"/>
      <c r="B827" s="207"/>
      <c r="C827" s="497"/>
      <c r="D827" s="219"/>
      <c r="M827" s="498"/>
      <c r="N827" s="212"/>
      <c r="O827" s="577"/>
      <c r="P827" s="577"/>
      <c r="Q827" s="577"/>
      <c r="R827" s="577"/>
      <c r="S827" s="577"/>
    </row>
    <row r="828" spans="1:19" s="213" customFormat="1" ht="13.15" customHeight="1">
      <c r="A828" s="457"/>
      <c r="B828" s="207"/>
      <c r="C828" s="497"/>
      <c r="D828" s="219"/>
      <c r="M828" s="498"/>
      <c r="N828" s="212"/>
      <c r="O828" s="577"/>
      <c r="P828" s="577"/>
      <c r="Q828" s="577"/>
      <c r="R828" s="577"/>
      <c r="S828" s="577"/>
    </row>
    <row r="829" spans="1:19" s="213" customFormat="1" ht="13.15" customHeight="1">
      <c r="A829" s="457"/>
      <c r="B829" s="207"/>
      <c r="C829" s="497"/>
      <c r="D829" s="219"/>
      <c r="M829" s="498"/>
      <c r="N829" s="212"/>
      <c r="O829" s="577"/>
      <c r="P829" s="577"/>
      <c r="Q829" s="577"/>
      <c r="R829" s="577"/>
      <c r="S829" s="577"/>
    </row>
    <row r="830" spans="1:19" s="213" customFormat="1" ht="13.15" customHeight="1">
      <c r="A830" s="457"/>
      <c r="B830" s="207"/>
      <c r="C830" s="497"/>
      <c r="D830" s="219"/>
      <c r="M830" s="498"/>
      <c r="N830" s="212"/>
      <c r="O830" s="577"/>
      <c r="P830" s="577"/>
      <c r="Q830" s="577"/>
      <c r="R830" s="577"/>
      <c r="S830" s="577"/>
    </row>
    <row r="831" spans="1:19" s="213" customFormat="1" ht="13.15" customHeight="1">
      <c r="A831" s="457"/>
      <c r="B831" s="207"/>
      <c r="C831" s="497"/>
      <c r="D831" s="219"/>
      <c r="M831" s="498"/>
      <c r="N831" s="212"/>
      <c r="O831" s="577"/>
      <c r="P831" s="577"/>
      <c r="Q831" s="577"/>
      <c r="R831" s="577"/>
      <c r="S831" s="577"/>
    </row>
    <row r="832" spans="1:19" s="213" customFormat="1" ht="13.15" customHeight="1">
      <c r="A832" s="457"/>
      <c r="B832" s="207"/>
      <c r="C832" s="497"/>
      <c r="D832" s="219"/>
      <c r="M832" s="498"/>
      <c r="N832" s="212"/>
      <c r="O832" s="577"/>
      <c r="P832" s="577"/>
      <c r="Q832" s="577"/>
      <c r="R832" s="577"/>
      <c r="S832" s="577"/>
    </row>
    <row r="833" spans="1:19" s="213" customFormat="1" ht="13.15" customHeight="1">
      <c r="A833" s="457"/>
      <c r="B833" s="207"/>
      <c r="C833" s="497"/>
      <c r="D833" s="219"/>
      <c r="M833" s="498"/>
      <c r="N833" s="212"/>
      <c r="O833" s="577"/>
      <c r="P833" s="577"/>
      <c r="Q833" s="577"/>
      <c r="R833" s="577"/>
      <c r="S833" s="577"/>
    </row>
    <row r="834" spans="1:19" s="213" customFormat="1" ht="13.15" customHeight="1">
      <c r="A834" s="457"/>
      <c r="B834" s="207"/>
      <c r="C834" s="497"/>
      <c r="D834" s="219"/>
      <c r="M834" s="498"/>
      <c r="N834" s="212"/>
      <c r="O834" s="577"/>
      <c r="P834" s="577"/>
      <c r="Q834" s="577"/>
      <c r="R834" s="577"/>
      <c r="S834" s="577"/>
    </row>
    <row r="835" spans="1:19" s="213" customFormat="1" ht="13.15" customHeight="1">
      <c r="A835" s="457"/>
      <c r="B835" s="207"/>
      <c r="C835" s="497"/>
      <c r="D835" s="219"/>
      <c r="M835" s="498"/>
      <c r="N835" s="212"/>
      <c r="O835" s="577"/>
      <c r="P835" s="577"/>
      <c r="Q835" s="577"/>
      <c r="R835" s="577"/>
      <c r="S835" s="577"/>
    </row>
    <row r="836" spans="1:19" s="213" customFormat="1" ht="13.15" customHeight="1">
      <c r="A836" s="457"/>
      <c r="B836" s="207"/>
      <c r="C836" s="497"/>
      <c r="D836" s="219"/>
      <c r="M836" s="498"/>
      <c r="N836" s="212"/>
      <c r="O836" s="577"/>
      <c r="P836" s="577"/>
      <c r="Q836" s="577"/>
      <c r="R836" s="577"/>
      <c r="S836" s="577"/>
    </row>
    <row r="837" spans="1:19" s="213" customFormat="1" ht="13.15" customHeight="1">
      <c r="A837" s="457"/>
      <c r="B837" s="207"/>
      <c r="C837" s="497"/>
      <c r="D837" s="219"/>
      <c r="M837" s="498"/>
      <c r="N837" s="212"/>
      <c r="O837" s="577"/>
      <c r="P837" s="577"/>
      <c r="Q837" s="577"/>
      <c r="R837" s="577"/>
      <c r="S837" s="577"/>
    </row>
    <row r="838" spans="1:19" s="213" customFormat="1" ht="13.15" customHeight="1">
      <c r="A838" s="457"/>
      <c r="B838" s="207"/>
      <c r="C838" s="497"/>
      <c r="D838" s="219"/>
      <c r="M838" s="498"/>
      <c r="N838" s="212"/>
      <c r="O838" s="577"/>
      <c r="P838" s="577"/>
      <c r="Q838" s="577"/>
      <c r="R838" s="577"/>
      <c r="S838" s="577"/>
    </row>
    <row r="839" spans="1:19" s="213" customFormat="1" ht="13.15" customHeight="1">
      <c r="A839" s="457"/>
      <c r="B839" s="207"/>
      <c r="C839" s="497"/>
      <c r="D839" s="219"/>
      <c r="M839" s="498"/>
      <c r="N839" s="212"/>
      <c r="O839" s="577"/>
      <c r="P839" s="577"/>
      <c r="Q839" s="577"/>
      <c r="R839" s="577"/>
      <c r="S839" s="577"/>
    </row>
    <row r="840" spans="1:19" s="213" customFormat="1" ht="13.15" customHeight="1">
      <c r="A840" s="457"/>
      <c r="B840" s="207"/>
      <c r="C840" s="497"/>
      <c r="D840" s="219"/>
      <c r="M840" s="498"/>
      <c r="N840" s="212"/>
      <c r="O840" s="577"/>
      <c r="P840" s="577"/>
      <c r="Q840" s="577"/>
      <c r="R840" s="577"/>
      <c r="S840" s="577"/>
    </row>
    <row r="841" spans="1:19" s="213" customFormat="1" ht="13.15" customHeight="1">
      <c r="A841" s="457"/>
      <c r="B841" s="207"/>
      <c r="C841" s="497"/>
      <c r="D841" s="219"/>
      <c r="M841" s="498"/>
      <c r="N841" s="212"/>
      <c r="O841" s="577"/>
      <c r="P841" s="577"/>
      <c r="Q841" s="577"/>
      <c r="R841" s="577"/>
      <c r="S841" s="577"/>
    </row>
    <row r="842" spans="1:19" s="213" customFormat="1" ht="13.15" customHeight="1">
      <c r="A842" s="457"/>
      <c r="B842" s="207"/>
      <c r="C842" s="497"/>
      <c r="D842" s="219"/>
      <c r="M842" s="498"/>
      <c r="N842" s="212"/>
      <c r="O842" s="577"/>
      <c r="P842" s="577"/>
      <c r="Q842" s="577"/>
      <c r="R842" s="577"/>
      <c r="S842" s="577"/>
    </row>
    <row r="843" spans="1:19" s="213" customFormat="1" ht="13.15" customHeight="1">
      <c r="A843" s="457"/>
      <c r="B843" s="207"/>
      <c r="C843" s="497"/>
      <c r="D843" s="219"/>
      <c r="M843" s="498"/>
      <c r="N843" s="212"/>
      <c r="O843" s="577"/>
      <c r="P843" s="577"/>
      <c r="Q843" s="577"/>
      <c r="R843" s="577"/>
      <c r="S843" s="577"/>
    </row>
    <row r="844" spans="1:19" s="213" customFormat="1" ht="13.15" customHeight="1">
      <c r="A844" s="457"/>
      <c r="B844" s="207"/>
      <c r="C844" s="497"/>
      <c r="D844" s="219"/>
      <c r="M844" s="498"/>
      <c r="N844" s="212"/>
      <c r="O844" s="577"/>
      <c r="P844" s="577"/>
      <c r="Q844" s="577"/>
      <c r="R844" s="577"/>
      <c r="S844" s="577"/>
    </row>
    <row r="845" spans="1:19" s="213" customFormat="1" ht="13.15" customHeight="1">
      <c r="A845" s="457"/>
      <c r="B845" s="207"/>
      <c r="C845" s="497"/>
      <c r="D845" s="219"/>
      <c r="M845" s="498"/>
      <c r="N845" s="212"/>
      <c r="O845" s="577"/>
      <c r="P845" s="577"/>
      <c r="Q845" s="577"/>
      <c r="R845" s="577"/>
      <c r="S845" s="577"/>
    </row>
    <row r="846" spans="1:19" s="213" customFormat="1" ht="13.15" customHeight="1">
      <c r="A846" s="457"/>
      <c r="B846" s="207"/>
      <c r="C846" s="497"/>
      <c r="D846" s="219"/>
      <c r="M846" s="498"/>
      <c r="N846" s="212"/>
      <c r="O846" s="577"/>
      <c r="P846" s="577"/>
      <c r="Q846" s="577"/>
      <c r="R846" s="577"/>
      <c r="S846" s="577"/>
    </row>
    <row r="847" spans="1:19" s="213" customFormat="1" ht="13.15" customHeight="1">
      <c r="A847" s="457"/>
      <c r="B847" s="207"/>
      <c r="C847" s="497"/>
      <c r="D847" s="219"/>
      <c r="M847" s="498"/>
      <c r="N847" s="212"/>
      <c r="O847" s="577"/>
      <c r="P847" s="577"/>
      <c r="Q847" s="577"/>
      <c r="R847" s="577"/>
      <c r="S847" s="577"/>
    </row>
    <row r="848" spans="1:19" s="213" customFormat="1" ht="13.15" customHeight="1">
      <c r="A848" s="457"/>
      <c r="B848" s="207"/>
      <c r="C848" s="497"/>
      <c r="D848" s="219"/>
      <c r="M848" s="498"/>
      <c r="N848" s="212"/>
      <c r="O848" s="577"/>
      <c r="P848" s="577"/>
      <c r="Q848" s="577"/>
      <c r="R848" s="577"/>
      <c r="S848" s="577"/>
    </row>
    <row r="849" spans="1:19" s="213" customFormat="1" ht="13.15" customHeight="1">
      <c r="A849" s="457"/>
      <c r="B849" s="207"/>
      <c r="C849" s="497"/>
      <c r="D849" s="219"/>
      <c r="M849" s="498"/>
      <c r="N849" s="212"/>
      <c r="O849" s="577"/>
      <c r="P849" s="577"/>
      <c r="Q849" s="577"/>
      <c r="R849" s="577"/>
      <c r="S849" s="577"/>
    </row>
    <row r="850" spans="1:19" s="213" customFormat="1" ht="13.15" customHeight="1">
      <c r="A850" s="457"/>
      <c r="B850" s="207"/>
      <c r="C850" s="497"/>
      <c r="D850" s="219"/>
      <c r="M850" s="498"/>
      <c r="N850" s="212"/>
      <c r="O850" s="577"/>
      <c r="P850" s="577"/>
      <c r="Q850" s="577"/>
      <c r="R850" s="577"/>
      <c r="S850" s="577"/>
    </row>
    <row r="851" spans="1:19" s="213" customFormat="1" ht="13.15" customHeight="1">
      <c r="A851" s="457"/>
      <c r="B851" s="207"/>
      <c r="C851" s="497"/>
      <c r="D851" s="219"/>
      <c r="M851" s="498"/>
      <c r="N851" s="212"/>
      <c r="O851" s="577"/>
      <c r="P851" s="577"/>
      <c r="Q851" s="577"/>
      <c r="R851" s="577"/>
      <c r="S851" s="577"/>
    </row>
    <row r="852" spans="1:19" s="213" customFormat="1" ht="13.15" customHeight="1">
      <c r="A852" s="457"/>
      <c r="B852" s="207"/>
      <c r="C852" s="497"/>
      <c r="D852" s="219"/>
      <c r="M852" s="498"/>
      <c r="N852" s="212"/>
      <c r="O852" s="577"/>
      <c r="P852" s="577"/>
      <c r="Q852" s="577"/>
      <c r="R852" s="577"/>
      <c r="S852" s="577"/>
    </row>
    <row r="853" spans="1:19" s="213" customFormat="1" ht="13.15" customHeight="1">
      <c r="A853" s="457"/>
      <c r="B853" s="207"/>
      <c r="C853" s="497"/>
      <c r="D853" s="219"/>
      <c r="M853" s="498"/>
      <c r="N853" s="212"/>
      <c r="O853" s="577"/>
      <c r="P853" s="577"/>
      <c r="Q853" s="577"/>
      <c r="R853" s="577"/>
      <c r="S853" s="577"/>
    </row>
    <row r="854" spans="1:19" s="213" customFormat="1" ht="13.15" customHeight="1">
      <c r="A854" s="457"/>
      <c r="B854" s="207"/>
      <c r="C854" s="497"/>
      <c r="D854" s="219"/>
      <c r="M854" s="498"/>
      <c r="N854" s="212"/>
      <c r="O854" s="577"/>
      <c r="P854" s="577"/>
      <c r="Q854" s="577"/>
      <c r="R854" s="577"/>
      <c r="S854" s="577"/>
    </row>
    <row r="855" spans="1:19" s="213" customFormat="1" ht="13.15" customHeight="1">
      <c r="A855" s="457"/>
      <c r="B855" s="207"/>
      <c r="C855" s="497"/>
      <c r="D855" s="219"/>
      <c r="M855" s="498"/>
      <c r="N855" s="212"/>
      <c r="O855" s="577"/>
      <c r="P855" s="577"/>
      <c r="Q855" s="577"/>
      <c r="R855" s="577"/>
      <c r="S855" s="577"/>
    </row>
    <row r="856" spans="1:19" s="213" customFormat="1" ht="13.15" customHeight="1">
      <c r="A856" s="457"/>
      <c r="B856" s="207"/>
      <c r="C856" s="497"/>
      <c r="D856" s="219"/>
      <c r="M856" s="498"/>
      <c r="N856" s="212"/>
      <c r="O856" s="577"/>
      <c r="P856" s="577"/>
      <c r="Q856" s="577"/>
      <c r="R856" s="577"/>
      <c r="S856" s="577"/>
    </row>
    <row r="857" spans="1:19" s="213" customFormat="1" ht="13.15" customHeight="1">
      <c r="A857" s="457"/>
      <c r="B857" s="207"/>
      <c r="C857" s="497"/>
      <c r="D857" s="219"/>
      <c r="M857" s="498"/>
      <c r="N857" s="212"/>
      <c r="O857" s="577"/>
      <c r="P857" s="577"/>
      <c r="Q857" s="577"/>
      <c r="R857" s="577"/>
      <c r="S857" s="577"/>
    </row>
    <row r="858" spans="1:19" s="213" customFormat="1" ht="13.15" customHeight="1">
      <c r="A858" s="457"/>
      <c r="B858" s="207"/>
      <c r="C858" s="497"/>
      <c r="D858" s="219"/>
      <c r="M858" s="498"/>
      <c r="N858" s="212"/>
      <c r="O858" s="577"/>
      <c r="P858" s="577"/>
      <c r="Q858" s="577"/>
      <c r="R858" s="577"/>
      <c r="S858" s="577"/>
    </row>
    <row r="859" spans="1:19" s="213" customFormat="1" ht="13.15" customHeight="1">
      <c r="A859" s="457"/>
      <c r="B859" s="207"/>
      <c r="C859" s="497"/>
      <c r="D859" s="219"/>
      <c r="M859" s="498"/>
      <c r="N859" s="212"/>
      <c r="O859" s="577"/>
      <c r="P859" s="577"/>
      <c r="Q859" s="577"/>
      <c r="R859" s="577"/>
      <c r="S859" s="577"/>
    </row>
    <row r="860" spans="1:19" s="213" customFormat="1" ht="13.15" customHeight="1">
      <c r="A860" s="457"/>
      <c r="B860" s="207"/>
      <c r="C860" s="497"/>
      <c r="D860" s="219"/>
      <c r="M860" s="498"/>
      <c r="N860" s="212"/>
      <c r="O860" s="577"/>
      <c r="P860" s="577"/>
      <c r="Q860" s="577"/>
      <c r="R860" s="577"/>
      <c r="S860" s="577"/>
    </row>
    <row r="861" spans="1:19" s="213" customFormat="1" ht="13.15" customHeight="1">
      <c r="A861" s="457"/>
      <c r="B861" s="207"/>
      <c r="C861" s="497"/>
      <c r="D861" s="219"/>
      <c r="M861" s="498"/>
      <c r="N861" s="212"/>
      <c r="O861" s="577"/>
      <c r="P861" s="577"/>
      <c r="Q861" s="577"/>
      <c r="R861" s="577"/>
      <c r="S861" s="577"/>
    </row>
    <row r="862" spans="1:19" s="213" customFormat="1" ht="13.15" customHeight="1">
      <c r="A862" s="457"/>
      <c r="B862" s="207"/>
      <c r="C862" s="497"/>
      <c r="D862" s="219"/>
      <c r="M862" s="498"/>
      <c r="N862" s="212"/>
      <c r="O862" s="577"/>
      <c r="P862" s="577"/>
      <c r="Q862" s="577"/>
      <c r="R862" s="577"/>
      <c r="S862" s="577"/>
    </row>
    <row r="863" spans="1:19" s="213" customFormat="1" ht="13.15" customHeight="1">
      <c r="A863" s="457"/>
      <c r="B863" s="207"/>
      <c r="C863" s="497"/>
      <c r="D863" s="219"/>
      <c r="M863" s="498"/>
      <c r="N863" s="212"/>
      <c r="O863" s="577"/>
      <c r="P863" s="577"/>
      <c r="Q863" s="577"/>
      <c r="R863" s="577"/>
      <c r="S863" s="577"/>
    </row>
    <row r="864" spans="1:19" s="213" customFormat="1" ht="13.15" customHeight="1">
      <c r="A864" s="457"/>
      <c r="B864" s="207"/>
      <c r="C864" s="497"/>
      <c r="D864" s="219"/>
      <c r="M864" s="498"/>
      <c r="N864" s="212"/>
      <c r="O864" s="577"/>
      <c r="P864" s="577"/>
      <c r="Q864" s="577"/>
      <c r="R864" s="577"/>
      <c r="S864" s="577"/>
    </row>
    <row r="865" spans="1:19" s="213" customFormat="1" ht="13.15" customHeight="1">
      <c r="A865" s="457"/>
      <c r="B865" s="207"/>
      <c r="C865" s="497"/>
      <c r="D865" s="219"/>
      <c r="M865" s="498"/>
      <c r="N865" s="212"/>
      <c r="O865" s="577"/>
      <c r="P865" s="577"/>
      <c r="Q865" s="577"/>
      <c r="R865" s="577"/>
      <c r="S865" s="577"/>
    </row>
    <row r="866" spans="1:19" s="213" customFormat="1" ht="13.15" customHeight="1">
      <c r="A866" s="457"/>
      <c r="B866" s="207"/>
      <c r="C866" s="497"/>
      <c r="D866" s="219"/>
      <c r="M866" s="498"/>
      <c r="N866" s="212"/>
      <c r="O866" s="577"/>
      <c r="P866" s="577"/>
      <c r="Q866" s="577"/>
      <c r="R866" s="577"/>
      <c r="S866" s="577"/>
    </row>
    <row r="867" spans="1:19" s="213" customFormat="1" ht="13.15" customHeight="1">
      <c r="A867" s="457"/>
      <c r="B867" s="207"/>
      <c r="C867" s="497"/>
      <c r="D867" s="219"/>
      <c r="M867" s="498"/>
      <c r="N867" s="212"/>
      <c r="O867" s="577"/>
      <c r="P867" s="577"/>
      <c r="Q867" s="577"/>
      <c r="R867" s="577"/>
      <c r="S867" s="577"/>
    </row>
    <row r="868" spans="1:19" s="213" customFormat="1" ht="13.15" customHeight="1">
      <c r="A868" s="457"/>
      <c r="B868" s="207"/>
      <c r="C868" s="497"/>
      <c r="D868" s="219"/>
      <c r="M868" s="498"/>
      <c r="N868" s="212"/>
      <c r="O868" s="577"/>
      <c r="P868" s="577"/>
      <c r="Q868" s="577"/>
      <c r="R868" s="577"/>
      <c r="S868" s="577"/>
    </row>
    <row r="869" spans="1:19" s="213" customFormat="1" ht="13.15" customHeight="1">
      <c r="A869" s="457"/>
      <c r="B869" s="207"/>
      <c r="C869" s="497"/>
      <c r="D869" s="219"/>
      <c r="M869" s="498"/>
      <c r="N869" s="212"/>
      <c r="O869" s="577"/>
      <c r="P869" s="577"/>
      <c r="Q869" s="577"/>
      <c r="R869" s="577"/>
      <c r="S869" s="577"/>
    </row>
    <row r="870" spans="1:19" s="213" customFormat="1" ht="13.15" customHeight="1">
      <c r="A870" s="457"/>
      <c r="B870" s="207"/>
      <c r="C870" s="497"/>
      <c r="D870" s="219"/>
      <c r="M870" s="498"/>
      <c r="N870" s="212"/>
      <c r="O870" s="577"/>
      <c r="P870" s="577"/>
      <c r="Q870" s="577"/>
      <c r="R870" s="577"/>
      <c r="S870" s="577"/>
    </row>
    <row r="871" spans="1:19" s="213" customFormat="1" ht="13.15" customHeight="1">
      <c r="A871" s="457"/>
      <c r="B871" s="207"/>
      <c r="C871" s="497"/>
      <c r="D871" s="219"/>
      <c r="M871" s="498"/>
      <c r="N871" s="212"/>
      <c r="O871" s="577"/>
      <c r="P871" s="577"/>
      <c r="Q871" s="577"/>
      <c r="R871" s="577"/>
      <c r="S871" s="577"/>
    </row>
    <row r="872" spans="1:19" s="213" customFormat="1" ht="13.15" customHeight="1">
      <c r="A872" s="457"/>
      <c r="B872" s="207"/>
      <c r="C872" s="497"/>
      <c r="D872" s="219"/>
      <c r="M872" s="498"/>
      <c r="N872" s="212"/>
      <c r="O872" s="577"/>
      <c r="P872" s="577"/>
      <c r="Q872" s="577"/>
      <c r="R872" s="577"/>
      <c r="S872" s="577"/>
    </row>
    <row r="873" spans="1:19" s="213" customFormat="1" ht="13.15" customHeight="1">
      <c r="A873" s="457"/>
      <c r="B873" s="207"/>
      <c r="C873" s="497"/>
      <c r="D873" s="219"/>
      <c r="M873" s="498"/>
      <c r="N873" s="212"/>
      <c r="O873" s="577"/>
      <c r="P873" s="577"/>
      <c r="Q873" s="577"/>
      <c r="R873" s="577"/>
      <c r="S873" s="577"/>
    </row>
    <row r="874" spans="1:19" s="213" customFormat="1" ht="13.15" customHeight="1">
      <c r="A874" s="457"/>
      <c r="B874" s="207"/>
      <c r="C874" s="497"/>
      <c r="D874" s="219"/>
      <c r="M874" s="498"/>
      <c r="N874" s="212"/>
      <c r="O874" s="577"/>
      <c r="P874" s="577"/>
      <c r="Q874" s="577"/>
      <c r="R874" s="577"/>
      <c r="S874" s="577"/>
    </row>
    <row r="875" spans="1:19" s="213" customFormat="1" ht="13.15" customHeight="1">
      <c r="A875" s="457"/>
      <c r="B875" s="207"/>
      <c r="C875" s="497"/>
      <c r="D875" s="219"/>
      <c r="M875" s="498"/>
      <c r="N875" s="212"/>
      <c r="O875" s="577"/>
      <c r="P875" s="577"/>
      <c r="Q875" s="577"/>
      <c r="R875" s="577"/>
      <c r="S875" s="577"/>
    </row>
    <row r="876" spans="1:19" s="213" customFormat="1" ht="13.15" customHeight="1">
      <c r="A876" s="457"/>
      <c r="B876" s="207"/>
      <c r="C876" s="497"/>
      <c r="D876" s="219"/>
      <c r="M876" s="498"/>
      <c r="N876" s="212"/>
      <c r="O876" s="577"/>
      <c r="P876" s="577"/>
      <c r="Q876" s="577"/>
      <c r="R876" s="577"/>
      <c r="S876" s="577"/>
    </row>
    <row r="877" spans="1:19" s="213" customFormat="1" ht="13.15" customHeight="1">
      <c r="A877" s="457"/>
      <c r="B877" s="207"/>
      <c r="C877" s="497"/>
      <c r="D877" s="219"/>
      <c r="M877" s="498"/>
      <c r="N877" s="212"/>
      <c r="O877" s="577"/>
      <c r="P877" s="577"/>
      <c r="Q877" s="577"/>
      <c r="R877" s="577"/>
      <c r="S877" s="577"/>
    </row>
    <row r="878" spans="1:19" s="213" customFormat="1" ht="13.15" customHeight="1">
      <c r="A878" s="457"/>
      <c r="B878" s="207"/>
      <c r="C878" s="497"/>
      <c r="D878" s="219"/>
      <c r="M878" s="498"/>
      <c r="N878" s="212"/>
      <c r="O878" s="577"/>
      <c r="P878" s="577"/>
      <c r="Q878" s="577"/>
      <c r="R878" s="577"/>
      <c r="S878" s="577"/>
    </row>
    <row r="879" spans="1:19" s="213" customFormat="1" ht="13.15" customHeight="1">
      <c r="A879" s="457"/>
      <c r="B879" s="207"/>
      <c r="C879" s="497"/>
      <c r="D879" s="219"/>
      <c r="M879" s="498"/>
      <c r="N879" s="212"/>
      <c r="O879" s="577"/>
      <c r="P879" s="577"/>
      <c r="Q879" s="577"/>
      <c r="R879" s="577"/>
      <c r="S879" s="577"/>
    </row>
    <row r="880" spans="1:19" s="213" customFormat="1" ht="13.15" customHeight="1">
      <c r="A880" s="457"/>
      <c r="B880" s="207"/>
      <c r="C880" s="497"/>
      <c r="D880" s="219"/>
      <c r="M880" s="498"/>
      <c r="N880" s="212"/>
      <c r="O880" s="577"/>
      <c r="P880" s="577"/>
      <c r="Q880" s="577"/>
      <c r="R880" s="577"/>
      <c r="S880" s="577"/>
    </row>
    <row r="881" spans="1:19" s="213" customFormat="1" ht="13.15" customHeight="1">
      <c r="A881" s="457"/>
      <c r="B881" s="207"/>
      <c r="C881" s="497"/>
      <c r="D881" s="219"/>
      <c r="M881" s="498"/>
      <c r="N881" s="212"/>
      <c r="O881" s="577"/>
      <c r="P881" s="577"/>
      <c r="Q881" s="577"/>
      <c r="R881" s="577"/>
      <c r="S881" s="577"/>
    </row>
    <row r="882" spans="1:19" s="213" customFormat="1" ht="13.15" customHeight="1">
      <c r="A882" s="457"/>
      <c r="B882" s="207"/>
      <c r="C882" s="497"/>
      <c r="D882" s="219"/>
      <c r="M882" s="498"/>
      <c r="N882" s="212"/>
      <c r="O882" s="577"/>
      <c r="P882" s="577"/>
      <c r="Q882" s="577"/>
      <c r="R882" s="577"/>
      <c r="S882" s="577"/>
    </row>
    <row r="883" spans="1:19" s="213" customFormat="1" ht="13.15" customHeight="1">
      <c r="A883" s="457"/>
      <c r="B883" s="207"/>
      <c r="C883" s="497"/>
      <c r="D883" s="219"/>
      <c r="M883" s="498"/>
      <c r="N883" s="212"/>
      <c r="O883" s="577"/>
      <c r="P883" s="577"/>
      <c r="Q883" s="577"/>
      <c r="R883" s="577"/>
      <c r="S883" s="577"/>
    </row>
    <row r="884" spans="1:19" s="213" customFormat="1" ht="13.15" customHeight="1">
      <c r="A884" s="457"/>
      <c r="B884" s="207"/>
      <c r="C884" s="497"/>
      <c r="D884" s="219"/>
      <c r="M884" s="498"/>
      <c r="N884" s="212"/>
      <c r="O884" s="577"/>
      <c r="P884" s="577"/>
      <c r="Q884" s="577"/>
      <c r="R884" s="577"/>
      <c r="S884" s="577"/>
    </row>
    <row r="885" spans="1:19" s="213" customFormat="1" ht="13.15" customHeight="1">
      <c r="A885" s="457"/>
      <c r="B885" s="207"/>
      <c r="C885" s="497"/>
      <c r="D885" s="219"/>
      <c r="M885" s="498"/>
      <c r="N885" s="212"/>
      <c r="O885" s="577"/>
      <c r="P885" s="577"/>
      <c r="Q885" s="577"/>
      <c r="R885" s="577"/>
      <c r="S885" s="577"/>
    </row>
    <row r="886" spans="1:19" s="213" customFormat="1" ht="13.15" customHeight="1">
      <c r="A886" s="457"/>
      <c r="B886" s="207"/>
      <c r="C886" s="497"/>
      <c r="D886" s="219"/>
      <c r="M886" s="498"/>
      <c r="N886" s="212"/>
      <c r="O886" s="577"/>
      <c r="P886" s="577"/>
      <c r="Q886" s="577"/>
      <c r="R886" s="577"/>
      <c r="S886" s="577"/>
    </row>
    <row r="887" spans="1:19" s="213" customFormat="1" ht="13.15" customHeight="1">
      <c r="A887" s="457"/>
      <c r="B887" s="207"/>
      <c r="C887" s="497"/>
      <c r="D887" s="219"/>
      <c r="M887" s="498"/>
      <c r="N887" s="212"/>
      <c r="O887" s="577"/>
      <c r="P887" s="577"/>
      <c r="Q887" s="577"/>
      <c r="R887" s="577"/>
      <c r="S887" s="577"/>
    </row>
    <row r="888" spans="1:19" s="213" customFormat="1" ht="13.15" customHeight="1">
      <c r="A888" s="457"/>
      <c r="B888" s="207"/>
      <c r="C888" s="497"/>
      <c r="D888" s="219"/>
      <c r="M888" s="498"/>
      <c r="N888" s="212"/>
      <c r="O888" s="577"/>
      <c r="P888" s="577"/>
      <c r="Q888" s="577"/>
      <c r="R888" s="577"/>
      <c r="S888" s="577"/>
    </row>
    <row r="889" spans="1:19" s="213" customFormat="1" ht="13.15" customHeight="1">
      <c r="A889" s="457"/>
      <c r="B889" s="207"/>
      <c r="C889" s="497"/>
      <c r="D889" s="219"/>
      <c r="M889" s="498"/>
      <c r="N889" s="212"/>
      <c r="O889" s="577"/>
      <c r="P889" s="577"/>
      <c r="Q889" s="577"/>
      <c r="R889" s="577"/>
      <c r="S889" s="577"/>
    </row>
    <row r="890" spans="1:19" s="213" customFormat="1" ht="13.15" customHeight="1">
      <c r="A890" s="457"/>
      <c r="B890" s="207"/>
      <c r="C890" s="497"/>
      <c r="D890" s="219"/>
      <c r="M890" s="498"/>
      <c r="N890" s="212"/>
      <c r="O890" s="577"/>
      <c r="P890" s="577"/>
      <c r="Q890" s="577"/>
      <c r="R890" s="577"/>
      <c r="S890" s="577"/>
    </row>
    <row r="891" spans="1:19" s="213" customFormat="1" ht="13.15" customHeight="1">
      <c r="A891" s="457"/>
      <c r="B891" s="207"/>
      <c r="C891" s="497"/>
      <c r="D891" s="219"/>
      <c r="M891" s="498"/>
      <c r="N891" s="212"/>
      <c r="O891" s="577"/>
      <c r="P891" s="577"/>
      <c r="Q891" s="577"/>
      <c r="R891" s="577"/>
      <c r="S891" s="577"/>
    </row>
    <row r="892" spans="1:19" s="213" customFormat="1" ht="13.15" customHeight="1">
      <c r="A892" s="457"/>
      <c r="B892" s="207"/>
      <c r="C892" s="497"/>
      <c r="D892" s="219"/>
      <c r="M892" s="498"/>
      <c r="N892" s="212"/>
      <c r="O892" s="577"/>
      <c r="P892" s="577"/>
      <c r="Q892" s="577"/>
      <c r="R892" s="577"/>
      <c r="S892" s="577"/>
    </row>
    <row r="893" spans="1:19" s="213" customFormat="1" ht="13.15" customHeight="1">
      <c r="A893" s="457"/>
      <c r="B893" s="207"/>
      <c r="C893" s="497"/>
      <c r="D893" s="219"/>
      <c r="M893" s="498"/>
      <c r="N893" s="212"/>
      <c r="O893" s="577"/>
      <c r="P893" s="577"/>
      <c r="Q893" s="577"/>
      <c r="R893" s="577"/>
      <c r="S893" s="577"/>
    </row>
    <row r="894" spans="1:19" s="213" customFormat="1" ht="13.15" customHeight="1">
      <c r="A894" s="457"/>
      <c r="B894" s="207"/>
      <c r="C894" s="497"/>
      <c r="D894" s="219"/>
      <c r="M894" s="498"/>
      <c r="N894" s="212"/>
      <c r="O894" s="577"/>
      <c r="P894" s="577"/>
      <c r="Q894" s="577"/>
      <c r="R894" s="577"/>
      <c r="S894" s="577"/>
    </row>
    <row r="895" spans="1:19" s="213" customFormat="1" ht="13.15" customHeight="1">
      <c r="A895" s="457"/>
      <c r="B895" s="207"/>
      <c r="C895" s="497"/>
      <c r="D895" s="219"/>
      <c r="M895" s="498"/>
      <c r="N895" s="212"/>
      <c r="O895" s="577"/>
      <c r="P895" s="577"/>
      <c r="Q895" s="577"/>
      <c r="R895" s="577"/>
      <c r="S895" s="577"/>
    </row>
    <row r="896" spans="1:19" s="213" customFormat="1" ht="13.15" customHeight="1">
      <c r="A896" s="457"/>
      <c r="B896" s="207"/>
      <c r="C896" s="497"/>
      <c r="D896" s="219"/>
      <c r="M896" s="498"/>
      <c r="N896" s="212"/>
      <c r="O896" s="577"/>
      <c r="P896" s="577"/>
      <c r="Q896" s="577"/>
      <c r="R896" s="577"/>
      <c r="S896" s="577"/>
    </row>
    <row r="897" spans="1:19" s="213" customFormat="1" ht="13.15" customHeight="1">
      <c r="A897" s="457"/>
      <c r="B897" s="207"/>
      <c r="C897" s="497"/>
      <c r="D897" s="219"/>
      <c r="M897" s="498"/>
      <c r="N897" s="212"/>
      <c r="O897" s="577"/>
      <c r="P897" s="577"/>
      <c r="Q897" s="577"/>
      <c r="R897" s="577"/>
      <c r="S897" s="577"/>
    </row>
    <row r="898" spans="1:19" s="213" customFormat="1" ht="13.15" customHeight="1">
      <c r="A898" s="457"/>
      <c r="B898" s="207"/>
      <c r="C898" s="497"/>
      <c r="D898" s="219"/>
      <c r="M898" s="498"/>
      <c r="N898" s="212"/>
      <c r="O898" s="577"/>
      <c r="P898" s="577"/>
      <c r="Q898" s="577"/>
      <c r="R898" s="577"/>
      <c r="S898" s="577"/>
    </row>
    <row r="899" spans="1:19" s="213" customFormat="1" ht="13.15" customHeight="1">
      <c r="A899" s="457"/>
      <c r="B899" s="207"/>
      <c r="C899" s="497"/>
      <c r="D899" s="219"/>
      <c r="M899" s="498"/>
      <c r="N899" s="212"/>
      <c r="O899" s="577"/>
      <c r="P899" s="577"/>
      <c r="Q899" s="577"/>
      <c r="R899" s="577"/>
      <c r="S899" s="577"/>
    </row>
    <row r="900" spans="1:19" s="213" customFormat="1" ht="13.15" customHeight="1">
      <c r="A900" s="457"/>
      <c r="B900" s="207"/>
      <c r="C900" s="497"/>
      <c r="D900" s="219"/>
      <c r="M900" s="498"/>
      <c r="N900" s="212"/>
      <c r="O900" s="577"/>
      <c r="P900" s="577"/>
      <c r="Q900" s="577"/>
      <c r="R900" s="577"/>
      <c r="S900" s="577"/>
    </row>
    <row r="901" spans="1:19" s="213" customFormat="1" ht="13.15" customHeight="1">
      <c r="A901" s="457"/>
      <c r="B901" s="207"/>
      <c r="C901" s="497"/>
      <c r="D901" s="219"/>
      <c r="M901" s="498"/>
      <c r="N901" s="212"/>
      <c r="O901" s="577"/>
      <c r="P901" s="577"/>
      <c r="Q901" s="577"/>
      <c r="R901" s="577"/>
      <c r="S901" s="577"/>
    </row>
    <row r="902" spans="1:19" s="213" customFormat="1" ht="13.15" customHeight="1">
      <c r="A902" s="457"/>
      <c r="B902" s="207"/>
      <c r="C902" s="497"/>
      <c r="D902" s="219"/>
      <c r="M902" s="498"/>
      <c r="N902" s="212"/>
      <c r="O902" s="577"/>
      <c r="P902" s="577"/>
      <c r="Q902" s="577"/>
      <c r="R902" s="577"/>
      <c r="S902" s="577"/>
    </row>
    <row r="903" spans="1:19" s="213" customFormat="1" ht="13.15" customHeight="1">
      <c r="A903" s="457"/>
      <c r="B903" s="207"/>
      <c r="C903" s="497"/>
      <c r="D903" s="219"/>
      <c r="M903" s="498"/>
      <c r="N903" s="212"/>
      <c r="O903" s="577"/>
      <c r="P903" s="577"/>
      <c r="Q903" s="577"/>
      <c r="R903" s="577"/>
      <c r="S903" s="577"/>
    </row>
    <row r="904" spans="1:19" s="213" customFormat="1" ht="13.15" customHeight="1">
      <c r="A904" s="457"/>
      <c r="B904" s="207"/>
      <c r="C904" s="497"/>
      <c r="D904" s="219"/>
      <c r="M904" s="498"/>
      <c r="N904" s="212"/>
      <c r="O904" s="577"/>
      <c r="P904" s="577"/>
      <c r="Q904" s="577"/>
      <c r="R904" s="577"/>
      <c r="S904" s="577"/>
    </row>
    <row r="905" spans="1:19" s="213" customFormat="1" ht="13.15" customHeight="1">
      <c r="A905" s="457"/>
      <c r="B905" s="207"/>
      <c r="C905" s="497"/>
      <c r="D905" s="219"/>
      <c r="M905" s="498"/>
      <c r="N905" s="212"/>
      <c r="O905" s="577"/>
      <c r="P905" s="577"/>
      <c r="Q905" s="577"/>
      <c r="R905" s="577"/>
      <c r="S905" s="577"/>
    </row>
    <row r="906" spans="1:19" s="213" customFormat="1" ht="13.15" customHeight="1">
      <c r="A906" s="457"/>
      <c r="B906" s="207"/>
      <c r="C906" s="497"/>
      <c r="D906" s="219"/>
      <c r="M906" s="498"/>
      <c r="N906" s="212"/>
      <c r="O906" s="577"/>
      <c r="P906" s="577"/>
      <c r="Q906" s="577"/>
      <c r="R906" s="577"/>
      <c r="S906" s="577"/>
    </row>
    <row r="907" spans="1:19" s="213" customFormat="1" ht="13.15" customHeight="1">
      <c r="A907" s="457"/>
      <c r="B907" s="207"/>
      <c r="C907" s="497"/>
      <c r="D907" s="219"/>
      <c r="M907" s="498"/>
      <c r="N907" s="212"/>
      <c r="O907" s="577"/>
      <c r="P907" s="577"/>
      <c r="Q907" s="577"/>
      <c r="R907" s="577"/>
      <c r="S907" s="577"/>
    </row>
    <row r="908" spans="1:19" s="213" customFormat="1" ht="13.15" customHeight="1">
      <c r="A908" s="457"/>
      <c r="B908" s="207"/>
      <c r="C908" s="497"/>
      <c r="D908" s="219"/>
      <c r="M908" s="498"/>
      <c r="N908" s="212"/>
      <c r="O908" s="577"/>
      <c r="P908" s="577"/>
      <c r="Q908" s="577"/>
      <c r="R908" s="577"/>
      <c r="S908" s="577"/>
    </row>
    <row r="909" spans="1:19" s="213" customFormat="1" ht="13.15" customHeight="1">
      <c r="A909" s="457"/>
      <c r="B909" s="207"/>
      <c r="C909" s="497"/>
      <c r="D909" s="219"/>
      <c r="M909" s="498"/>
      <c r="N909" s="212"/>
      <c r="O909" s="577"/>
      <c r="P909" s="577"/>
      <c r="Q909" s="577"/>
      <c r="R909" s="577"/>
      <c r="S909" s="577"/>
    </row>
    <row r="910" spans="1:19" s="213" customFormat="1" ht="13.15" customHeight="1">
      <c r="A910" s="457"/>
      <c r="B910" s="207"/>
      <c r="C910" s="497"/>
      <c r="D910" s="219"/>
      <c r="M910" s="498"/>
      <c r="N910" s="212"/>
      <c r="O910" s="577"/>
      <c r="P910" s="577"/>
      <c r="Q910" s="577"/>
      <c r="R910" s="577"/>
      <c r="S910" s="577"/>
    </row>
    <row r="911" spans="1:19" s="213" customFormat="1" ht="13.15" customHeight="1">
      <c r="A911" s="457"/>
      <c r="B911" s="207"/>
      <c r="C911" s="497"/>
      <c r="D911" s="219"/>
      <c r="M911" s="498"/>
      <c r="N911" s="212"/>
      <c r="O911" s="577"/>
      <c r="P911" s="577"/>
      <c r="Q911" s="577"/>
      <c r="R911" s="577"/>
      <c r="S911" s="577"/>
    </row>
    <row r="912" spans="1:19" s="213" customFormat="1" ht="13.15" customHeight="1">
      <c r="A912" s="457"/>
      <c r="B912" s="207"/>
      <c r="C912" s="497"/>
      <c r="D912" s="219"/>
      <c r="M912" s="498"/>
      <c r="N912" s="212"/>
      <c r="O912" s="577"/>
      <c r="P912" s="577"/>
      <c r="Q912" s="577"/>
      <c r="R912" s="577"/>
      <c r="S912" s="577"/>
    </row>
    <row r="913" spans="1:19" s="213" customFormat="1" ht="13.15" customHeight="1">
      <c r="A913" s="457"/>
      <c r="B913" s="207"/>
      <c r="C913" s="497"/>
      <c r="D913" s="219"/>
      <c r="M913" s="498"/>
      <c r="N913" s="212"/>
      <c r="O913" s="577"/>
      <c r="P913" s="577"/>
      <c r="Q913" s="577"/>
      <c r="R913" s="577"/>
      <c r="S913" s="577"/>
    </row>
    <row r="914" spans="1:19" s="213" customFormat="1" ht="13.15" customHeight="1">
      <c r="A914" s="457"/>
      <c r="B914" s="207"/>
      <c r="C914" s="497"/>
      <c r="D914" s="219"/>
      <c r="M914" s="498"/>
      <c r="N914" s="212"/>
      <c r="O914" s="577"/>
      <c r="P914" s="577"/>
      <c r="Q914" s="577"/>
      <c r="R914" s="577"/>
      <c r="S914" s="577"/>
    </row>
    <row r="915" spans="1:19" s="213" customFormat="1" ht="13.15" customHeight="1">
      <c r="A915" s="457"/>
      <c r="B915" s="207"/>
      <c r="C915" s="497"/>
      <c r="D915" s="219"/>
      <c r="M915" s="498"/>
      <c r="N915" s="212"/>
      <c r="O915" s="577"/>
      <c r="P915" s="577"/>
      <c r="Q915" s="577"/>
      <c r="R915" s="577"/>
      <c r="S915" s="577"/>
    </row>
    <row r="916" spans="1:19" s="213" customFormat="1" ht="13.15" customHeight="1">
      <c r="A916" s="457"/>
      <c r="B916" s="207"/>
      <c r="C916" s="497"/>
      <c r="D916" s="219"/>
      <c r="M916" s="498"/>
      <c r="N916" s="212"/>
      <c r="O916" s="577"/>
      <c r="P916" s="577"/>
      <c r="Q916" s="577"/>
      <c r="R916" s="577"/>
      <c r="S916" s="577"/>
    </row>
    <row r="917" spans="1:19" s="213" customFormat="1" ht="13.15" customHeight="1">
      <c r="A917" s="457"/>
      <c r="B917" s="207"/>
      <c r="C917" s="497"/>
      <c r="D917" s="219"/>
      <c r="M917" s="498"/>
      <c r="N917" s="212"/>
      <c r="O917" s="577"/>
      <c r="P917" s="577"/>
      <c r="Q917" s="577"/>
      <c r="R917" s="577"/>
      <c r="S917" s="577"/>
    </row>
    <row r="918" spans="1:19" s="213" customFormat="1" ht="13.15" customHeight="1">
      <c r="A918" s="457"/>
      <c r="B918" s="207"/>
      <c r="C918" s="497"/>
      <c r="D918" s="219"/>
      <c r="M918" s="498"/>
      <c r="N918" s="212"/>
      <c r="O918" s="577"/>
      <c r="P918" s="577"/>
      <c r="Q918" s="577"/>
      <c r="R918" s="577"/>
      <c r="S918" s="577"/>
    </row>
    <row r="919" spans="1:19" s="213" customFormat="1" ht="13.15" customHeight="1">
      <c r="A919" s="457"/>
      <c r="B919" s="207"/>
      <c r="C919" s="497"/>
      <c r="D919" s="219"/>
      <c r="M919" s="498"/>
      <c r="N919" s="212"/>
      <c r="O919" s="577"/>
      <c r="P919" s="577"/>
      <c r="Q919" s="577"/>
      <c r="R919" s="577"/>
      <c r="S919" s="577"/>
    </row>
    <row r="920" spans="1:19" s="213" customFormat="1" ht="13.15" customHeight="1">
      <c r="A920" s="457"/>
      <c r="B920" s="207"/>
      <c r="C920" s="497"/>
      <c r="D920" s="219"/>
      <c r="M920" s="498"/>
      <c r="N920" s="212"/>
      <c r="O920" s="577"/>
      <c r="P920" s="577"/>
      <c r="Q920" s="577"/>
      <c r="R920" s="577"/>
      <c r="S920" s="577"/>
    </row>
    <row r="921" spans="1:19" s="213" customFormat="1" ht="13.15" customHeight="1">
      <c r="A921" s="457"/>
      <c r="B921" s="207"/>
      <c r="C921" s="497"/>
      <c r="D921" s="219"/>
      <c r="M921" s="498"/>
      <c r="N921" s="212"/>
      <c r="O921" s="577"/>
      <c r="P921" s="577"/>
      <c r="Q921" s="577"/>
      <c r="R921" s="577"/>
      <c r="S921" s="577"/>
    </row>
    <row r="922" spans="1:19" s="213" customFormat="1" ht="13.15" customHeight="1">
      <c r="A922" s="457"/>
      <c r="B922" s="207"/>
      <c r="C922" s="497"/>
      <c r="D922" s="219"/>
      <c r="M922" s="498"/>
      <c r="N922" s="212"/>
      <c r="O922" s="577"/>
      <c r="P922" s="577"/>
      <c r="Q922" s="577"/>
      <c r="R922" s="577"/>
      <c r="S922" s="577"/>
    </row>
    <row r="923" spans="1:19" s="213" customFormat="1" ht="13.15" customHeight="1">
      <c r="A923" s="457"/>
      <c r="B923" s="207"/>
      <c r="C923" s="497"/>
      <c r="D923" s="219"/>
      <c r="M923" s="498"/>
      <c r="N923" s="212"/>
      <c r="O923" s="577"/>
      <c r="P923" s="577"/>
      <c r="Q923" s="577"/>
      <c r="R923" s="577"/>
      <c r="S923" s="577"/>
    </row>
    <row r="924" spans="1:19" s="213" customFormat="1" ht="13.15" customHeight="1">
      <c r="A924" s="457"/>
      <c r="B924" s="207"/>
      <c r="C924" s="497"/>
      <c r="D924" s="219"/>
      <c r="M924" s="498"/>
      <c r="N924" s="212"/>
      <c r="O924" s="577"/>
      <c r="P924" s="577"/>
      <c r="Q924" s="577"/>
      <c r="R924" s="577"/>
      <c r="S924" s="577"/>
    </row>
    <row r="925" spans="1:19" s="213" customFormat="1" ht="13.15" customHeight="1">
      <c r="A925" s="457"/>
      <c r="B925" s="207"/>
      <c r="C925" s="497"/>
      <c r="D925" s="219"/>
      <c r="M925" s="498"/>
      <c r="N925" s="212"/>
      <c r="O925" s="577"/>
      <c r="P925" s="577"/>
      <c r="Q925" s="577"/>
      <c r="R925" s="577"/>
      <c r="S925" s="577"/>
    </row>
    <row r="926" spans="1:19" s="213" customFormat="1" ht="13.15" customHeight="1">
      <c r="A926" s="457"/>
      <c r="B926" s="207"/>
      <c r="C926" s="497"/>
      <c r="D926" s="219"/>
      <c r="M926" s="498"/>
      <c r="N926" s="212"/>
      <c r="O926" s="577"/>
      <c r="P926" s="577"/>
      <c r="Q926" s="577"/>
      <c r="R926" s="577"/>
      <c r="S926" s="577"/>
    </row>
    <row r="927" spans="1:19" s="213" customFormat="1" ht="13.15" customHeight="1">
      <c r="A927" s="457"/>
      <c r="B927" s="207"/>
      <c r="C927" s="497"/>
      <c r="D927" s="219"/>
      <c r="M927" s="498"/>
      <c r="N927" s="212"/>
      <c r="O927" s="577"/>
      <c r="P927" s="577"/>
      <c r="Q927" s="577"/>
      <c r="R927" s="577"/>
      <c r="S927" s="577"/>
    </row>
    <row r="928" spans="1:19" s="213" customFormat="1" ht="13.15" customHeight="1">
      <c r="A928" s="457"/>
      <c r="B928" s="207"/>
      <c r="C928" s="497"/>
      <c r="D928" s="219"/>
      <c r="M928" s="498"/>
      <c r="N928" s="212"/>
      <c r="O928" s="577"/>
      <c r="P928" s="577"/>
      <c r="Q928" s="577"/>
      <c r="R928" s="577"/>
      <c r="S928" s="577"/>
    </row>
    <row r="929" spans="1:19" s="213" customFormat="1" ht="13.15" customHeight="1">
      <c r="A929" s="457"/>
      <c r="B929" s="207"/>
      <c r="C929" s="497"/>
      <c r="D929" s="219"/>
      <c r="M929" s="498"/>
      <c r="N929" s="212"/>
      <c r="O929" s="577"/>
      <c r="P929" s="577"/>
      <c r="Q929" s="577"/>
      <c r="R929" s="577"/>
      <c r="S929" s="577"/>
    </row>
    <row r="930" spans="1:19" s="213" customFormat="1" ht="13.15" customHeight="1">
      <c r="A930" s="457"/>
      <c r="B930" s="207"/>
      <c r="C930" s="497"/>
      <c r="D930" s="219"/>
      <c r="M930" s="498"/>
      <c r="N930" s="212"/>
      <c r="O930" s="577"/>
      <c r="P930" s="577"/>
      <c r="Q930" s="577"/>
      <c r="R930" s="577"/>
      <c r="S930" s="577"/>
    </row>
    <row r="931" spans="1:19" s="213" customFormat="1" ht="13.15" customHeight="1">
      <c r="A931" s="457"/>
      <c r="B931" s="207"/>
      <c r="C931" s="497"/>
      <c r="D931" s="219"/>
      <c r="M931" s="498"/>
      <c r="N931" s="212"/>
      <c r="O931" s="577"/>
      <c r="P931" s="577"/>
      <c r="Q931" s="577"/>
      <c r="R931" s="577"/>
      <c r="S931" s="577"/>
    </row>
    <row r="932" spans="1:19" s="213" customFormat="1" ht="13.15" customHeight="1">
      <c r="A932" s="457"/>
      <c r="B932" s="207"/>
      <c r="C932" s="497"/>
      <c r="D932" s="219"/>
      <c r="M932" s="498"/>
      <c r="N932" s="212"/>
      <c r="O932" s="577"/>
      <c r="P932" s="577"/>
      <c r="Q932" s="577"/>
      <c r="R932" s="577"/>
      <c r="S932" s="577"/>
    </row>
    <row r="933" spans="1:19" s="213" customFormat="1" ht="13.15" customHeight="1">
      <c r="A933" s="457"/>
      <c r="B933" s="207"/>
      <c r="C933" s="497"/>
      <c r="D933" s="219"/>
      <c r="M933" s="498"/>
      <c r="N933" s="212"/>
      <c r="O933" s="577"/>
      <c r="P933" s="577"/>
      <c r="Q933" s="577"/>
      <c r="R933" s="577"/>
      <c r="S933" s="577"/>
    </row>
    <row r="934" spans="1:19" s="213" customFormat="1" ht="13.15" customHeight="1">
      <c r="A934" s="457"/>
      <c r="B934" s="207"/>
      <c r="C934" s="497"/>
      <c r="D934" s="219"/>
      <c r="M934" s="498"/>
      <c r="N934" s="212"/>
      <c r="O934" s="577"/>
      <c r="P934" s="577"/>
      <c r="Q934" s="577"/>
      <c r="R934" s="577"/>
      <c r="S934" s="577"/>
    </row>
    <row r="935" spans="1:19" s="213" customFormat="1" ht="13.15" customHeight="1">
      <c r="A935" s="457"/>
      <c r="B935" s="207"/>
      <c r="C935" s="497"/>
      <c r="D935" s="219"/>
      <c r="M935" s="498"/>
      <c r="N935" s="212"/>
      <c r="O935" s="577"/>
      <c r="P935" s="577"/>
      <c r="Q935" s="577"/>
      <c r="R935" s="577"/>
      <c r="S935" s="577"/>
    </row>
    <row r="936" spans="1:19" s="213" customFormat="1" ht="13.15" customHeight="1">
      <c r="A936" s="457"/>
      <c r="B936" s="207"/>
      <c r="C936" s="497"/>
      <c r="D936" s="219"/>
      <c r="M936" s="498"/>
      <c r="N936" s="212"/>
      <c r="O936" s="577"/>
      <c r="P936" s="577"/>
      <c r="Q936" s="577"/>
      <c r="R936" s="577"/>
      <c r="S936" s="577"/>
    </row>
    <row r="937" spans="1:19" s="213" customFormat="1" ht="13.15" customHeight="1">
      <c r="A937" s="457"/>
      <c r="B937" s="207"/>
      <c r="C937" s="497"/>
      <c r="D937" s="219"/>
      <c r="M937" s="498"/>
      <c r="N937" s="212"/>
      <c r="O937" s="577"/>
      <c r="P937" s="577"/>
      <c r="Q937" s="577"/>
      <c r="R937" s="577"/>
      <c r="S937" s="577"/>
    </row>
    <row r="938" spans="1:19" s="213" customFormat="1" ht="13.15" customHeight="1">
      <c r="A938" s="457"/>
      <c r="B938" s="207"/>
      <c r="C938" s="497"/>
      <c r="D938" s="219"/>
      <c r="M938" s="498"/>
      <c r="N938" s="212"/>
      <c r="O938" s="577"/>
      <c r="P938" s="577"/>
      <c r="Q938" s="577"/>
      <c r="R938" s="577"/>
      <c r="S938" s="577"/>
    </row>
    <row r="939" spans="1:19" s="213" customFormat="1" ht="13.15" customHeight="1">
      <c r="A939" s="457"/>
      <c r="B939" s="207"/>
      <c r="C939" s="497"/>
      <c r="D939" s="219"/>
      <c r="M939" s="498"/>
      <c r="N939" s="212"/>
      <c r="O939" s="577"/>
      <c r="P939" s="577"/>
      <c r="Q939" s="577"/>
      <c r="R939" s="577"/>
      <c r="S939" s="577"/>
    </row>
    <row r="940" spans="1:19" s="213" customFormat="1" ht="13.15" customHeight="1">
      <c r="A940" s="457"/>
      <c r="B940" s="207"/>
      <c r="C940" s="497"/>
      <c r="D940" s="219"/>
      <c r="M940" s="498"/>
      <c r="N940" s="212"/>
      <c r="O940" s="577"/>
      <c r="P940" s="577"/>
      <c r="Q940" s="577"/>
      <c r="R940" s="577"/>
      <c r="S940" s="577"/>
    </row>
    <row r="941" spans="1:19" s="213" customFormat="1" ht="13.15" customHeight="1">
      <c r="A941" s="457"/>
      <c r="B941" s="207"/>
      <c r="C941" s="497"/>
      <c r="D941" s="219"/>
      <c r="M941" s="498"/>
      <c r="N941" s="212"/>
      <c r="O941" s="577"/>
      <c r="P941" s="577"/>
      <c r="Q941" s="577"/>
      <c r="R941" s="577"/>
      <c r="S941" s="577"/>
    </row>
    <row r="942" spans="1:19" s="213" customFormat="1" ht="13.15" customHeight="1">
      <c r="A942" s="457"/>
      <c r="B942" s="207"/>
      <c r="C942" s="497"/>
      <c r="D942" s="219"/>
      <c r="M942" s="498"/>
      <c r="N942" s="212"/>
      <c r="O942" s="577"/>
      <c r="P942" s="577"/>
      <c r="Q942" s="577"/>
      <c r="R942" s="577"/>
      <c r="S942" s="577"/>
    </row>
    <row r="943" spans="1:19" s="213" customFormat="1" ht="13.15" customHeight="1">
      <c r="A943" s="457"/>
      <c r="B943" s="207"/>
      <c r="C943" s="497"/>
      <c r="D943" s="219"/>
      <c r="M943" s="498"/>
      <c r="N943" s="212"/>
      <c r="O943" s="577"/>
      <c r="P943" s="577"/>
      <c r="Q943" s="577"/>
      <c r="R943" s="577"/>
      <c r="S943" s="577"/>
    </row>
    <row r="944" spans="1:19" s="213" customFormat="1" ht="13.15" customHeight="1">
      <c r="A944" s="457"/>
      <c r="B944" s="207"/>
      <c r="C944" s="497"/>
      <c r="D944" s="219"/>
      <c r="M944" s="498"/>
      <c r="N944" s="212"/>
      <c r="O944" s="577"/>
      <c r="P944" s="577"/>
      <c r="Q944" s="577"/>
      <c r="R944" s="577"/>
      <c r="S944" s="577"/>
    </row>
    <row r="945" spans="1:19" s="213" customFormat="1" ht="13.15" customHeight="1">
      <c r="A945" s="457"/>
      <c r="B945" s="207"/>
      <c r="C945" s="497"/>
      <c r="D945" s="219"/>
      <c r="M945" s="498"/>
      <c r="N945" s="212"/>
      <c r="O945" s="577"/>
      <c r="P945" s="577"/>
      <c r="Q945" s="577"/>
      <c r="R945" s="577"/>
      <c r="S945" s="577"/>
    </row>
    <row r="946" spans="1:19" s="213" customFormat="1" ht="13.15" customHeight="1">
      <c r="A946" s="457"/>
      <c r="B946" s="207"/>
      <c r="C946" s="497"/>
      <c r="D946" s="219"/>
      <c r="M946" s="498"/>
      <c r="N946" s="212"/>
      <c r="O946" s="577"/>
      <c r="P946" s="577"/>
      <c r="Q946" s="577"/>
      <c r="R946" s="577"/>
      <c r="S946" s="577"/>
    </row>
    <row r="947" spans="1:19" s="213" customFormat="1" ht="13.15" customHeight="1">
      <c r="A947" s="457"/>
      <c r="B947" s="207"/>
      <c r="C947" s="497"/>
      <c r="D947" s="219"/>
      <c r="M947" s="498"/>
      <c r="N947" s="212"/>
      <c r="O947" s="577"/>
      <c r="P947" s="577"/>
      <c r="Q947" s="577"/>
      <c r="R947" s="577"/>
      <c r="S947" s="577"/>
    </row>
    <row r="948" spans="1:19" s="213" customFormat="1" ht="13.15" customHeight="1">
      <c r="A948" s="457"/>
      <c r="B948" s="207"/>
      <c r="C948" s="497"/>
      <c r="D948" s="219"/>
      <c r="M948" s="498"/>
      <c r="N948" s="212"/>
      <c r="O948" s="577"/>
      <c r="P948" s="577"/>
      <c r="Q948" s="577"/>
      <c r="R948" s="577"/>
      <c r="S948" s="577"/>
    </row>
    <row r="949" spans="1:19" s="213" customFormat="1" ht="13.15" customHeight="1">
      <c r="A949" s="457"/>
      <c r="B949" s="207"/>
      <c r="C949" s="497"/>
      <c r="D949" s="219"/>
      <c r="M949" s="498"/>
      <c r="N949" s="212"/>
      <c r="O949" s="577"/>
      <c r="P949" s="577"/>
      <c r="Q949" s="577"/>
      <c r="R949" s="577"/>
      <c r="S949" s="577"/>
    </row>
    <row r="950" spans="1:19" s="213" customFormat="1" ht="13.15" customHeight="1">
      <c r="A950" s="457"/>
      <c r="B950" s="207"/>
      <c r="C950" s="497"/>
      <c r="D950" s="219"/>
      <c r="M950" s="498"/>
      <c r="N950" s="212"/>
      <c r="O950" s="577"/>
      <c r="P950" s="577"/>
      <c r="Q950" s="577"/>
      <c r="R950" s="577"/>
      <c r="S950" s="577"/>
    </row>
    <row r="951" spans="1:19" s="213" customFormat="1" ht="13.15" customHeight="1">
      <c r="A951" s="457"/>
      <c r="B951" s="207"/>
      <c r="C951" s="497"/>
      <c r="D951" s="219"/>
      <c r="M951" s="498"/>
      <c r="N951" s="212"/>
      <c r="O951" s="577"/>
      <c r="P951" s="577"/>
      <c r="Q951" s="577"/>
      <c r="R951" s="577"/>
      <c r="S951" s="577"/>
    </row>
    <row r="952" spans="1:19" s="213" customFormat="1" ht="13.15" customHeight="1">
      <c r="A952" s="457"/>
      <c r="B952" s="207"/>
      <c r="C952" s="497"/>
      <c r="D952" s="219"/>
      <c r="M952" s="498"/>
      <c r="N952" s="212"/>
      <c r="O952" s="577"/>
      <c r="P952" s="577"/>
      <c r="Q952" s="577"/>
      <c r="R952" s="577"/>
      <c r="S952" s="577"/>
    </row>
    <row r="953" spans="1:19" s="213" customFormat="1" ht="13.15" customHeight="1">
      <c r="A953" s="457"/>
      <c r="B953" s="207"/>
      <c r="C953" s="497"/>
      <c r="D953" s="219"/>
      <c r="M953" s="498"/>
      <c r="N953" s="212"/>
      <c r="O953" s="577"/>
      <c r="P953" s="577"/>
      <c r="Q953" s="577"/>
      <c r="R953" s="577"/>
      <c r="S953" s="577"/>
    </row>
    <row r="954" spans="1:19" s="213" customFormat="1" ht="13.15" customHeight="1">
      <c r="A954" s="457"/>
      <c r="B954" s="207"/>
      <c r="C954" s="497"/>
      <c r="D954" s="219"/>
      <c r="M954" s="498"/>
      <c r="N954" s="212"/>
      <c r="O954" s="577"/>
      <c r="P954" s="577"/>
      <c r="Q954" s="577"/>
      <c r="R954" s="577"/>
      <c r="S954" s="577"/>
    </row>
    <row r="955" spans="1:19" s="213" customFormat="1" ht="13.15" customHeight="1">
      <c r="A955" s="457"/>
      <c r="B955" s="207"/>
      <c r="C955" s="497"/>
      <c r="D955" s="219"/>
      <c r="M955" s="498"/>
      <c r="N955" s="212"/>
      <c r="O955" s="577"/>
      <c r="P955" s="577"/>
      <c r="Q955" s="577"/>
      <c r="R955" s="577"/>
      <c r="S955" s="577"/>
    </row>
    <row r="956" spans="1:19" s="213" customFormat="1" ht="13.15" customHeight="1">
      <c r="A956" s="457"/>
      <c r="B956" s="207"/>
      <c r="C956" s="497"/>
      <c r="D956" s="219"/>
      <c r="M956" s="498"/>
      <c r="N956" s="212"/>
      <c r="O956" s="577"/>
      <c r="P956" s="577"/>
      <c r="Q956" s="577"/>
      <c r="R956" s="577"/>
      <c r="S956" s="577"/>
    </row>
    <row r="957" spans="1:19" s="213" customFormat="1" ht="13.15" customHeight="1">
      <c r="A957" s="457"/>
      <c r="B957" s="207"/>
      <c r="C957" s="497"/>
      <c r="D957" s="219"/>
      <c r="M957" s="498"/>
      <c r="N957" s="212"/>
      <c r="O957" s="577"/>
      <c r="P957" s="577"/>
      <c r="Q957" s="577"/>
      <c r="R957" s="577"/>
      <c r="S957" s="577"/>
    </row>
    <row r="958" spans="1:19" s="213" customFormat="1" ht="13.15" customHeight="1">
      <c r="A958" s="457"/>
      <c r="B958" s="207"/>
      <c r="C958" s="497"/>
      <c r="D958" s="219"/>
      <c r="M958" s="498"/>
      <c r="N958" s="212"/>
      <c r="O958" s="577"/>
      <c r="P958" s="577"/>
      <c r="Q958" s="577"/>
      <c r="R958" s="577"/>
      <c r="S958" s="577"/>
    </row>
    <row r="959" spans="1:19" s="213" customFormat="1" ht="13.15" customHeight="1">
      <c r="A959" s="457"/>
      <c r="B959" s="207"/>
      <c r="C959" s="497"/>
      <c r="D959" s="219"/>
      <c r="M959" s="498"/>
      <c r="N959" s="212"/>
      <c r="O959" s="577"/>
      <c r="P959" s="577"/>
      <c r="Q959" s="577"/>
      <c r="R959" s="577"/>
      <c r="S959" s="577"/>
    </row>
    <row r="960" spans="1:19" s="213" customFormat="1" ht="13.15" customHeight="1">
      <c r="A960" s="457"/>
      <c r="B960" s="207"/>
      <c r="C960" s="497"/>
      <c r="D960" s="219"/>
      <c r="M960" s="498"/>
      <c r="N960" s="212"/>
      <c r="O960" s="577"/>
      <c r="P960" s="577"/>
      <c r="Q960" s="577"/>
      <c r="R960" s="577"/>
      <c r="S960" s="577"/>
    </row>
    <row r="961" spans="1:19" s="213" customFormat="1" ht="13.15" customHeight="1">
      <c r="A961" s="457"/>
      <c r="B961" s="207"/>
      <c r="C961" s="497"/>
      <c r="D961" s="219"/>
      <c r="M961" s="498"/>
      <c r="N961" s="212"/>
      <c r="O961" s="577"/>
      <c r="P961" s="577"/>
      <c r="Q961" s="577"/>
      <c r="R961" s="577"/>
      <c r="S961" s="577"/>
    </row>
    <row r="962" spans="1:19" s="213" customFormat="1" ht="13.15" customHeight="1">
      <c r="A962" s="457"/>
      <c r="B962" s="207"/>
      <c r="C962" s="497"/>
      <c r="D962" s="219"/>
      <c r="M962" s="498"/>
      <c r="N962" s="212"/>
      <c r="O962" s="577"/>
      <c r="P962" s="577"/>
      <c r="Q962" s="577"/>
      <c r="R962" s="577"/>
      <c r="S962" s="577"/>
    </row>
    <row r="963" spans="1:19" s="213" customFormat="1" ht="13.15" customHeight="1">
      <c r="A963" s="457"/>
      <c r="B963" s="207"/>
      <c r="C963" s="497"/>
      <c r="D963" s="219"/>
      <c r="M963" s="498"/>
      <c r="N963" s="212"/>
      <c r="O963" s="577"/>
      <c r="P963" s="577"/>
      <c r="Q963" s="577"/>
      <c r="R963" s="577"/>
      <c r="S963" s="577"/>
    </row>
    <row r="964" spans="1:19" s="213" customFormat="1" ht="13.15" customHeight="1">
      <c r="A964" s="457"/>
      <c r="B964" s="207"/>
      <c r="C964" s="497"/>
      <c r="D964" s="219"/>
      <c r="M964" s="498"/>
      <c r="N964" s="212"/>
      <c r="O964" s="577"/>
      <c r="P964" s="577"/>
      <c r="Q964" s="577"/>
      <c r="R964" s="577"/>
      <c r="S964" s="577"/>
    </row>
    <row r="965" spans="1:19" s="213" customFormat="1" ht="13.15" customHeight="1">
      <c r="A965" s="457"/>
      <c r="B965" s="207"/>
      <c r="C965" s="497"/>
      <c r="D965" s="219"/>
      <c r="M965" s="498"/>
      <c r="N965" s="212"/>
      <c r="O965" s="577"/>
      <c r="P965" s="577"/>
      <c r="Q965" s="577"/>
      <c r="R965" s="577"/>
      <c r="S965" s="577"/>
    </row>
    <row r="966" spans="1:19" s="213" customFormat="1" ht="13.15" customHeight="1">
      <c r="A966" s="457"/>
      <c r="B966" s="207"/>
      <c r="C966" s="497"/>
      <c r="D966" s="219"/>
      <c r="M966" s="498"/>
      <c r="N966" s="212"/>
      <c r="O966" s="577"/>
      <c r="P966" s="577"/>
      <c r="Q966" s="577"/>
      <c r="R966" s="577"/>
      <c r="S966" s="577"/>
    </row>
    <row r="967" spans="1:19" s="213" customFormat="1" ht="13.15" customHeight="1">
      <c r="A967" s="457"/>
      <c r="B967" s="207"/>
      <c r="C967" s="497"/>
      <c r="D967" s="219"/>
      <c r="M967" s="498"/>
      <c r="N967" s="212"/>
      <c r="O967" s="577"/>
      <c r="P967" s="577"/>
      <c r="Q967" s="577"/>
      <c r="R967" s="577"/>
      <c r="S967" s="577"/>
    </row>
    <row r="968" spans="1:19" s="213" customFormat="1" ht="13.15" customHeight="1">
      <c r="A968" s="457"/>
      <c r="B968" s="207"/>
      <c r="C968" s="497"/>
      <c r="D968" s="219"/>
      <c r="M968" s="498"/>
      <c r="N968" s="212"/>
      <c r="O968" s="577"/>
      <c r="P968" s="577"/>
      <c r="Q968" s="577"/>
      <c r="R968" s="577"/>
      <c r="S968" s="577"/>
    </row>
    <row r="969" spans="1:19" s="213" customFormat="1" ht="13.15" customHeight="1">
      <c r="A969" s="457"/>
      <c r="B969" s="207"/>
      <c r="C969" s="497"/>
      <c r="D969" s="219"/>
      <c r="M969" s="498"/>
      <c r="N969" s="212"/>
      <c r="O969" s="577"/>
      <c r="P969" s="577"/>
      <c r="Q969" s="577"/>
      <c r="R969" s="577"/>
      <c r="S969" s="577"/>
    </row>
    <row r="970" spans="1:19" s="213" customFormat="1" ht="13.15" customHeight="1">
      <c r="A970" s="457"/>
      <c r="B970" s="207"/>
      <c r="C970" s="497"/>
      <c r="D970" s="219"/>
      <c r="M970" s="498"/>
      <c r="N970" s="212"/>
      <c r="O970" s="577"/>
      <c r="P970" s="577"/>
      <c r="Q970" s="577"/>
      <c r="R970" s="577"/>
      <c r="S970" s="577"/>
    </row>
    <row r="971" spans="1:19" s="213" customFormat="1" ht="13.15" customHeight="1">
      <c r="A971" s="457"/>
      <c r="B971" s="207"/>
      <c r="C971" s="497"/>
      <c r="D971" s="219"/>
      <c r="M971" s="498"/>
      <c r="N971" s="212"/>
      <c r="O971" s="577"/>
      <c r="P971" s="577"/>
      <c r="Q971" s="577"/>
      <c r="R971" s="577"/>
      <c r="S971" s="577"/>
    </row>
    <row r="972" spans="1:19" s="213" customFormat="1" ht="13.15" customHeight="1">
      <c r="A972" s="457"/>
      <c r="B972" s="207"/>
      <c r="C972" s="497"/>
      <c r="D972" s="219"/>
      <c r="M972" s="498"/>
      <c r="N972" s="212"/>
      <c r="O972" s="577"/>
      <c r="P972" s="577"/>
      <c r="Q972" s="577"/>
      <c r="R972" s="577"/>
      <c r="S972" s="577"/>
    </row>
    <row r="973" spans="1:19" s="213" customFormat="1" ht="13.15" customHeight="1">
      <c r="A973" s="457"/>
      <c r="B973" s="207"/>
      <c r="C973" s="497"/>
      <c r="D973" s="219"/>
      <c r="M973" s="498"/>
      <c r="N973" s="212"/>
      <c r="O973" s="577"/>
      <c r="P973" s="577"/>
      <c r="Q973" s="577"/>
      <c r="R973" s="577"/>
      <c r="S973" s="577"/>
    </row>
    <row r="974" spans="1:19" s="213" customFormat="1" ht="13.15" customHeight="1">
      <c r="A974" s="457"/>
      <c r="B974" s="207"/>
      <c r="C974" s="497"/>
      <c r="D974" s="219"/>
      <c r="M974" s="498"/>
      <c r="N974" s="212"/>
      <c r="O974" s="577"/>
      <c r="P974" s="577"/>
      <c r="Q974" s="577"/>
      <c r="R974" s="577"/>
      <c r="S974" s="577"/>
    </row>
    <row r="975" spans="1:19" s="213" customFormat="1" ht="13.15" customHeight="1">
      <c r="A975" s="457"/>
      <c r="B975" s="207"/>
      <c r="C975" s="497"/>
      <c r="D975" s="219"/>
      <c r="M975" s="498"/>
      <c r="N975" s="212"/>
      <c r="O975" s="577"/>
      <c r="P975" s="577"/>
      <c r="Q975" s="577"/>
      <c r="R975" s="577"/>
      <c r="S975" s="577"/>
    </row>
    <row r="976" spans="1:19" s="213" customFormat="1" ht="13.15" customHeight="1">
      <c r="A976" s="457"/>
      <c r="B976" s="207"/>
      <c r="C976" s="497"/>
      <c r="D976" s="219"/>
      <c r="M976" s="498"/>
      <c r="N976" s="212"/>
      <c r="O976" s="577"/>
      <c r="P976" s="577"/>
      <c r="Q976" s="577"/>
      <c r="R976" s="577"/>
      <c r="S976" s="577"/>
    </row>
    <row r="977" spans="1:19" s="213" customFormat="1" ht="13.15" customHeight="1">
      <c r="A977" s="457"/>
      <c r="B977" s="207"/>
      <c r="C977" s="497"/>
      <c r="D977" s="219"/>
      <c r="M977" s="498"/>
      <c r="N977" s="212"/>
      <c r="O977" s="577"/>
      <c r="P977" s="577"/>
      <c r="Q977" s="577"/>
      <c r="R977" s="577"/>
      <c r="S977" s="577"/>
    </row>
    <row r="978" spans="1:19" s="213" customFormat="1" ht="13.15" customHeight="1">
      <c r="A978" s="457"/>
      <c r="B978" s="207"/>
      <c r="C978" s="497"/>
      <c r="D978" s="219"/>
      <c r="M978" s="498"/>
      <c r="N978" s="212"/>
      <c r="O978" s="577"/>
      <c r="P978" s="577"/>
      <c r="Q978" s="577"/>
      <c r="R978" s="577"/>
      <c r="S978" s="577"/>
    </row>
    <row r="979" spans="1:19" s="213" customFormat="1" ht="13.15" customHeight="1">
      <c r="A979" s="457"/>
      <c r="B979" s="207"/>
      <c r="C979" s="497"/>
      <c r="D979" s="219"/>
      <c r="M979" s="498"/>
      <c r="N979" s="212"/>
      <c r="O979" s="577"/>
      <c r="P979" s="577"/>
      <c r="Q979" s="577"/>
      <c r="R979" s="577"/>
      <c r="S979" s="577"/>
    </row>
    <row r="980" spans="1:19" s="213" customFormat="1" ht="13.15" customHeight="1">
      <c r="A980" s="457"/>
      <c r="B980" s="207"/>
      <c r="C980" s="497"/>
      <c r="D980" s="219"/>
      <c r="M980" s="498"/>
      <c r="N980" s="212"/>
      <c r="O980" s="577"/>
      <c r="P980" s="577"/>
      <c r="Q980" s="577"/>
      <c r="R980" s="577"/>
      <c r="S980" s="577"/>
    </row>
    <row r="981" spans="1:19" s="213" customFormat="1" ht="13.15" customHeight="1">
      <c r="A981" s="457"/>
      <c r="B981" s="207"/>
      <c r="C981" s="497"/>
      <c r="D981" s="219"/>
      <c r="M981" s="498"/>
      <c r="N981" s="212"/>
      <c r="O981" s="577"/>
      <c r="P981" s="577"/>
      <c r="Q981" s="577"/>
      <c r="R981" s="577"/>
      <c r="S981" s="577"/>
    </row>
    <row r="982" spans="1:19" s="213" customFormat="1" ht="13.15" customHeight="1">
      <c r="A982" s="457"/>
      <c r="B982" s="207"/>
      <c r="C982" s="497"/>
      <c r="D982" s="219"/>
      <c r="M982" s="498"/>
      <c r="N982" s="212"/>
      <c r="O982" s="577"/>
      <c r="P982" s="577"/>
      <c r="Q982" s="577"/>
      <c r="R982" s="577"/>
      <c r="S982" s="577"/>
    </row>
    <row r="983" spans="1:19" s="213" customFormat="1" ht="13.15" customHeight="1">
      <c r="A983" s="457"/>
      <c r="B983" s="207"/>
      <c r="C983" s="497"/>
      <c r="D983" s="219"/>
      <c r="M983" s="498"/>
      <c r="N983" s="212"/>
      <c r="O983" s="577"/>
      <c r="P983" s="577"/>
      <c r="Q983" s="577"/>
      <c r="R983" s="577"/>
      <c r="S983" s="577"/>
    </row>
    <row r="984" spans="1:19" s="213" customFormat="1" ht="13.15" customHeight="1">
      <c r="A984" s="457"/>
      <c r="B984" s="207"/>
      <c r="C984" s="497"/>
      <c r="D984" s="219"/>
      <c r="M984" s="498"/>
      <c r="N984" s="212"/>
      <c r="O984" s="577"/>
      <c r="P984" s="577"/>
      <c r="Q984" s="577"/>
      <c r="R984" s="577"/>
      <c r="S984" s="577"/>
    </row>
    <row r="985" spans="1:19" s="213" customFormat="1" ht="13.15" customHeight="1">
      <c r="A985" s="457"/>
      <c r="B985" s="207"/>
      <c r="C985" s="497"/>
      <c r="D985" s="219"/>
      <c r="M985" s="498"/>
      <c r="N985" s="212"/>
      <c r="O985" s="577"/>
      <c r="P985" s="577"/>
      <c r="Q985" s="577"/>
      <c r="R985" s="577"/>
      <c r="S985" s="577"/>
    </row>
    <row r="986" spans="1:19" s="213" customFormat="1" ht="13.15" customHeight="1">
      <c r="A986" s="457"/>
      <c r="B986" s="207"/>
      <c r="C986" s="497"/>
      <c r="D986" s="219"/>
      <c r="M986" s="498"/>
      <c r="N986" s="212"/>
      <c r="O986" s="577"/>
      <c r="P986" s="577"/>
      <c r="Q986" s="577"/>
      <c r="R986" s="577"/>
      <c r="S986" s="577"/>
    </row>
    <row r="987" spans="1:19" s="213" customFormat="1" ht="13.15" customHeight="1">
      <c r="A987" s="457"/>
      <c r="B987" s="207"/>
      <c r="C987" s="497"/>
      <c r="D987" s="219"/>
      <c r="M987" s="498"/>
      <c r="N987" s="212"/>
      <c r="O987" s="577"/>
      <c r="P987" s="577"/>
      <c r="Q987" s="577"/>
      <c r="R987" s="577"/>
      <c r="S987" s="577"/>
    </row>
    <row r="988" spans="1:19" s="213" customFormat="1" ht="13.15" customHeight="1">
      <c r="A988" s="457"/>
      <c r="B988" s="207"/>
      <c r="C988" s="497"/>
      <c r="D988" s="219"/>
      <c r="M988" s="498"/>
      <c r="N988" s="212"/>
      <c r="O988" s="577"/>
      <c r="P988" s="577"/>
      <c r="Q988" s="577"/>
      <c r="R988" s="577"/>
      <c r="S988" s="577"/>
    </row>
    <row r="989" spans="1:19" s="213" customFormat="1" ht="13.15" customHeight="1">
      <c r="A989" s="457"/>
      <c r="B989" s="207"/>
      <c r="C989" s="497"/>
      <c r="D989" s="219"/>
      <c r="M989" s="498"/>
      <c r="N989" s="212"/>
      <c r="O989" s="577"/>
      <c r="P989" s="577"/>
      <c r="Q989" s="577"/>
      <c r="R989" s="577"/>
      <c r="S989" s="577"/>
    </row>
    <row r="990" spans="1:19" s="213" customFormat="1" ht="13.15" customHeight="1">
      <c r="A990" s="457"/>
      <c r="B990" s="207"/>
      <c r="C990" s="497"/>
      <c r="D990" s="219"/>
      <c r="M990" s="498"/>
      <c r="N990" s="212"/>
      <c r="O990" s="577"/>
      <c r="P990" s="577"/>
      <c r="Q990" s="577"/>
      <c r="R990" s="577"/>
      <c r="S990" s="577"/>
    </row>
    <row r="991" spans="1:19" s="213" customFormat="1" ht="13.15" customHeight="1">
      <c r="A991" s="457"/>
      <c r="B991" s="207"/>
      <c r="C991" s="497"/>
      <c r="D991" s="219"/>
      <c r="M991" s="498"/>
      <c r="N991" s="212"/>
      <c r="O991" s="577"/>
      <c r="P991" s="577"/>
      <c r="Q991" s="577"/>
      <c r="R991" s="577"/>
      <c r="S991" s="577"/>
    </row>
    <row r="992" spans="1:19" s="213" customFormat="1" ht="13.15" customHeight="1">
      <c r="A992" s="457"/>
      <c r="B992" s="207"/>
      <c r="C992" s="497"/>
      <c r="D992" s="219"/>
      <c r="M992" s="498"/>
      <c r="N992" s="212"/>
      <c r="O992" s="577"/>
      <c r="P992" s="577"/>
      <c r="Q992" s="577"/>
      <c r="R992" s="577"/>
      <c r="S992" s="577"/>
    </row>
    <row r="993" spans="1:19" s="213" customFormat="1" ht="13.15" customHeight="1">
      <c r="A993" s="457"/>
      <c r="B993" s="207"/>
      <c r="C993" s="497"/>
      <c r="D993" s="219"/>
      <c r="M993" s="498"/>
      <c r="N993" s="212"/>
      <c r="O993" s="577"/>
      <c r="P993" s="577"/>
      <c r="Q993" s="577"/>
      <c r="R993" s="577"/>
      <c r="S993" s="577"/>
    </row>
    <row r="994" spans="1:19" s="213" customFormat="1" ht="13.15" customHeight="1">
      <c r="A994" s="457"/>
      <c r="B994" s="207"/>
      <c r="C994" s="497"/>
      <c r="D994" s="219"/>
      <c r="M994" s="498"/>
      <c r="N994" s="212"/>
      <c r="O994" s="577"/>
      <c r="P994" s="577"/>
      <c r="Q994" s="577"/>
      <c r="R994" s="577"/>
      <c r="S994" s="577"/>
    </row>
    <row r="995" spans="1:19" s="213" customFormat="1" ht="13.15" customHeight="1">
      <c r="A995" s="457"/>
      <c r="B995" s="207"/>
      <c r="C995" s="497"/>
      <c r="D995" s="219"/>
      <c r="M995" s="498"/>
      <c r="N995" s="212"/>
      <c r="O995" s="577"/>
      <c r="P995" s="577"/>
      <c r="Q995" s="577"/>
      <c r="R995" s="577"/>
      <c r="S995" s="577"/>
    </row>
    <row r="996" spans="1:19" s="213" customFormat="1" ht="13.15" customHeight="1">
      <c r="A996" s="457"/>
      <c r="B996" s="207"/>
      <c r="C996" s="497"/>
      <c r="D996" s="219"/>
      <c r="M996" s="498"/>
      <c r="N996" s="212"/>
      <c r="O996" s="577"/>
      <c r="P996" s="577"/>
      <c r="Q996" s="577"/>
      <c r="R996" s="577"/>
      <c r="S996" s="577"/>
    </row>
    <row r="997" spans="1:19" s="213" customFormat="1" ht="13.15" customHeight="1">
      <c r="A997" s="457"/>
      <c r="B997" s="207"/>
      <c r="C997" s="497"/>
      <c r="D997" s="219"/>
      <c r="M997" s="498"/>
      <c r="N997" s="212"/>
      <c r="O997" s="577"/>
      <c r="P997" s="577"/>
      <c r="Q997" s="577"/>
      <c r="R997" s="577"/>
      <c r="S997" s="577"/>
    </row>
    <row r="998" spans="1:19" s="213" customFormat="1" ht="13.15" customHeight="1">
      <c r="A998" s="457"/>
      <c r="B998" s="207"/>
      <c r="C998" s="497"/>
      <c r="D998" s="219"/>
      <c r="M998" s="498"/>
      <c r="N998" s="212"/>
      <c r="O998" s="577"/>
      <c r="P998" s="577"/>
      <c r="Q998" s="577"/>
      <c r="R998" s="577"/>
      <c r="S998" s="577"/>
    </row>
    <row r="999" spans="1:19" s="213" customFormat="1" ht="13.15" customHeight="1">
      <c r="A999" s="457"/>
      <c r="B999" s="207"/>
      <c r="C999" s="497"/>
      <c r="D999" s="219"/>
      <c r="M999" s="498"/>
      <c r="N999" s="212"/>
      <c r="O999" s="577"/>
      <c r="P999" s="577"/>
      <c r="Q999" s="577"/>
      <c r="R999" s="577"/>
      <c r="S999" s="577"/>
    </row>
    <row r="1000" spans="1:19" s="213" customFormat="1" ht="13.15" customHeight="1">
      <c r="A1000" s="457"/>
      <c r="B1000" s="207"/>
      <c r="C1000" s="497"/>
      <c r="D1000" s="219"/>
      <c r="M1000" s="498"/>
      <c r="N1000" s="212"/>
      <c r="O1000" s="577"/>
      <c r="P1000" s="577"/>
      <c r="Q1000" s="577"/>
      <c r="R1000" s="577"/>
      <c r="S1000" s="577"/>
    </row>
    <row r="1001" spans="1:19" s="213" customFormat="1" ht="13.15" customHeight="1">
      <c r="A1001" s="457"/>
      <c r="B1001" s="207"/>
      <c r="C1001" s="497"/>
      <c r="D1001" s="219"/>
      <c r="M1001" s="498"/>
      <c r="N1001" s="212"/>
      <c r="O1001" s="577"/>
      <c r="P1001" s="577"/>
      <c r="Q1001" s="577"/>
      <c r="R1001" s="577"/>
      <c r="S1001" s="577"/>
    </row>
    <row r="1002" spans="1:19" s="213" customFormat="1" ht="13.15" customHeight="1">
      <c r="A1002" s="457"/>
      <c r="B1002" s="207"/>
      <c r="C1002" s="497"/>
      <c r="D1002" s="219"/>
      <c r="M1002" s="498"/>
      <c r="N1002" s="212"/>
      <c r="O1002" s="577"/>
      <c r="P1002" s="577"/>
      <c r="Q1002" s="577"/>
      <c r="R1002" s="577"/>
      <c r="S1002" s="577"/>
    </row>
    <row r="1003" spans="1:19" s="213" customFormat="1" ht="13.15" customHeight="1">
      <c r="A1003" s="457"/>
      <c r="B1003" s="207"/>
      <c r="C1003" s="497"/>
      <c r="D1003" s="219"/>
      <c r="M1003" s="498"/>
      <c r="N1003" s="212"/>
      <c r="O1003" s="577"/>
      <c r="P1003" s="577"/>
      <c r="Q1003" s="577"/>
      <c r="R1003" s="577"/>
      <c r="S1003" s="577"/>
    </row>
    <row r="1004" spans="1:19" s="213" customFormat="1" ht="13.15" customHeight="1">
      <c r="A1004" s="457"/>
      <c r="B1004" s="207"/>
      <c r="C1004" s="497"/>
      <c r="D1004" s="219"/>
      <c r="M1004" s="498"/>
      <c r="N1004" s="212"/>
      <c r="O1004" s="577"/>
      <c r="P1004" s="577"/>
      <c r="Q1004" s="577"/>
      <c r="R1004" s="577"/>
      <c r="S1004" s="577"/>
    </row>
    <row r="1005" spans="1:19" s="213" customFormat="1" ht="13.15" customHeight="1">
      <c r="A1005" s="457"/>
      <c r="B1005" s="207"/>
      <c r="C1005" s="497"/>
      <c r="D1005" s="219"/>
      <c r="M1005" s="498"/>
      <c r="N1005" s="212"/>
      <c r="O1005" s="577"/>
      <c r="P1005" s="577"/>
      <c r="Q1005" s="577"/>
      <c r="R1005" s="577"/>
      <c r="S1005" s="577"/>
    </row>
    <row r="1006" spans="1:19" s="213" customFormat="1" ht="13.15" customHeight="1">
      <c r="A1006" s="457"/>
      <c r="B1006" s="207"/>
      <c r="C1006" s="497"/>
      <c r="D1006" s="219"/>
      <c r="M1006" s="498"/>
      <c r="N1006" s="212"/>
      <c r="O1006" s="577"/>
      <c r="P1006" s="577"/>
      <c r="Q1006" s="577"/>
      <c r="R1006" s="577"/>
      <c r="S1006" s="577"/>
    </row>
    <row r="1007" spans="1:19" s="213" customFormat="1" ht="13.15" customHeight="1">
      <c r="A1007" s="457"/>
      <c r="B1007" s="207"/>
      <c r="C1007" s="497"/>
      <c r="D1007" s="219"/>
      <c r="M1007" s="498"/>
      <c r="N1007" s="212"/>
      <c r="O1007" s="577"/>
      <c r="P1007" s="577"/>
      <c r="Q1007" s="577"/>
      <c r="R1007" s="577"/>
      <c r="S1007" s="577"/>
    </row>
    <row r="1008" spans="1:19" s="213" customFormat="1" ht="13.15" customHeight="1">
      <c r="A1008" s="457"/>
      <c r="B1008" s="207"/>
      <c r="C1008" s="497"/>
      <c r="D1008" s="219"/>
      <c r="M1008" s="498"/>
      <c r="N1008" s="212"/>
      <c r="O1008" s="577"/>
      <c r="P1008" s="577"/>
      <c r="Q1008" s="577"/>
      <c r="R1008" s="577"/>
      <c r="S1008" s="577"/>
    </row>
    <row r="1009" spans="1:19" s="213" customFormat="1" ht="13.15" customHeight="1">
      <c r="A1009" s="457"/>
      <c r="B1009" s="207"/>
      <c r="C1009" s="497"/>
      <c r="D1009" s="219"/>
      <c r="M1009" s="498"/>
      <c r="N1009" s="212"/>
      <c r="O1009" s="577"/>
      <c r="P1009" s="577"/>
      <c r="Q1009" s="577"/>
      <c r="R1009" s="577"/>
      <c r="S1009" s="577"/>
    </row>
    <row r="1010" spans="1:19" s="213" customFormat="1" ht="13.15" customHeight="1">
      <c r="A1010" s="457"/>
      <c r="B1010" s="207"/>
      <c r="C1010" s="497"/>
      <c r="D1010" s="219"/>
      <c r="M1010" s="498"/>
      <c r="N1010" s="212"/>
      <c r="O1010" s="577"/>
      <c r="P1010" s="577"/>
      <c r="Q1010" s="577"/>
      <c r="R1010" s="577"/>
      <c r="S1010" s="577"/>
    </row>
    <row r="1011" spans="1:19" s="213" customFormat="1" ht="13.15" customHeight="1">
      <c r="A1011" s="457"/>
      <c r="B1011" s="207"/>
      <c r="C1011" s="497"/>
      <c r="D1011" s="219"/>
      <c r="M1011" s="498"/>
      <c r="N1011" s="212"/>
      <c r="O1011" s="577"/>
      <c r="P1011" s="577"/>
      <c r="Q1011" s="577"/>
      <c r="R1011" s="577"/>
      <c r="S1011" s="577"/>
    </row>
    <row r="1012" spans="1:19" s="213" customFormat="1" ht="13.15" customHeight="1">
      <c r="A1012" s="457"/>
      <c r="B1012" s="207"/>
      <c r="C1012" s="497"/>
      <c r="D1012" s="219"/>
      <c r="M1012" s="498"/>
      <c r="N1012" s="212"/>
      <c r="O1012" s="577"/>
      <c r="P1012" s="577"/>
      <c r="Q1012" s="577"/>
      <c r="R1012" s="577"/>
      <c r="S1012" s="577"/>
    </row>
    <row r="1013" spans="1:19" s="213" customFormat="1" ht="13.15" customHeight="1">
      <c r="A1013" s="457"/>
      <c r="B1013" s="207"/>
      <c r="C1013" s="497"/>
      <c r="D1013" s="219"/>
      <c r="M1013" s="498"/>
      <c r="N1013" s="212"/>
      <c r="O1013" s="577"/>
      <c r="P1013" s="577"/>
      <c r="Q1013" s="577"/>
      <c r="R1013" s="577"/>
      <c r="S1013" s="577"/>
    </row>
    <row r="1014" spans="1:19" s="213" customFormat="1" ht="13.15" customHeight="1">
      <c r="A1014" s="457"/>
      <c r="B1014" s="207"/>
      <c r="C1014" s="497"/>
      <c r="D1014" s="219"/>
      <c r="M1014" s="498"/>
      <c r="N1014" s="212"/>
      <c r="O1014" s="577"/>
      <c r="P1014" s="577"/>
      <c r="Q1014" s="577"/>
      <c r="R1014" s="577"/>
      <c r="S1014" s="577"/>
    </row>
    <row r="1015" spans="1:19" s="213" customFormat="1" ht="13.15" customHeight="1">
      <c r="A1015" s="457"/>
      <c r="B1015" s="207"/>
      <c r="C1015" s="497"/>
      <c r="D1015" s="219"/>
      <c r="M1015" s="498"/>
      <c r="N1015" s="212"/>
      <c r="O1015" s="577"/>
      <c r="P1015" s="577"/>
      <c r="Q1015" s="577"/>
      <c r="R1015" s="577"/>
      <c r="S1015" s="577"/>
    </row>
    <row r="1016" spans="1:19" s="213" customFormat="1" ht="13.15" customHeight="1">
      <c r="A1016" s="457"/>
      <c r="B1016" s="207"/>
      <c r="C1016" s="497"/>
      <c r="D1016" s="219"/>
      <c r="M1016" s="498"/>
      <c r="N1016" s="212"/>
      <c r="O1016" s="577"/>
      <c r="P1016" s="577"/>
      <c r="Q1016" s="577"/>
      <c r="R1016" s="577"/>
      <c r="S1016" s="577"/>
    </row>
    <row r="1017" spans="1:19" s="213" customFormat="1" ht="13.15" customHeight="1">
      <c r="A1017" s="457"/>
      <c r="B1017" s="207"/>
      <c r="C1017" s="497"/>
      <c r="D1017" s="219"/>
      <c r="M1017" s="498"/>
      <c r="N1017" s="212"/>
      <c r="O1017" s="577"/>
      <c r="P1017" s="577"/>
      <c r="Q1017" s="577"/>
      <c r="R1017" s="577"/>
      <c r="S1017" s="577"/>
    </row>
    <row r="1018" spans="1:19" s="213" customFormat="1" ht="13.15" customHeight="1">
      <c r="A1018" s="457"/>
      <c r="B1018" s="207"/>
      <c r="C1018" s="497"/>
      <c r="D1018" s="219"/>
      <c r="M1018" s="498"/>
      <c r="N1018" s="212"/>
      <c r="O1018" s="577"/>
      <c r="P1018" s="577"/>
      <c r="Q1018" s="577"/>
      <c r="R1018" s="577"/>
      <c r="S1018" s="577"/>
    </row>
    <row r="1019" spans="1:19" s="213" customFormat="1" ht="13.15" customHeight="1">
      <c r="A1019" s="457"/>
      <c r="B1019" s="207"/>
      <c r="C1019" s="497"/>
      <c r="D1019" s="219"/>
      <c r="M1019" s="498"/>
      <c r="N1019" s="212"/>
      <c r="O1019" s="577"/>
      <c r="P1019" s="577"/>
      <c r="Q1019" s="577"/>
      <c r="R1019" s="577"/>
      <c r="S1019" s="577"/>
    </row>
    <row r="1020" spans="1:19" s="213" customFormat="1" ht="13.15" customHeight="1">
      <c r="A1020" s="457"/>
      <c r="B1020" s="207"/>
      <c r="C1020" s="497"/>
      <c r="D1020" s="219"/>
      <c r="M1020" s="498"/>
      <c r="N1020" s="212"/>
      <c r="O1020" s="577"/>
      <c r="P1020" s="577"/>
      <c r="Q1020" s="577"/>
      <c r="R1020" s="577"/>
      <c r="S1020" s="577"/>
    </row>
    <row r="1021" spans="1:19" s="213" customFormat="1" ht="13.15" customHeight="1">
      <c r="A1021" s="457"/>
      <c r="B1021" s="207"/>
      <c r="C1021" s="497"/>
      <c r="D1021" s="219"/>
      <c r="M1021" s="498"/>
      <c r="N1021" s="212"/>
      <c r="O1021" s="577"/>
      <c r="P1021" s="577"/>
      <c r="Q1021" s="577"/>
      <c r="R1021" s="577"/>
      <c r="S1021" s="577"/>
    </row>
    <row r="1022" spans="1:19" s="213" customFormat="1" ht="13.15" customHeight="1">
      <c r="A1022" s="457"/>
      <c r="B1022" s="207"/>
      <c r="C1022" s="497"/>
      <c r="D1022" s="219"/>
      <c r="M1022" s="498"/>
      <c r="N1022" s="212"/>
      <c r="O1022" s="577"/>
      <c r="P1022" s="577"/>
      <c r="Q1022" s="577"/>
      <c r="R1022" s="577"/>
      <c r="S1022" s="577"/>
    </row>
    <row r="1023" spans="1:19" s="213" customFormat="1" ht="13.15" customHeight="1">
      <c r="A1023" s="457"/>
      <c r="B1023" s="207"/>
      <c r="C1023" s="497"/>
      <c r="D1023" s="219"/>
      <c r="M1023" s="498"/>
      <c r="N1023" s="212"/>
      <c r="O1023" s="577"/>
      <c r="P1023" s="577"/>
      <c r="Q1023" s="577"/>
      <c r="R1023" s="577"/>
      <c r="S1023" s="577"/>
    </row>
    <row r="1024" spans="1:19" s="213" customFormat="1" ht="13.15" customHeight="1">
      <c r="A1024" s="457"/>
      <c r="B1024" s="207"/>
      <c r="C1024" s="497"/>
      <c r="D1024" s="219"/>
      <c r="M1024" s="498"/>
      <c r="N1024" s="212"/>
      <c r="O1024" s="577"/>
      <c r="P1024" s="577"/>
      <c r="Q1024" s="577"/>
      <c r="R1024" s="577"/>
      <c r="S1024" s="577"/>
    </row>
    <row r="1025" spans="1:19" s="213" customFormat="1" ht="13.15" customHeight="1">
      <c r="A1025" s="457"/>
      <c r="B1025" s="207"/>
      <c r="C1025" s="497"/>
      <c r="D1025" s="219"/>
      <c r="M1025" s="498"/>
      <c r="N1025" s="212"/>
      <c r="O1025" s="577"/>
      <c r="P1025" s="577"/>
      <c r="Q1025" s="577"/>
      <c r="R1025" s="577"/>
      <c r="S1025" s="577"/>
    </row>
    <row r="1026" spans="1:19" s="213" customFormat="1" ht="13.15" customHeight="1">
      <c r="A1026" s="457"/>
      <c r="B1026" s="207"/>
      <c r="C1026" s="497"/>
      <c r="D1026" s="219"/>
      <c r="M1026" s="498"/>
      <c r="N1026" s="212"/>
      <c r="O1026" s="577"/>
      <c r="P1026" s="577"/>
      <c r="Q1026" s="577"/>
      <c r="R1026" s="577"/>
      <c r="S1026" s="577"/>
    </row>
    <row r="1027" spans="1:19" s="213" customFormat="1" ht="13.15" customHeight="1">
      <c r="A1027" s="457"/>
      <c r="B1027" s="207"/>
      <c r="C1027" s="497"/>
      <c r="D1027" s="219"/>
      <c r="M1027" s="498"/>
      <c r="N1027" s="212"/>
      <c r="O1027" s="577"/>
      <c r="P1027" s="577"/>
      <c r="Q1027" s="577"/>
      <c r="R1027" s="577"/>
      <c r="S1027" s="577"/>
    </row>
    <row r="1028" spans="1:19" s="213" customFormat="1" ht="13.15" customHeight="1">
      <c r="A1028" s="457"/>
      <c r="B1028" s="207"/>
      <c r="C1028" s="497"/>
      <c r="D1028" s="219"/>
      <c r="M1028" s="498"/>
      <c r="N1028" s="212"/>
      <c r="O1028" s="577"/>
      <c r="P1028" s="577"/>
      <c r="Q1028" s="577"/>
      <c r="R1028" s="577"/>
      <c r="S1028" s="577"/>
    </row>
    <row r="1029" spans="1:19" s="213" customFormat="1" ht="13.15" customHeight="1">
      <c r="A1029" s="457"/>
      <c r="B1029" s="207"/>
      <c r="C1029" s="497"/>
      <c r="D1029" s="219"/>
      <c r="M1029" s="498"/>
      <c r="N1029" s="212"/>
      <c r="O1029" s="577"/>
      <c r="P1029" s="577"/>
      <c r="Q1029" s="577"/>
      <c r="R1029" s="577"/>
      <c r="S1029" s="577"/>
    </row>
    <row r="1030" spans="1:19" s="213" customFormat="1" ht="13.15" customHeight="1">
      <c r="A1030" s="457"/>
      <c r="B1030" s="207"/>
      <c r="C1030" s="497"/>
      <c r="D1030" s="219"/>
      <c r="M1030" s="498"/>
      <c r="N1030" s="212"/>
      <c r="O1030" s="577"/>
      <c r="P1030" s="577"/>
      <c r="Q1030" s="577"/>
      <c r="R1030" s="577"/>
      <c r="S1030" s="577"/>
    </row>
    <row r="1031" spans="1:19" s="213" customFormat="1" ht="13.15" customHeight="1">
      <c r="A1031" s="457"/>
      <c r="B1031" s="207"/>
      <c r="C1031" s="497"/>
      <c r="D1031" s="219"/>
      <c r="M1031" s="498"/>
      <c r="N1031" s="212"/>
      <c r="O1031" s="577"/>
      <c r="P1031" s="577"/>
      <c r="Q1031" s="577"/>
      <c r="R1031" s="577"/>
      <c r="S1031" s="577"/>
    </row>
  </sheetData>
  <autoFilter ref="D1:D568"/>
  <mergeCells count="7">
    <mergeCell ref="C17:C92"/>
    <mergeCell ref="C96:C106"/>
    <mergeCell ref="C108:C118"/>
    <mergeCell ref="C2:N2"/>
    <mergeCell ref="C3:N3"/>
    <mergeCell ref="C6:C9"/>
    <mergeCell ref="C13:C15"/>
  </mergeCells>
  <conditionalFormatting sqref="J114:K115">
    <cfRule type="cellIs" dxfId="33" priority="35" operator="lessThan">
      <formula>0</formula>
    </cfRule>
  </conditionalFormatting>
  <conditionalFormatting sqref="M96:M105 M13:M15 M6:M9 M11 M17:M92 M94">
    <cfRule type="dataBar" priority="34">
      <dataBar>
        <cfvo type="min" val="0"/>
        <cfvo type="max" val="0"/>
        <color rgb="FFD6007B"/>
      </dataBar>
    </cfRule>
  </conditionalFormatting>
  <conditionalFormatting sqref="M96:M106 M13:M15 M7:M9 M11 M17:M92 M94 M108:M118">
    <cfRule type="dataBar" priority="33">
      <dataBar>
        <cfvo type="min" val="0"/>
        <cfvo type="max" val="0"/>
        <color rgb="FFD6007B"/>
      </dataBar>
    </cfRule>
  </conditionalFormatting>
  <conditionalFormatting sqref="M108:M118">
    <cfRule type="dataBar" priority="32">
      <dataBar>
        <cfvo type="min" val="0"/>
        <cfvo type="max" val="0"/>
        <color rgb="FFD6007B"/>
      </dataBar>
    </cfRule>
  </conditionalFormatting>
  <conditionalFormatting sqref="I5:K5">
    <cfRule type="cellIs" dxfId="32" priority="30" operator="greaterThan">
      <formula>0</formula>
    </cfRule>
  </conditionalFormatting>
  <conditionalFormatting sqref="I96:I106">
    <cfRule type="dataBar" priority="27">
      <dataBar>
        <cfvo type="min" val="0"/>
        <cfvo type="max" val="0"/>
        <color rgb="FFD6007B"/>
      </dataBar>
    </cfRule>
  </conditionalFormatting>
  <conditionalFormatting sqref="I13:I15">
    <cfRule type="dataBar" priority="25">
      <dataBar>
        <cfvo type="min" val="0"/>
        <cfvo type="max" val="0"/>
        <color rgb="FFD6007B"/>
      </dataBar>
    </cfRule>
  </conditionalFormatting>
  <conditionalFormatting sqref="I108:I118">
    <cfRule type="dataBar" priority="23">
      <dataBar>
        <cfvo type="min" val="0"/>
        <cfvo type="max" val="0"/>
        <color rgb="FFD6007B"/>
      </dataBar>
    </cfRule>
  </conditionalFormatting>
  <conditionalFormatting sqref="I17:K92">
    <cfRule type="dataBar" priority="22">
      <dataBar>
        <cfvo type="min" val="0"/>
        <cfvo type="max" val="0"/>
        <color rgb="FFD6007B"/>
      </dataBar>
    </cfRule>
  </conditionalFormatting>
  <conditionalFormatting sqref="I6:K9">
    <cfRule type="dataBar" priority="21">
      <dataBar>
        <cfvo type="min" val="0"/>
        <cfvo type="max" val="0"/>
        <color rgb="FFD6007B"/>
      </dataBar>
    </cfRule>
  </conditionalFormatting>
  <conditionalFormatting sqref="I11:K11">
    <cfRule type="dataBar" priority="20">
      <dataBar>
        <cfvo type="min" val="0"/>
        <cfvo type="max" val="0"/>
        <color rgb="FFD6007B"/>
      </dataBar>
    </cfRule>
  </conditionalFormatting>
  <conditionalFormatting sqref="I13:K15">
    <cfRule type="dataBar" priority="19">
      <dataBar>
        <cfvo type="min" val="0"/>
        <cfvo type="max" val="0"/>
        <color rgb="FFD6007B"/>
      </dataBar>
    </cfRule>
  </conditionalFormatting>
  <conditionalFormatting sqref="I96:K106">
    <cfRule type="dataBar" priority="18">
      <dataBar>
        <cfvo type="min" val="0"/>
        <cfvo type="max" val="0"/>
        <color rgb="FFD6007B"/>
      </dataBar>
    </cfRule>
  </conditionalFormatting>
  <conditionalFormatting sqref="I108:K118">
    <cfRule type="dataBar" priority="16">
      <dataBar>
        <cfvo type="min" val="0"/>
        <cfvo type="max" val="0"/>
        <color rgb="FFD6007B"/>
      </dataBar>
    </cfRule>
  </conditionalFormatting>
  <conditionalFormatting sqref="I94:K94">
    <cfRule type="dataBar" priority="15">
      <dataBar>
        <cfvo type="min" val="0"/>
        <cfvo type="max" val="0"/>
        <color rgb="FFD6007B"/>
      </dataBar>
    </cfRule>
  </conditionalFormatting>
  <conditionalFormatting sqref="J6:K9">
    <cfRule type="dataBar" priority="14">
      <dataBar>
        <cfvo type="min" val="0"/>
        <cfvo type="max" val="0"/>
        <color rgb="FFD6007B"/>
      </dataBar>
    </cfRule>
  </conditionalFormatting>
  <conditionalFormatting sqref="J94:K94">
    <cfRule type="dataBar" priority="13">
      <dataBar>
        <cfvo type="min" val="0"/>
        <cfvo type="max" val="0"/>
        <color rgb="FFD6007B"/>
      </dataBar>
    </cfRule>
  </conditionalFormatting>
  <conditionalFormatting sqref="J96:K106">
    <cfRule type="dataBar" priority="12">
      <dataBar>
        <cfvo type="min" val="0"/>
        <cfvo type="max" val="0"/>
        <color rgb="FFD6007B"/>
      </dataBar>
    </cfRule>
  </conditionalFormatting>
  <conditionalFormatting sqref="J108:K118">
    <cfRule type="dataBar" priority="11">
      <dataBar>
        <cfvo type="min" val="0"/>
        <cfvo type="max" val="0"/>
        <color rgb="FFD6007B"/>
      </dataBar>
    </cfRule>
  </conditionalFormatting>
  <conditionalFormatting sqref="N101">
    <cfRule type="dataBar" priority="10">
      <dataBar>
        <cfvo type="min" val="0"/>
        <cfvo type="max" val="0"/>
        <color rgb="FFD6007B"/>
      </dataBar>
    </cfRule>
  </conditionalFormatting>
  <conditionalFormatting sqref="N90">
    <cfRule type="dataBar" priority="8">
      <dataBar>
        <cfvo type="min" val="0"/>
        <cfvo type="max" val="0"/>
        <color rgb="FFD6007B"/>
      </dataBar>
    </cfRule>
  </conditionalFormatting>
  <conditionalFormatting sqref="N92">
    <cfRule type="dataBar" priority="6">
      <dataBar>
        <cfvo type="min" val="0"/>
        <cfvo type="max" val="0"/>
        <color rgb="FFD6007B"/>
      </dataBar>
    </cfRule>
  </conditionalFormatting>
  <conditionalFormatting sqref="N94">
    <cfRule type="dataBar" priority="4">
      <dataBar>
        <cfvo type="min" val="0"/>
        <cfvo type="max" val="0"/>
        <color rgb="FFD6007B"/>
      </dataBar>
    </cfRule>
  </conditionalFormatting>
  <conditionalFormatting sqref="N9">
    <cfRule type="dataBar" priority="2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2:S43"/>
  <sheetViews>
    <sheetView showGridLines="0" view="pageBreakPreview" topLeftCell="C1" zoomScale="110" zoomScaleNormal="66" zoomScaleSheetLayoutView="110" workbookViewId="0">
      <pane ySplit="4" topLeftCell="A5" activePane="bottomLeft" state="frozen"/>
      <selection pane="bottomLeft" activeCell="Q8" sqref="Q8"/>
    </sheetView>
  </sheetViews>
  <sheetFormatPr baseColWidth="10" defaultColWidth="11.42578125" defaultRowHeight="15"/>
  <cols>
    <col min="1" max="1" width="4" style="314" customWidth="1"/>
    <col min="2" max="2" width="13.42578125" style="305" customWidth="1"/>
    <col min="3" max="3" width="36.85546875" style="314" customWidth="1"/>
    <col min="4" max="4" width="9" style="328" customWidth="1"/>
    <col min="5" max="5" width="12.7109375" style="314" customWidth="1"/>
    <col min="6" max="6" width="11.28515625" style="314" bestFit="1" customWidth="1"/>
    <col min="7" max="7" width="13.5703125" style="314" customWidth="1"/>
    <col min="8" max="8" width="12.85546875" style="314" customWidth="1"/>
    <col min="9" max="9" width="8.5703125" style="314" customWidth="1"/>
    <col min="10" max="10" width="8.140625" style="314" customWidth="1"/>
    <col min="11" max="11" width="8.7109375" style="358" customWidth="1"/>
    <col min="12" max="12" width="9.140625" style="358" customWidth="1"/>
    <col min="13" max="13" width="9.7109375" style="358" customWidth="1"/>
    <col min="14" max="14" width="8.5703125" style="359" customWidth="1"/>
    <col min="15" max="15" width="11.28515625" style="334" customWidth="1"/>
    <col min="16" max="16" width="9.7109375" style="314" customWidth="1"/>
    <col min="17" max="17" width="8.7109375" style="314" customWidth="1"/>
    <col min="18" max="18" width="11.42578125" style="314" customWidth="1"/>
    <col min="19" max="19" width="9.85546875" style="314" customWidth="1"/>
    <col min="20" max="16384" width="11.42578125" style="314"/>
  </cols>
  <sheetData>
    <row r="2" spans="2:19" ht="15.75">
      <c r="C2" s="693" t="s">
        <v>555</v>
      </c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</row>
    <row r="3" spans="2:19" ht="15.75">
      <c r="C3" s="694">
        <f>+'Resumen Pelagicos'!B3</f>
        <v>43663</v>
      </c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</row>
    <row r="4" spans="2:19" ht="63" customHeight="1">
      <c r="C4" s="306" t="s">
        <v>269</v>
      </c>
      <c r="D4" s="307" t="s">
        <v>36</v>
      </c>
      <c r="E4" s="308" t="s">
        <v>270</v>
      </c>
      <c r="F4" s="309" t="s">
        <v>271</v>
      </c>
      <c r="G4" s="310" t="s">
        <v>272</v>
      </c>
      <c r="H4" s="310" t="s">
        <v>273</v>
      </c>
      <c r="I4" s="310" t="s">
        <v>274</v>
      </c>
      <c r="J4" s="310" t="s">
        <v>275</v>
      </c>
      <c r="K4" s="311" t="s">
        <v>276</v>
      </c>
      <c r="L4" s="311" t="s">
        <v>277</v>
      </c>
      <c r="M4" s="311" t="s">
        <v>278</v>
      </c>
      <c r="N4" s="312" t="s">
        <v>558</v>
      </c>
      <c r="O4" s="313" t="s">
        <v>280</v>
      </c>
      <c r="P4" s="308" t="s">
        <v>281</v>
      </c>
      <c r="Q4" s="308" t="s">
        <v>282</v>
      </c>
      <c r="R4" s="308" t="s">
        <v>510</v>
      </c>
      <c r="S4" s="308" t="s">
        <v>509</v>
      </c>
    </row>
    <row r="5" spans="2:19" ht="13.15" customHeight="1">
      <c r="B5" s="692" t="s">
        <v>283</v>
      </c>
      <c r="C5" s="315" t="s">
        <v>141</v>
      </c>
      <c r="D5" s="316" t="s">
        <v>29</v>
      </c>
      <c r="E5" s="317">
        <f>'ANCHOVETA '!H7+'SARDINA COMUN '!H6</f>
        <v>8424.26</v>
      </c>
      <c r="F5" s="318">
        <f>E5*0.4</f>
        <v>3369.7040000000002</v>
      </c>
      <c r="G5" s="319">
        <f>'ANCHOVETA '!I7</f>
        <v>2071.3119999999999</v>
      </c>
      <c r="H5" s="319">
        <f>'SARDINA COMUN '!I6</f>
        <v>762.37599999999998</v>
      </c>
      <c r="I5" s="319">
        <f>G5+H5</f>
        <v>2833.6880000000001</v>
      </c>
      <c r="J5" s="319">
        <f>+'ANCHOVETA '!K7+'SARDINA COMUN '!K6</f>
        <v>0</v>
      </c>
      <c r="K5" s="320">
        <f>'ANCHOVETA '!L7</f>
        <v>3517.0250000000005</v>
      </c>
      <c r="L5" s="320">
        <f>'SARDINA COMUN '!L6</f>
        <v>2073.5469999999996</v>
      </c>
      <c r="M5" s="372">
        <f>K5+L5</f>
        <v>5590.5720000000001</v>
      </c>
      <c r="N5" s="44" t="str">
        <f t="shared" ref="N5:N14" si="0">IF(K5&lt;0,K5,IF(K5&lt;0,L5,IF(L5&lt;0,L5,IF(L5&gt;0,"0","0"))))</f>
        <v>0</v>
      </c>
      <c r="O5" s="321" t="s">
        <v>142</v>
      </c>
      <c r="P5" s="23">
        <f>(I5+J5)/E5</f>
        <v>0.33637233418721646</v>
      </c>
      <c r="Q5" s="322">
        <f>N5/E5</f>
        <v>0</v>
      </c>
      <c r="R5" s="417"/>
      <c r="S5" s="322"/>
    </row>
    <row r="6" spans="2:19" ht="13.15" customHeight="1">
      <c r="B6" s="692"/>
      <c r="C6" s="323" t="s">
        <v>284</v>
      </c>
      <c r="D6" s="324" t="s">
        <v>29</v>
      </c>
      <c r="E6" s="325">
        <f>'ANCHOVETA '!H8+'SARDINA COMUN '!H7</f>
        <v>255.041</v>
      </c>
      <c r="F6" s="326">
        <f>E6*0.4</f>
        <v>102.0164</v>
      </c>
      <c r="G6" s="327">
        <f>'ANCHOVETA '!I8</f>
        <v>82.32</v>
      </c>
      <c r="H6" s="327">
        <f>'SARDINA COMUN '!I7</f>
        <v>54.28</v>
      </c>
      <c r="I6" s="327">
        <f>G6+H6</f>
        <v>136.6</v>
      </c>
      <c r="J6" s="319">
        <f>+'ANCHOVETA '!K8+'SARDINA COMUN '!K7</f>
        <v>0</v>
      </c>
      <c r="K6" s="320">
        <f>'ANCHOVETA '!L8</f>
        <v>-16.086999999999989</v>
      </c>
      <c r="L6" s="320">
        <f>'SARDINA COMUN '!L7</f>
        <v>134.52799999999999</v>
      </c>
      <c r="M6" s="398">
        <f>K6+L6</f>
        <v>118.441</v>
      </c>
      <c r="N6" s="44">
        <f>IF(K6&lt;0,K6,IF(K6&lt;0,L6,IF(L6&lt;0,L6,IF(L6&gt;0,"0","0"))))</f>
        <v>-16.086999999999989</v>
      </c>
      <c r="O6" s="321" t="s">
        <v>142</v>
      </c>
      <c r="P6" s="23">
        <f t="shared" ref="P6:P14" si="1">(I6+J6)/E6</f>
        <v>0.53560015840590336</v>
      </c>
      <c r="Q6" s="322">
        <f>N6/E6</f>
        <v>-6.3076132857069991E-2</v>
      </c>
      <c r="R6" s="418"/>
      <c r="S6" s="322"/>
    </row>
    <row r="7" spans="2:19" ht="13.15" customHeight="1">
      <c r="B7" s="692"/>
      <c r="C7" s="323" t="s">
        <v>144</v>
      </c>
      <c r="D7" s="324" t="s">
        <v>29</v>
      </c>
      <c r="E7" s="325">
        <f>'ANCHOVETA '!H9+'SARDINA COMUN '!H8</f>
        <v>2.9279999999999999</v>
      </c>
      <c r="F7" s="326">
        <f>E7*0.4</f>
        <v>1.1712</v>
      </c>
      <c r="G7" s="327">
        <f>'ANCHOVETA '!I9</f>
        <v>0</v>
      </c>
      <c r="H7" s="327">
        <f>'SARDINA COMUN '!I8</f>
        <v>0.48</v>
      </c>
      <c r="I7" s="327">
        <f>G7+H7</f>
        <v>0.48</v>
      </c>
      <c r="J7" s="319">
        <f>+'ANCHOVETA '!K9+'SARDINA COMUN '!K8</f>
        <v>0</v>
      </c>
      <c r="K7" s="320">
        <f>'ANCHOVETA '!L9</f>
        <v>8.5999999999999993E-2</v>
      </c>
      <c r="L7" s="320">
        <f>'SARDINA COMUN '!L8</f>
        <v>2.3620000000000001</v>
      </c>
      <c r="M7" s="372">
        <f>K7+L7</f>
        <v>2.448</v>
      </c>
      <c r="N7" s="44" t="str">
        <f t="shared" si="0"/>
        <v>0</v>
      </c>
      <c r="O7" s="321" t="s">
        <v>142</v>
      </c>
      <c r="P7" s="23">
        <f t="shared" si="1"/>
        <v>0.16393442622950818</v>
      </c>
      <c r="Q7" s="322">
        <f>N7/E7</f>
        <v>0</v>
      </c>
      <c r="R7" s="417"/>
      <c r="S7" s="322"/>
    </row>
    <row r="8" spans="2:19" s="328" customFormat="1" ht="13.15" customHeight="1">
      <c r="B8" s="692"/>
      <c r="C8" s="323" t="s">
        <v>145</v>
      </c>
      <c r="D8" s="474" t="s">
        <v>29</v>
      </c>
      <c r="E8" s="475">
        <f>'ANCHOVETA '!H10+'SARDINA COMUN '!H9</f>
        <v>663.7700000000001</v>
      </c>
      <c r="F8" s="476">
        <f>E8*0.4</f>
        <v>265.50800000000004</v>
      </c>
      <c r="G8" s="477">
        <f>'ANCHOVETA '!I10</f>
        <v>445.66700000000003</v>
      </c>
      <c r="H8" s="477">
        <f>+'SARDINA COMUN '!I9</f>
        <v>201.096</v>
      </c>
      <c r="I8" s="477">
        <f>G8+H8</f>
        <v>646.76300000000003</v>
      </c>
      <c r="J8" s="478">
        <f>+'ANCHOVETA '!K10+'SARDINA COMUN '!K9</f>
        <v>0</v>
      </c>
      <c r="K8" s="479">
        <f>'ANCHOVETA '!L10</f>
        <v>-385.32300000000004</v>
      </c>
      <c r="L8" s="479">
        <f>'SARDINA COMUN '!L9</f>
        <v>402.33000000000004</v>
      </c>
      <c r="M8" s="480">
        <f>K8+L8</f>
        <v>17.007000000000005</v>
      </c>
      <c r="N8" s="481">
        <f>IF(K8&lt;0,K8,IF(K8&lt;0,L8,IF(L8&lt;0,L8,IF(L8&gt;0,"0","0"))))</f>
        <v>-385.32300000000004</v>
      </c>
      <c r="O8" s="482">
        <v>43619</v>
      </c>
      <c r="P8" s="23">
        <f t="shared" si="1"/>
        <v>0.9743781731623905</v>
      </c>
      <c r="Q8" s="322">
        <f>N8/E8</f>
        <v>-0.58050680205492866</v>
      </c>
      <c r="R8" s="420">
        <f>+-N8-F8</f>
        <v>119.815</v>
      </c>
      <c r="S8" s="419">
        <f>+R8/E8</f>
        <v>0.18050680205492864</v>
      </c>
    </row>
    <row r="9" spans="2:19" ht="13.15" customHeight="1">
      <c r="C9" s="329"/>
      <c r="E9" s="330"/>
      <c r="F9" s="331"/>
      <c r="G9" s="332">
        <f>SUM(G5:G8)</f>
        <v>2599.299</v>
      </c>
      <c r="H9" s="332">
        <f t="shared" ref="H9:J9" si="2">SUM(H5:H8)</f>
        <v>1018.232</v>
      </c>
      <c r="I9" s="332">
        <f t="shared" si="2"/>
        <v>3617.5309999999999</v>
      </c>
      <c r="J9" s="332">
        <f t="shared" si="2"/>
        <v>0</v>
      </c>
      <c r="K9" s="320"/>
      <c r="L9" s="320"/>
      <c r="M9" s="320"/>
      <c r="N9" s="333"/>
      <c r="P9" s="335"/>
      <c r="Q9" s="322"/>
      <c r="R9" s="417"/>
      <c r="S9" s="322"/>
    </row>
    <row r="10" spans="2:19" ht="13.15" customHeight="1">
      <c r="B10" s="336" t="s">
        <v>146</v>
      </c>
      <c r="C10" s="323" t="s">
        <v>147</v>
      </c>
      <c r="D10" s="324" t="s">
        <v>29</v>
      </c>
      <c r="E10" s="325">
        <f>'ANCHOVETA '!H12+'SARDINA COMUN '!H11</f>
        <v>122</v>
      </c>
      <c r="F10" s="326">
        <f>E10*0.4</f>
        <v>48.800000000000004</v>
      </c>
      <c r="G10" s="327">
        <f>'ANCHOVETA '!I12</f>
        <v>0</v>
      </c>
      <c r="H10" s="337">
        <f>'SARDINA COMUN '!I11</f>
        <v>0</v>
      </c>
      <c r="I10" s="327">
        <f>G10+H10</f>
        <v>0</v>
      </c>
      <c r="J10" s="327">
        <f>+'ANCHOVETA '!K12+'SARDINA COMUN '!K11</f>
        <v>0</v>
      </c>
      <c r="K10" s="320">
        <f>'ANCHOVETA '!L12</f>
        <v>36</v>
      </c>
      <c r="L10" s="320">
        <f>'SARDINA COMUN '!L11</f>
        <v>86</v>
      </c>
      <c r="M10" s="398">
        <f>K10+L10</f>
        <v>122</v>
      </c>
      <c r="N10" s="44" t="str">
        <f t="shared" si="0"/>
        <v>0</v>
      </c>
      <c r="O10" s="321" t="s">
        <v>142</v>
      </c>
      <c r="P10" s="23">
        <f t="shared" si="1"/>
        <v>0</v>
      </c>
      <c r="Q10" s="322">
        <f t="shared" ref="Q10:Q40" si="3">N10/E10</f>
        <v>0</v>
      </c>
      <c r="R10" s="421"/>
      <c r="S10" s="322"/>
    </row>
    <row r="11" spans="2:19" ht="13.15" customHeight="1">
      <c r="C11" s="329"/>
      <c r="E11" s="330"/>
      <c r="F11" s="330"/>
      <c r="G11" s="330"/>
      <c r="H11" s="330"/>
      <c r="I11" s="330"/>
      <c r="J11" s="330"/>
      <c r="K11" s="320"/>
      <c r="L11" s="320"/>
      <c r="M11" s="320"/>
      <c r="N11" s="333"/>
      <c r="O11" s="338"/>
      <c r="P11" s="335"/>
      <c r="Q11" s="322"/>
      <c r="R11" s="417"/>
      <c r="S11" s="322"/>
    </row>
    <row r="12" spans="2:19" ht="13.15" customHeight="1">
      <c r="B12" s="692" t="s">
        <v>148</v>
      </c>
      <c r="C12" s="323" t="s">
        <v>149</v>
      </c>
      <c r="D12" s="324" t="s">
        <v>29</v>
      </c>
      <c r="E12" s="325">
        <f>'ANCHOVETA '!H14+'SARDINA COMUN '!H13</f>
        <v>1106.55512</v>
      </c>
      <c r="F12" s="326">
        <f>E12*0.4</f>
        <v>442.62204800000001</v>
      </c>
      <c r="G12" s="327">
        <f>'ANCHOVETA '!I14</f>
        <v>317.524</v>
      </c>
      <c r="H12" s="327">
        <f>'SARDINA COMUN '!I13</f>
        <v>526.39499999999998</v>
      </c>
      <c r="I12" s="327">
        <f>G12+H12</f>
        <v>843.91899999999998</v>
      </c>
      <c r="J12" s="327">
        <f>+'ANCHOVETA '!K15+'SARDINA COMUN '!K14</f>
        <v>0</v>
      </c>
      <c r="K12" s="320">
        <f>'ANCHOVETA '!L14</f>
        <v>39.825460000000021</v>
      </c>
      <c r="L12" s="320">
        <f>'SARDINA COMUN '!L13</f>
        <v>222.8106600000001</v>
      </c>
      <c r="M12" s="398">
        <f>K12+L12</f>
        <v>262.63612000000012</v>
      </c>
      <c r="N12" s="44" t="str">
        <f t="shared" si="0"/>
        <v>0</v>
      </c>
      <c r="O12" s="321" t="s">
        <v>142</v>
      </c>
      <c r="P12" s="23">
        <f>(I12+J12)/E12</f>
        <v>0.76265428151468861</v>
      </c>
      <c r="Q12" s="322">
        <f t="shared" si="3"/>
        <v>0</v>
      </c>
      <c r="R12" s="417"/>
      <c r="S12" s="322"/>
    </row>
    <row r="13" spans="2:19" ht="13.15" customHeight="1">
      <c r="B13" s="692"/>
      <c r="C13" s="323" t="s">
        <v>150</v>
      </c>
      <c r="D13" s="324" t="s">
        <v>29</v>
      </c>
      <c r="E13" s="325">
        <f>'ANCHOVETA '!H15+'SARDINA COMUN '!H14</f>
        <v>-9.0316640000000064</v>
      </c>
      <c r="F13" s="326">
        <f>E13*0.4</f>
        <v>-3.6126656000000028</v>
      </c>
      <c r="G13" s="327">
        <f>'ANCHOVETA '!I15</f>
        <v>0</v>
      </c>
      <c r="H13" s="327">
        <f>'SARDINA COMUN '!I14</f>
        <v>0</v>
      </c>
      <c r="I13" s="327">
        <f>G13+H13</f>
        <v>0</v>
      </c>
      <c r="J13" s="319">
        <f>+'ANCHOVETA '!K16+'SARDINA COMUN '!K15</f>
        <v>0</v>
      </c>
      <c r="K13" s="320">
        <f>'ANCHOVETA '!L15</f>
        <v>0.75298799999998778</v>
      </c>
      <c r="L13" s="320">
        <f>'SARDINA COMUN '!L14</f>
        <v>-9.7846519999999941</v>
      </c>
      <c r="M13" s="398">
        <f>K13+L13</f>
        <v>-9.0316640000000064</v>
      </c>
      <c r="N13" s="44">
        <f t="shared" si="0"/>
        <v>-9.7846519999999941</v>
      </c>
      <c r="O13" s="455" t="s">
        <v>142</v>
      </c>
      <c r="P13" s="23">
        <f t="shared" si="1"/>
        <v>0</v>
      </c>
      <c r="Q13" s="322">
        <f t="shared" si="3"/>
        <v>1.0833720120677637</v>
      </c>
      <c r="R13" s="422"/>
      <c r="S13" s="322"/>
    </row>
    <row r="14" spans="2:19" ht="13.15" customHeight="1">
      <c r="B14" s="692"/>
      <c r="C14" s="323" t="s">
        <v>145</v>
      </c>
      <c r="D14" s="324" t="s">
        <v>29</v>
      </c>
      <c r="E14" s="325">
        <f>'ANCHOVETA '!H16+'SARDINA COMUN '!H15</f>
        <v>185.47654399999999</v>
      </c>
      <c r="F14" s="326">
        <f>E14*0.4</f>
        <v>74.190617599999996</v>
      </c>
      <c r="G14" s="327">
        <f>'ANCHOVETA '!I16</f>
        <v>46.792999999999999</v>
      </c>
      <c r="H14" s="327">
        <f>'SARDINA COMUN '!I15</f>
        <v>61.677</v>
      </c>
      <c r="I14" s="327">
        <f>G14+H14</f>
        <v>108.47</v>
      </c>
      <c r="J14" s="319">
        <f>+'ANCHOVETA '!K17+'SARDINA COMUN '!K16</f>
        <v>0</v>
      </c>
      <c r="K14" s="320">
        <f>'ANCHOVETA '!L16</f>
        <v>13.104551999999998</v>
      </c>
      <c r="L14" s="320">
        <f>'SARDINA COMUN '!L15</f>
        <v>63.901992</v>
      </c>
      <c r="M14" s="398">
        <f>K14+L14</f>
        <v>77.006543999999991</v>
      </c>
      <c r="N14" s="44" t="str">
        <f t="shared" si="0"/>
        <v>0</v>
      </c>
      <c r="O14" s="321" t="s">
        <v>142</v>
      </c>
      <c r="P14" s="23">
        <f t="shared" si="1"/>
        <v>0.58481788403389701</v>
      </c>
      <c r="Q14" s="322">
        <f t="shared" si="3"/>
        <v>0</v>
      </c>
      <c r="R14" s="417"/>
      <c r="S14" s="322"/>
    </row>
    <row r="15" spans="2:19" ht="12.6" customHeight="1" thickBot="1">
      <c r="C15" s="329"/>
      <c r="E15" s="339"/>
      <c r="F15" s="340"/>
      <c r="G15" s="340"/>
      <c r="H15" s="340"/>
      <c r="I15" s="340"/>
      <c r="J15" s="340"/>
      <c r="K15" s="320"/>
      <c r="L15" s="320"/>
      <c r="M15" s="320"/>
      <c r="N15" s="44" t="str">
        <f t="shared" ref="N15" si="4">IF(K15&lt;0,K15," ")</f>
        <v xml:space="preserve"> </v>
      </c>
      <c r="O15" s="341"/>
      <c r="P15" s="342"/>
      <c r="Q15" s="322"/>
      <c r="R15" s="417"/>
      <c r="S15" s="322"/>
    </row>
    <row r="16" spans="2:19" ht="13.15" customHeight="1">
      <c r="C16" s="329"/>
      <c r="E16" s="331"/>
      <c r="F16" s="331"/>
      <c r="G16" s="343">
        <f>SUM(G12:G15)</f>
        <v>364.31700000000001</v>
      </c>
      <c r="H16" s="343">
        <f t="shared" ref="H16:J16" si="5">SUM(H12:H15)</f>
        <v>588.072</v>
      </c>
      <c r="I16" s="343">
        <f t="shared" si="5"/>
        <v>952.38900000000001</v>
      </c>
      <c r="J16" s="343">
        <f t="shared" si="5"/>
        <v>0</v>
      </c>
      <c r="K16" s="320"/>
      <c r="L16" s="320"/>
      <c r="M16" s="320"/>
      <c r="N16" s="344"/>
      <c r="P16" s="335"/>
      <c r="Q16" s="322"/>
      <c r="R16" s="417"/>
      <c r="S16" s="322"/>
    </row>
    <row r="17" spans="1:19" ht="13.15" customHeight="1">
      <c r="B17" s="345" t="s">
        <v>228</v>
      </c>
      <c r="C17" s="323" t="s">
        <v>264</v>
      </c>
      <c r="D17" s="346" t="s">
        <v>29</v>
      </c>
      <c r="E17" s="325">
        <f>'ANCHOVETA '!H95+'SARDINA COMUN '!H94</f>
        <v>5173</v>
      </c>
      <c r="F17" s="326">
        <f>E17*0.4</f>
        <v>2069.2000000000003</v>
      </c>
      <c r="G17" s="327">
        <f>'ANCHOVETA '!I95</f>
        <v>303.19300000000004</v>
      </c>
      <c r="H17" s="327">
        <f>'SARDINA COMUN '!I94</f>
        <v>4855.0030000000006</v>
      </c>
      <c r="I17" s="327">
        <f>G17+H17</f>
        <v>5158.1960000000008</v>
      </c>
      <c r="J17" s="327">
        <f>+'ANCHOVETA '!K20+'SARDINA COMUN '!K19</f>
        <v>0</v>
      </c>
      <c r="K17" s="320">
        <f>'ANCHOVETA '!L95</f>
        <v>837.80700000000002</v>
      </c>
      <c r="L17" s="320">
        <f>'SARDINA COMUN '!L94</f>
        <v>-823.00300000000061</v>
      </c>
      <c r="M17" s="398">
        <f>K17+L17</f>
        <v>14.803999999999405</v>
      </c>
      <c r="N17" s="44">
        <f t="shared" ref="N17" si="6">IF(K17&lt;0,K17,IF(K17&lt;0,L17,IF(L17&lt;0,L17,IF(L17&gt;0,"0","0"))))</f>
        <v>-823.00300000000061</v>
      </c>
      <c r="O17" s="347">
        <v>43608</v>
      </c>
      <c r="P17" s="489">
        <f>(I17+J17)/E17</f>
        <v>0.99713821766866439</v>
      </c>
      <c r="Q17" s="322">
        <f>N17/E17</f>
        <v>-0.1590958824666539</v>
      </c>
      <c r="R17" s="417"/>
      <c r="S17" s="322"/>
    </row>
    <row r="18" spans="1:19" ht="13.15" customHeight="1">
      <c r="C18" s="329"/>
      <c r="E18" s="332"/>
      <c r="F18" s="332"/>
      <c r="G18" s="332"/>
      <c r="H18" s="332"/>
      <c r="I18" s="332"/>
      <c r="J18" s="332"/>
      <c r="K18" s="320"/>
      <c r="L18" s="320"/>
      <c r="M18" s="320"/>
      <c r="N18" s="333"/>
      <c r="O18" s="338"/>
      <c r="P18" s="335"/>
      <c r="Q18" s="322"/>
      <c r="R18" s="417"/>
      <c r="S18" s="322"/>
    </row>
    <row r="19" spans="1:19" ht="13.15" customHeight="1">
      <c r="A19" s="314">
        <f>+'ANCHOVETA '!B97</f>
        <v>1</v>
      </c>
      <c r="B19" s="692" t="s">
        <v>229</v>
      </c>
      <c r="C19" s="323" t="s">
        <v>230</v>
      </c>
      <c r="D19" s="324" t="s">
        <v>29</v>
      </c>
      <c r="E19" s="325">
        <f>'ANCHOVETA '!H97+'SARDINA COMUN '!H96</f>
        <v>2780.1639999999998</v>
      </c>
      <c r="F19" s="326">
        <f>E19*0.4</f>
        <v>1112.0655999999999</v>
      </c>
      <c r="G19" s="327">
        <f>'ANCHOVETA '!I97</f>
        <v>492.91000000000008</v>
      </c>
      <c r="H19" s="327">
        <f>'SARDINA COMUN '!I96</f>
        <v>2112.21</v>
      </c>
      <c r="I19" s="327">
        <f>G19+H19</f>
        <v>2605.12</v>
      </c>
      <c r="J19" s="327">
        <f>+'ANCHOVETA '!K97</f>
        <v>0</v>
      </c>
      <c r="K19" s="320">
        <f>'ANCHOVETA '!L97</f>
        <v>34.977999999999952</v>
      </c>
      <c r="L19" s="320">
        <f>'SARDINA COMUN '!L96</f>
        <v>140.0659999999998</v>
      </c>
      <c r="M19" s="398">
        <f>K19+L19</f>
        <v>175.04399999999976</v>
      </c>
      <c r="N19" s="44" t="str">
        <f t="shared" ref="N19:N42" si="7">IF(K19&lt;0,K19,IF(K19&lt;0,L19,IF(L19&lt;0,L19,IF(L19&gt;0,"0","0"))))</f>
        <v>0</v>
      </c>
      <c r="O19" s="321" t="s">
        <v>142</v>
      </c>
      <c r="P19" s="23">
        <f t="shared" ref="P19:P40" si="8">(I19+J19)/E19</f>
        <v>0.93703824666458535</v>
      </c>
      <c r="Q19" s="322">
        <f t="shared" si="3"/>
        <v>0</v>
      </c>
      <c r="R19" s="417"/>
      <c r="S19" s="322"/>
    </row>
    <row r="20" spans="1:19" ht="13.15" customHeight="1">
      <c r="A20" s="314">
        <f>+'ANCHOVETA '!B98</f>
        <v>2</v>
      </c>
      <c r="B20" s="692"/>
      <c r="C20" s="348" t="s">
        <v>231</v>
      </c>
      <c r="D20" s="324" t="s">
        <v>29</v>
      </c>
      <c r="E20" s="325">
        <f>'ANCHOVETA '!H98+'SARDINA COMUN '!H97</f>
        <v>4956.8090000000002</v>
      </c>
      <c r="F20" s="326">
        <f t="shared" ref="F20:F29" si="9">E20*0.4</f>
        <v>1982.7236000000003</v>
      </c>
      <c r="G20" s="327">
        <f>'ANCHOVETA '!I98</f>
        <v>385.99499999999995</v>
      </c>
      <c r="H20" s="327">
        <f>'SARDINA COMUN '!I97</f>
        <v>3992.32</v>
      </c>
      <c r="I20" s="327">
        <f t="shared" ref="I20:I29" si="10">G20+H20</f>
        <v>4378.3150000000005</v>
      </c>
      <c r="J20" s="327">
        <f>+'ANCHOVETA '!K98</f>
        <v>0</v>
      </c>
      <c r="K20" s="320">
        <f>'ANCHOVETA '!L98</f>
        <v>555.18700000000013</v>
      </c>
      <c r="L20" s="320">
        <f>'SARDINA COMUN '!L97</f>
        <v>23.306999999999789</v>
      </c>
      <c r="M20" s="398">
        <f t="shared" ref="M20:M29" si="11">K20+L20</f>
        <v>578.49399999999991</v>
      </c>
      <c r="N20" s="44" t="str">
        <f t="shared" si="7"/>
        <v>0</v>
      </c>
      <c r="O20" s="321" t="s">
        <v>142</v>
      </c>
      <c r="P20" s="23">
        <f t="shared" si="8"/>
        <v>0.88329306212928527</v>
      </c>
      <c r="Q20" s="322">
        <f t="shared" si="3"/>
        <v>0</v>
      </c>
      <c r="R20" s="417"/>
      <c r="S20" s="322"/>
    </row>
    <row r="21" spans="1:19" ht="13.15" customHeight="1">
      <c r="A21" s="314">
        <f>+'ANCHOVETA '!B99</f>
        <v>3</v>
      </c>
      <c r="B21" s="692"/>
      <c r="C21" s="348" t="s">
        <v>232</v>
      </c>
      <c r="D21" s="324" t="s">
        <v>29</v>
      </c>
      <c r="E21" s="325">
        <f>'ANCHOVETA '!H99+'SARDINA COMUN '!H98</f>
        <v>3926.5889999999999</v>
      </c>
      <c r="F21" s="326">
        <f t="shared" si="9"/>
        <v>1570.6356000000001</v>
      </c>
      <c r="G21" s="327">
        <f>'ANCHOVETA '!I99</f>
        <v>309.59100000000001</v>
      </c>
      <c r="H21" s="327">
        <f>'SARDINA COMUN '!I98</f>
        <v>3378.5569999999998</v>
      </c>
      <c r="I21" s="327">
        <f t="shared" si="10"/>
        <v>3688.1479999999997</v>
      </c>
      <c r="J21" s="327">
        <f>+'ANCHOVETA '!K99</f>
        <v>0</v>
      </c>
      <c r="K21" s="320">
        <f>'ANCHOVETA '!L99</f>
        <v>435.65599999999995</v>
      </c>
      <c r="L21" s="320">
        <f>'SARDINA COMUN '!L98</f>
        <v>-197.21499999999969</v>
      </c>
      <c r="M21" s="398">
        <f t="shared" si="11"/>
        <v>238.44100000000026</v>
      </c>
      <c r="N21" s="44">
        <f t="shared" si="7"/>
        <v>-197.21499999999969</v>
      </c>
      <c r="O21" s="349" t="s">
        <v>142</v>
      </c>
      <c r="P21" s="23">
        <f t="shared" si="8"/>
        <v>0.93927528447718867</v>
      </c>
      <c r="Q21" s="322">
        <f t="shared" si="3"/>
        <v>-5.0225526532061207E-2</v>
      </c>
      <c r="R21" s="417"/>
      <c r="S21" s="322"/>
    </row>
    <row r="22" spans="1:19" ht="13.15" customHeight="1">
      <c r="A22" s="314">
        <f>+'ANCHOVETA '!B100</f>
        <v>4</v>
      </c>
      <c r="B22" s="692"/>
      <c r="C22" s="348" t="s">
        <v>233</v>
      </c>
      <c r="D22" s="324" t="s">
        <v>29</v>
      </c>
      <c r="E22" s="325">
        <f>'ANCHOVETA '!H100+'SARDINA COMUN '!H99</f>
        <v>1687.1270000000002</v>
      </c>
      <c r="F22" s="326">
        <f t="shared" si="9"/>
        <v>674.85080000000016</v>
      </c>
      <c r="G22" s="327">
        <f>'ANCHOVETA '!I100</f>
        <v>136.58000000000001</v>
      </c>
      <c r="H22" s="327">
        <f>'SARDINA COMUN '!I99</f>
        <v>1052.92</v>
      </c>
      <c r="I22" s="327">
        <f t="shared" si="10"/>
        <v>1189.5</v>
      </c>
      <c r="J22" s="327">
        <f>+'ANCHOVETA '!K100</f>
        <v>0</v>
      </c>
      <c r="K22" s="320">
        <f>'ANCHOVETA '!L100</f>
        <v>160.667</v>
      </c>
      <c r="L22" s="320">
        <f>'SARDINA COMUN '!L99</f>
        <v>336.96000000000004</v>
      </c>
      <c r="M22" s="398">
        <f t="shared" si="11"/>
        <v>497.62700000000007</v>
      </c>
      <c r="N22" s="44" t="str">
        <f t="shared" si="7"/>
        <v>0</v>
      </c>
      <c r="O22" s="321" t="s">
        <v>142</v>
      </c>
      <c r="P22" s="23">
        <f t="shared" si="8"/>
        <v>0.70504472988696165</v>
      </c>
      <c r="Q22" s="322">
        <f t="shared" si="3"/>
        <v>0</v>
      </c>
      <c r="R22" s="417"/>
      <c r="S22" s="322"/>
    </row>
    <row r="23" spans="1:19" ht="13.15" customHeight="1">
      <c r="A23" s="314">
        <f>+'ANCHOVETA '!B101</f>
        <v>5</v>
      </c>
      <c r="B23" s="692"/>
      <c r="C23" s="348" t="s">
        <v>234</v>
      </c>
      <c r="D23" s="324" t="s">
        <v>29</v>
      </c>
      <c r="E23" s="325">
        <f>'ANCHOVETA '!H101+'SARDINA COMUN '!H100</f>
        <v>12307.815000000001</v>
      </c>
      <c r="F23" s="326">
        <f t="shared" si="9"/>
        <v>4923.1260000000002</v>
      </c>
      <c r="G23" s="327">
        <f>'ANCHOVETA '!I101</f>
        <v>681.62599999999998</v>
      </c>
      <c r="H23" s="327">
        <f>'SARDINA COMUN '!I100</f>
        <v>9554.5099999999984</v>
      </c>
      <c r="I23" s="327">
        <f t="shared" si="10"/>
        <v>10236.135999999999</v>
      </c>
      <c r="J23" s="327">
        <f>+'ANCHOVETA '!K101</f>
        <v>0</v>
      </c>
      <c r="K23" s="320">
        <f>'ANCHOVETA '!L101</f>
        <v>1655.34</v>
      </c>
      <c r="L23" s="320">
        <f>'SARDINA COMUN '!L100</f>
        <v>416.33900000000176</v>
      </c>
      <c r="M23" s="398">
        <f t="shared" si="11"/>
        <v>2071.6790000000019</v>
      </c>
      <c r="N23" s="44" t="str">
        <f t="shared" si="7"/>
        <v>0</v>
      </c>
      <c r="O23" s="321" t="s">
        <v>142</v>
      </c>
      <c r="P23" s="23">
        <f t="shared" si="8"/>
        <v>0.83167775921233766</v>
      </c>
      <c r="Q23" s="322">
        <f t="shared" si="3"/>
        <v>0</v>
      </c>
      <c r="R23" s="417"/>
      <c r="S23" s="322"/>
    </row>
    <row r="24" spans="1:19" ht="13.15" customHeight="1">
      <c r="A24" s="314">
        <f>+'ANCHOVETA '!B102</f>
        <v>6</v>
      </c>
      <c r="B24" s="692"/>
      <c r="C24" s="348" t="s">
        <v>235</v>
      </c>
      <c r="D24" s="324" t="s">
        <v>29</v>
      </c>
      <c r="E24" s="325">
        <f>'ANCHOVETA '!H102+'SARDINA COMUN '!H101</f>
        <v>2185.5889999999999</v>
      </c>
      <c r="F24" s="326">
        <f t="shared" si="9"/>
        <v>874.23559999999998</v>
      </c>
      <c r="G24" s="327">
        <f>'ANCHOVETA '!I102</f>
        <v>244.97599999999997</v>
      </c>
      <c r="H24" s="327">
        <f>'SARDINA COMUN '!I101</f>
        <v>1937.7570000000001</v>
      </c>
      <c r="I24" s="327">
        <f t="shared" si="10"/>
        <v>2182.7330000000002</v>
      </c>
      <c r="J24" s="327">
        <f>+'ANCHOVETA '!K102</f>
        <v>0</v>
      </c>
      <c r="K24" s="320">
        <f>'ANCHOVETA '!L102</f>
        <v>170.01600000000005</v>
      </c>
      <c r="L24" s="320">
        <f>'SARDINA COMUN '!L101</f>
        <v>-167.16000000000008</v>
      </c>
      <c r="M24" s="398">
        <f t="shared" si="11"/>
        <v>2.8559999999999661</v>
      </c>
      <c r="N24" s="44">
        <f t="shared" si="7"/>
        <v>-167.16000000000008</v>
      </c>
      <c r="O24" s="347">
        <v>43630</v>
      </c>
      <c r="P24" s="23">
        <f t="shared" si="8"/>
        <v>0.998693258430565</v>
      </c>
      <c r="Q24" s="322">
        <f t="shared" si="3"/>
        <v>-7.6482815387522579E-2</v>
      </c>
      <c r="R24" s="417"/>
      <c r="S24" s="322"/>
    </row>
    <row r="25" spans="1:19" ht="13.15" customHeight="1">
      <c r="A25" s="314">
        <f>+'ANCHOVETA '!B103</f>
        <v>7</v>
      </c>
      <c r="B25" s="692"/>
      <c r="C25" s="348" t="s">
        <v>236</v>
      </c>
      <c r="D25" s="324" t="s">
        <v>29</v>
      </c>
      <c r="E25" s="325">
        <f>'ANCHOVETA '!H103+'SARDINA COMUN '!H102</f>
        <v>2298.8969999999999</v>
      </c>
      <c r="F25" s="326">
        <f t="shared" si="9"/>
        <v>919.55880000000002</v>
      </c>
      <c r="G25" s="327">
        <f>'ANCHOVETA '!I103</f>
        <v>120.75200000000001</v>
      </c>
      <c r="H25" s="327">
        <f>'SARDINA COMUN '!I102</f>
        <v>2128.5239999999999</v>
      </c>
      <c r="I25" s="327">
        <f t="shared" si="10"/>
        <v>2249.2759999999998</v>
      </c>
      <c r="J25" s="327">
        <f>+'ANCHOVETA '!K103</f>
        <v>0</v>
      </c>
      <c r="K25" s="320">
        <f>'ANCHOVETA '!L103</f>
        <v>315.755</v>
      </c>
      <c r="L25" s="320">
        <f>'SARDINA COMUN '!L102</f>
        <v>-266.13399999999979</v>
      </c>
      <c r="M25" s="398">
        <f t="shared" si="11"/>
        <v>49.621000000000208</v>
      </c>
      <c r="N25" s="44">
        <f t="shared" si="7"/>
        <v>-266.13399999999979</v>
      </c>
      <c r="O25" s="321" t="s">
        <v>142</v>
      </c>
      <c r="P25" s="23">
        <f t="shared" si="8"/>
        <v>0.97841530090299822</v>
      </c>
      <c r="Q25" s="322">
        <f t="shared" si="3"/>
        <v>-0.11576595210659711</v>
      </c>
      <c r="R25" s="418"/>
      <c r="S25" s="322"/>
    </row>
    <row r="26" spans="1:19" ht="13.15" customHeight="1">
      <c r="A26" s="314">
        <f>+'ANCHOVETA '!B104</f>
        <v>8</v>
      </c>
      <c r="B26" s="692"/>
      <c r="C26" s="348" t="s">
        <v>237</v>
      </c>
      <c r="D26" s="324" t="s">
        <v>29</v>
      </c>
      <c r="E26" s="325">
        <f>'ANCHOVETA '!H104+'SARDINA COMUN '!H103</f>
        <v>2621.8650000000002</v>
      </c>
      <c r="F26" s="326">
        <f t="shared" si="9"/>
        <v>1048.7460000000001</v>
      </c>
      <c r="G26" s="327">
        <f>'ANCHOVETA '!I104</f>
        <v>102.309</v>
      </c>
      <c r="H26" s="327">
        <f>'SARDINA COMUN '!I103</f>
        <v>1549.09</v>
      </c>
      <c r="I26" s="327">
        <f t="shared" si="10"/>
        <v>1651.3989999999999</v>
      </c>
      <c r="J26" s="327">
        <f>+'ANCHOVETA '!K104</f>
        <v>0</v>
      </c>
      <c r="K26" s="320">
        <f>'ANCHOVETA '!L104</f>
        <v>395.52200000000005</v>
      </c>
      <c r="L26" s="320">
        <f>'SARDINA COMUN '!L103</f>
        <v>574.94400000000019</v>
      </c>
      <c r="M26" s="398">
        <f t="shared" si="11"/>
        <v>970.46600000000024</v>
      </c>
      <c r="N26" s="44" t="str">
        <f t="shared" si="7"/>
        <v>0</v>
      </c>
      <c r="O26" s="321" t="s">
        <v>142</v>
      </c>
      <c r="P26" s="23">
        <f t="shared" si="8"/>
        <v>0.62985660970339807</v>
      </c>
      <c r="Q26" s="322">
        <f t="shared" si="3"/>
        <v>0</v>
      </c>
      <c r="R26" s="417"/>
      <c r="S26" s="322"/>
    </row>
    <row r="27" spans="1:19" ht="13.15" customHeight="1">
      <c r="A27" s="314">
        <f>+'ANCHOVETA '!B105</f>
        <v>9</v>
      </c>
      <c r="B27" s="692"/>
      <c r="C27" s="348" t="s">
        <v>266</v>
      </c>
      <c r="D27" s="324" t="s">
        <v>29</v>
      </c>
      <c r="E27" s="325">
        <f>'ANCHOVETA '!H105+'SARDINA COMUN '!H104</f>
        <v>959.20299999999997</v>
      </c>
      <c r="F27" s="326">
        <f t="shared" si="9"/>
        <v>383.68119999999999</v>
      </c>
      <c r="G27" s="327">
        <f>'ANCHOVETA '!I105</f>
        <v>0</v>
      </c>
      <c r="H27" s="327">
        <f>'SARDINA COMUN '!I104</f>
        <v>273.81</v>
      </c>
      <c r="I27" s="327">
        <f t="shared" si="10"/>
        <v>273.81</v>
      </c>
      <c r="J27" s="327">
        <f>+'ANCHOVETA '!K105</f>
        <v>0</v>
      </c>
      <c r="K27" s="320">
        <f>'ANCHOVETA '!L105</f>
        <v>182.13</v>
      </c>
      <c r="L27" s="320">
        <f>'SARDINA COMUN '!L104</f>
        <v>503.26299999999998</v>
      </c>
      <c r="M27" s="398">
        <f t="shared" si="11"/>
        <v>685.39300000000003</v>
      </c>
      <c r="N27" s="44" t="str">
        <f t="shared" si="7"/>
        <v>0</v>
      </c>
      <c r="O27" s="321" t="s">
        <v>142</v>
      </c>
      <c r="P27" s="23">
        <f t="shared" si="8"/>
        <v>0.28545573773226313</v>
      </c>
      <c r="Q27" s="322">
        <f t="shared" si="3"/>
        <v>0</v>
      </c>
      <c r="R27" s="417"/>
      <c r="S27" s="322"/>
    </row>
    <row r="28" spans="1:19" ht="13.15" customHeight="1">
      <c r="A28" s="314">
        <f>+'ANCHOVETA '!B106</f>
        <v>10</v>
      </c>
      <c r="B28" s="692"/>
      <c r="C28" s="348" t="s">
        <v>239</v>
      </c>
      <c r="D28" s="324" t="s">
        <v>29</v>
      </c>
      <c r="E28" s="325">
        <f>'ANCHOVETA '!H106+'SARDINA COMUN '!H105</f>
        <v>9.2009999999999081</v>
      </c>
      <c r="F28" s="326">
        <f t="shared" si="9"/>
        <v>3.6803999999999633</v>
      </c>
      <c r="G28" s="327">
        <f>'ANCHOVETA '!I106</f>
        <v>0</v>
      </c>
      <c r="H28" s="327">
        <f>'SARDINA COMUN '!I105</f>
        <v>0</v>
      </c>
      <c r="I28" s="327">
        <f t="shared" si="10"/>
        <v>0</v>
      </c>
      <c r="J28" s="327">
        <f>+'ANCHOVETA '!K106</f>
        <v>0</v>
      </c>
      <c r="K28" s="320">
        <f>'ANCHOVETA '!L106</f>
        <v>5.2740000000000009</v>
      </c>
      <c r="L28" s="320">
        <f>'SARDINA COMUN '!L105</f>
        <v>3.9269999999999072</v>
      </c>
      <c r="M28" s="398">
        <f t="shared" si="11"/>
        <v>9.2009999999999081</v>
      </c>
      <c r="N28" s="44" t="str">
        <f t="shared" si="7"/>
        <v>0</v>
      </c>
      <c r="O28" s="321" t="s">
        <v>142</v>
      </c>
      <c r="P28" s="23">
        <f t="shared" si="8"/>
        <v>0</v>
      </c>
      <c r="Q28" s="322">
        <f t="shared" si="3"/>
        <v>0</v>
      </c>
      <c r="R28" s="417"/>
      <c r="S28" s="322"/>
    </row>
    <row r="29" spans="1:19" ht="16.149999999999999" customHeight="1">
      <c r="A29" s="314">
        <f>+'ANCHOVETA '!B107</f>
        <v>11</v>
      </c>
      <c r="B29" s="692"/>
      <c r="C29" s="348" t="s">
        <v>240</v>
      </c>
      <c r="D29" s="324" t="s">
        <v>29</v>
      </c>
      <c r="E29" s="325">
        <f>'ANCHOVETA '!H107+'SARDINA COMUN '!H106</f>
        <v>464.048</v>
      </c>
      <c r="F29" s="326">
        <f t="shared" si="9"/>
        <v>185.61920000000001</v>
      </c>
      <c r="G29" s="327">
        <f>'ANCHOVETA '!I107</f>
        <v>47.491</v>
      </c>
      <c r="H29" s="327">
        <f>'SARDINA COMUN '!I106</f>
        <v>401.68299999999999</v>
      </c>
      <c r="I29" s="327">
        <f t="shared" si="10"/>
        <v>449.17399999999998</v>
      </c>
      <c r="J29" s="327">
        <f>+'ANCHOVETA '!K107</f>
        <v>0</v>
      </c>
      <c r="K29" s="320">
        <f>'ANCHOVETA '!L107</f>
        <v>40.620999999999995</v>
      </c>
      <c r="L29" s="320">
        <f>'SARDINA COMUN '!L106</f>
        <v>-25.747000000000014</v>
      </c>
      <c r="M29" s="398">
        <f t="shared" si="11"/>
        <v>14.873999999999981</v>
      </c>
      <c r="N29" s="44">
        <f t="shared" si="7"/>
        <v>-25.747000000000014</v>
      </c>
      <c r="O29" s="350" t="s">
        <v>142</v>
      </c>
      <c r="P29" s="23">
        <f t="shared" si="8"/>
        <v>0.96794728131572594</v>
      </c>
      <c r="Q29" s="322">
        <f t="shared" si="3"/>
        <v>-5.5483484467124124E-2</v>
      </c>
      <c r="R29" s="417"/>
      <c r="S29" s="322"/>
    </row>
    <row r="30" spans="1:19">
      <c r="C30" s="329"/>
      <c r="E30" s="351">
        <f t="shared" ref="E30:F30" si="12">SUM(E19:E29)</f>
        <v>34197.307000000008</v>
      </c>
      <c r="F30" s="351">
        <f t="shared" si="12"/>
        <v>13678.9228</v>
      </c>
      <c r="G30" s="351">
        <f>SUM(G19:G29)</f>
        <v>2522.23</v>
      </c>
      <c r="H30" s="351">
        <f t="shared" ref="H30:J30" si="13">SUM(H19:H29)</f>
        <v>26381.381000000005</v>
      </c>
      <c r="I30" s="351">
        <f t="shared" si="13"/>
        <v>28903.610999999997</v>
      </c>
      <c r="J30" s="351">
        <f t="shared" si="13"/>
        <v>0</v>
      </c>
      <c r="K30" s="320"/>
      <c r="L30" s="320"/>
      <c r="M30" s="320"/>
      <c r="N30" s="352"/>
      <c r="O30" s="353"/>
      <c r="P30" s="342"/>
      <c r="Q30" s="322"/>
      <c r="R30" s="417"/>
      <c r="S30" s="322"/>
    </row>
    <row r="31" spans="1:19" ht="13.15" customHeight="1">
      <c r="B31" s="692" t="s">
        <v>241</v>
      </c>
      <c r="C31" s="323" t="s">
        <v>242</v>
      </c>
      <c r="D31" s="346" t="s">
        <v>44</v>
      </c>
      <c r="E31" s="325">
        <f>'ANCHOVETA '!F109+'SARDINA COMUN '!F108</f>
        <v>1025.659707</v>
      </c>
      <c r="F31" s="326">
        <f>E31*0.4</f>
        <v>410.26388280000003</v>
      </c>
      <c r="G31" s="327">
        <f>'ANCHOVETA '!I109</f>
        <v>9.2999999999999999E-2</v>
      </c>
      <c r="H31" s="327">
        <f>'SARDINA COMUN '!I108</f>
        <v>1.6</v>
      </c>
      <c r="I31" s="327">
        <f>G31+H31</f>
        <v>1.6930000000000001</v>
      </c>
      <c r="J31" s="327">
        <f>+'ANCHOVETA '!K109+'SARDINA COMUN '!K108</f>
        <v>0</v>
      </c>
      <c r="K31" s="320">
        <f>'ANCHOVETA '!L109</f>
        <v>71.964748</v>
      </c>
      <c r="L31" s="320">
        <f>'SARDINA COMUN '!L108</f>
        <v>72.001958999999971</v>
      </c>
      <c r="M31" s="398">
        <f>K31+L31</f>
        <v>143.96670699999999</v>
      </c>
      <c r="N31" s="44" t="str">
        <f t="shared" si="7"/>
        <v>0</v>
      </c>
      <c r="O31" s="321" t="s">
        <v>142</v>
      </c>
      <c r="P31" s="23">
        <f t="shared" si="8"/>
        <v>1.6506449346167012E-3</v>
      </c>
      <c r="Q31" s="322">
        <f t="shared" si="3"/>
        <v>0</v>
      </c>
      <c r="R31" s="417"/>
      <c r="S31" s="322"/>
    </row>
    <row r="32" spans="1:19" ht="13.15" customHeight="1">
      <c r="B32" s="692"/>
      <c r="C32" s="323" t="s">
        <v>243</v>
      </c>
      <c r="D32" s="346" t="s">
        <v>44</v>
      </c>
      <c r="E32" s="325">
        <f>'ANCHOVETA '!F110+'SARDINA COMUN '!F109</f>
        <v>3660.0339690000001</v>
      </c>
      <c r="F32" s="326">
        <f t="shared" ref="F32:F42" si="14">E32*0.4</f>
        <v>1464.0135876000002</v>
      </c>
      <c r="G32" s="327">
        <f>'ANCHOVETA '!I110</f>
        <v>227.31799999999998</v>
      </c>
      <c r="H32" s="327">
        <f>'SARDINA COMUN '!I109</f>
        <v>21.131</v>
      </c>
      <c r="I32" s="327">
        <f t="shared" ref="I32:I42" si="15">G32+H32</f>
        <v>248.44899999999998</v>
      </c>
      <c r="J32" s="327">
        <f>+'ANCHOVETA '!K110+'SARDINA COMUN '!K109</f>
        <v>0</v>
      </c>
      <c r="K32" s="320">
        <f>'ANCHOVETA '!L110</f>
        <v>136.45699999999999</v>
      </c>
      <c r="L32" s="320">
        <f>'SARDINA COMUN '!L109</f>
        <v>75.127968999999979</v>
      </c>
      <c r="M32" s="398">
        <f t="shared" ref="M32:M42" si="16">K32+L32</f>
        <v>211.58496899999997</v>
      </c>
      <c r="N32" s="44" t="str">
        <f t="shared" si="7"/>
        <v>0</v>
      </c>
      <c r="O32" s="321" t="s">
        <v>142</v>
      </c>
      <c r="P32" s="23">
        <f t="shared" si="8"/>
        <v>6.7881610417916863E-2</v>
      </c>
      <c r="Q32" s="322">
        <f t="shared" si="3"/>
        <v>0</v>
      </c>
      <c r="R32" s="417"/>
      <c r="S32" s="322"/>
    </row>
    <row r="33" spans="2:19" ht="13.15" customHeight="1">
      <c r="B33" s="692"/>
      <c r="C33" s="323" t="s">
        <v>244</v>
      </c>
      <c r="D33" s="346" t="s">
        <v>44</v>
      </c>
      <c r="E33" s="325">
        <f>'ANCHOVETA '!F111+'SARDINA COMUN '!F110</f>
        <v>4619.0839849999993</v>
      </c>
      <c r="F33" s="326">
        <f t="shared" si="14"/>
        <v>1847.6335939999999</v>
      </c>
      <c r="G33" s="327">
        <f>'ANCHOVETA '!I111</f>
        <v>197.07100000000003</v>
      </c>
      <c r="H33" s="327">
        <f>'SARDINA COMUN '!I110</f>
        <v>59.502000000000002</v>
      </c>
      <c r="I33" s="327">
        <f t="shared" si="15"/>
        <v>256.57300000000004</v>
      </c>
      <c r="J33" s="327">
        <f>+'ANCHOVETA '!K111+'SARDINA COMUN '!K110</f>
        <v>0</v>
      </c>
      <c r="K33" s="320">
        <f>'ANCHOVETA '!L111</f>
        <v>233.04100000000005</v>
      </c>
      <c r="L33" s="320">
        <f>'SARDINA COMUN '!L110</f>
        <v>314.46998499999967</v>
      </c>
      <c r="M33" s="398">
        <f t="shared" si="16"/>
        <v>547.51098499999966</v>
      </c>
      <c r="N33" s="44" t="str">
        <f t="shared" si="7"/>
        <v>0</v>
      </c>
      <c r="O33" s="321" t="s">
        <v>142</v>
      </c>
      <c r="P33" s="23">
        <f>(I33+J33)/E33</f>
        <v>5.5546294640494633E-2</v>
      </c>
      <c r="Q33" s="322">
        <f t="shared" si="3"/>
        <v>0</v>
      </c>
      <c r="R33" s="417"/>
      <c r="S33" s="322"/>
    </row>
    <row r="34" spans="2:19" ht="13.15" customHeight="1">
      <c r="B34" s="692"/>
      <c r="C34" s="323" t="s">
        <v>268</v>
      </c>
      <c r="D34" s="346" t="s">
        <v>44</v>
      </c>
      <c r="E34" s="325">
        <f>'ANCHOVETA '!F112+'SARDINA COMUN '!F111</f>
        <v>1343.8767359999999</v>
      </c>
      <c r="F34" s="326">
        <f t="shared" si="14"/>
        <v>537.5506944</v>
      </c>
      <c r="G34" s="327">
        <f>'ANCHOVETA '!I112</f>
        <v>41.468999999999994</v>
      </c>
      <c r="H34" s="327">
        <f>'SARDINA COMUN '!I111</f>
        <v>0.72</v>
      </c>
      <c r="I34" s="327">
        <f t="shared" si="15"/>
        <v>42.188999999999993</v>
      </c>
      <c r="J34" s="327">
        <f>+'ANCHOVETA '!K112+'SARDINA COMUN '!K111</f>
        <v>0</v>
      </c>
      <c r="K34" s="320">
        <f>'ANCHOVETA '!L112</f>
        <v>155.68799999999999</v>
      </c>
      <c r="L34" s="320">
        <f>'SARDINA COMUN '!L111</f>
        <v>245.99973600000001</v>
      </c>
      <c r="M34" s="398">
        <f t="shared" si="16"/>
        <v>401.68773599999997</v>
      </c>
      <c r="N34" s="44" t="str">
        <f t="shared" si="7"/>
        <v>0</v>
      </c>
      <c r="O34" s="321" t="s">
        <v>142</v>
      </c>
      <c r="P34" s="23">
        <f t="shared" si="8"/>
        <v>3.1393504232816775E-2</v>
      </c>
      <c r="Q34" s="322">
        <f t="shared" si="3"/>
        <v>0</v>
      </c>
      <c r="R34" s="417"/>
      <c r="S34" s="322"/>
    </row>
    <row r="35" spans="2:19" ht="12.6" customHeight="1">
      <c r="B35" s="692"/>
      <c r="C35" s="323" t="s">
        <v>246</v>
      </c>
      <c r="D35" s="346" t="s">
        <v>44</v>
      </c>
      <c r="E35" s="325">
        <f>'ANCHOVETA '!F113+'SARDINA COMUN '!F112</f>
        <v>1412.1038490000001</v>
      </c>
      <c r="F35" s="326">
        <f t="shared" si="14"/>
        <v>564.84153960000003</v>
      </c>
      <c r="G35" s="327">
        <f>'ANCHOVETA '!I113</f>
        <v>10.605</v>
      </c>
      <c r="H35" s="327">
        <f>'SARDINA COMUN '!I112</f>
        <v>65.694999999999993</v>
      </c>
      <c r="I35" s="327">
        <f t="shared" si="15"/>
        <v>76.3</v>
      </c>
      <c r="J35" s="327">
        <f>+'ANCHOVETA '!K113+'SARDINA COMUN '!K112</f>
        <v>0</v>
      </c>
      <c r="K35" s="320">
        <f>'ANCHOVETA '!L113</f>
        <v>172.65600000000003</v>
      </c>
      <c r="L35" s="320">
        <f>'SARDINA COMUN '!L112</f>
        <v>63.147849000000122</v>
      </c>
      <c r="M35" s="398">
        <f t="shared" si="16"/>
        <v>235.80384900000016</v>
      </c>
      <c r="N35" s="44" t="str">
        <f t="shared" si="7"/>
        <v>0</v>
      </c>
      <c r="O35" s="321" t="s">
        <v>142</v>
      </c>
      <c r="P35" s="23">
        <f t="shared" si="8"/>
        <v>5.4032853216874129E-2</v>
      </c>
      <c r="Q35" s="322">
        <f t="shared" si="3"/>
        <v>0</v>
      </c>
      <c r="R35" s="417"/>
      <c r="S35" s="322"/>
    </row>
    <row r="36" spans="2:19" ht="13.15" customHeight="1">
      <c r="B36" s="692"/>
      <c r="C36" s="323" t="s">
        <v>247</v>
      </c>
      <c r="D36" s="346" t="s">
        <v>44</v>
      </c>
      <c r="E36" s="325">
        <f>'ANCHOVETA '!F114+'SARDINA COMUN '!F113</f>
        <v>857.88954799999999</v>
      </c>
      <c r="F36" s="326">
        <f t="shared" si="14"/>
        <v>343.1558192</v>
      </c>
      <c r="G36" s="327">
        <f>'ANCHOVETA '!I114</f>
        <v>1.4709999999999999</v>
      </c>
      <c r="H36" s="327">
        <f>'SARDINA COMUN '!I113</f>
        <v>2.9000000000000004</v>
      </c>
      <c r="I36" s="327">
        <f t="shared" si="15"/>
        <v>4.3710000000000004</v>
      </c>
      <c r="J36" s="327">
        <f>+'ANCHOVETA '!K114+'SARDINA COMUN '!K113</f>
        <v>0</v>
      </c>
      <c r="K36" s="320">
        <f>'ANCHOVETA '!L114</f>
        <v>187.99199999999999</v>
      </c>
      <c r="L36" s="320">
        <f>'SARDINA COMUN '!L113</f>
        <v>25.526548000000027</v>
      </c>
      <c r="M36" s="398">
        <f t="shared" si="16"/>
        <v>213.51854800000001</v>
      </c>
      <c r="N36" s="44" t="str">
        <f t="shared" si="7"/>
        <v>0</v>
      </c>
      <c r="O36" s="321" t="s">
        <v>142</v>
      </c>
      <c r="P36" s="23">
        <f t="shared" si="8"/>
        <v>5.0950614915289778E-3</v>
      </c>
      <c r="Q36" s="322">
        <f t="shared" si="3"/>
        <v>0</v>
      </c>
      <c r="R36" s="417"/>
      <c r="S36" s="322"/>
    </row>
    <row r="37" spans="2:19" ht="13.15" customHeight="1">
      <c r="B37" s="692"/>
      <c r="C37" s="323" t="s">
        <v>248</v>
      </c>
      <c r="D37" s="346" t="s">
        <v>44</v>
      </c>
      <c r="E37" s="325">
        <f>'ANCHOVETA '!F115+'SARDINA COMUN '!F114</f>
        <v>707.76701600000001</v>
      </c>
      <c r="F37" s="326">
        <f t="shared" si="14"/>
        <v>283.10680640000004</v>
      </c>
      <c r="G37" s="327">
        <f>'ANCHOVETA '!I115</f>
        <v>0.14699999999999999</v>
      </c>
      <c r="H37" s="327">
        <f>'SARDINA COMUN '!I114</f>
        <v>5.6589999999999998</v>
      </c>
      <c r="I37" s="327">
        <f t="shared" si="15"/>
        <v>5.806</v>
      </c>
      <c r="J37" s="327">
        <f>+'ANCHOVETA '!K119+'SARDINA COMUN '!K118</f>
        <v>0</v>
      </c>
      <c r="K37" s="320">
        <f>'ANCHOVETA '!L115</f>
        <v>9.8890000000000011</v>
      </c>
      <c r="L37" s="320">
        <f>'SARDINA COMUN '!L114</f>
        <v>7.072016000000068</v>
      </c>
      <c r="M37" s="398">
        <f t="shared" si="16"/>
        <v>16.961016000000068</v>
      </c>
      <c r="N37" s="44" t="str">
        <f t="shared" si="7"/>
        <v>0</v>
      </c>
      <c r="O37" s="321" t="s">
        <v>142</v>
      </c>
      <c r="P37" s="23">
        <f t="shared" si="8"/>
        <v>8.2032644482545377E-3</v>
      </c>
      <c r="Q37" s="322">
        <f t="shared" si="3"/>
        <v>0</v>
      </c>
      <c r="R37" s="417"/>
      <c r="S37" s="322"/>
    </row>
    <row r="38" spans="2:19" ht="13.15" customHeight="1">
      <c r="B38" s="692"/>
      <c r="C38" s="323" t="s">
        <v>249</v>
      </c>
      <c r="D38" s="346" t="s">
        <v>44</v>
      </c>
      <c r="E38" s="325">
        <f>'ANCHOVETA '!F116+'SARDINA COMUN '!F115</f>
        <v>3240.2620379999998</v>
      </c>
      <c r="F38" s="326">
        <f t="shared" si="14"/>
        <v>1296.1048152000001</v>
      </c>
      <c r="G38" s="327">
        <f>'ANCHOVETA '!I116</f>
        <v>88.536000000000001</v>
      </c>
      <c r="H38" s="327">
        <f>'SARDINA COMUN '!I115</f>
        <v>274.49699999999996</v>
      </c>
      <c r="I38" s="327">
        <f t="shared" si="15"/>
        <v>363.03299999999996</v>
      </c>
      <c r="J38" s="327">
        <f>+'ANCHOVETA '!K116+'SARDINA COMUN '!K115</f>
        <v>0</v>
      </c>
      <c r="K38" s="320">
        <f>'ANCHOVETA '!L116</f>
        <v>590.173</v>
      </c>
      <c r="L38" s="320">
        <f>'SARDINA COMUN '!L115</f>
        <v>393.05603800000006</v>
      </c>
      <c r="M38" s="398">
        <f t="shared" si="16"/>
        <v>983.22903800000006</v>
      </c>
      <c r="N38" s="44" t="str">
        <f t="shared" si="7"/>
        <v>0</v>
      </c>
      <c r="O38" s="321" t="s">
        <v>142</v>
      </c>
      <c r="P38" s="23">
        <f t="shared" si="8"/>
        <v>0.11203816103220969</v>
      </c>
      <c r="Q38" s="322">
        <v>0</v>
      </c>
      <c r="R38" s="417"/>
      <c r="S38" s="322"/>
    </row>
    <row r="39" spans="2:19" ht="13.15" customHeight="1">
      <c r="B39" s="692"/>
      <c r="C39" s="323" t="s">
        <v>250</v>
      </c>
      <c r="D39" s="346" t="s">
        <v>44</v>
      </c>
      <c r="E39" s="325">
        <f>'ANCHOVETA '!F117+'SARDINA COMUN '!F116</f>
        <v>625.95216200000004</v>
      </c>
      <c r="F39" s="326">
        <f t="shared" si="14"/>
        <v>250.38086480000004</v>
      </c>
      <c r="G39" s="327">
        <f>'ANCHOVETA '!I117</f>
        <v>137.899</v>
      </c>
      <c r="H39" s="327">
        <f>'SARDINA COMUN '!I116</f>
        <v>0</v>
      </c>
      <c r="I39" s="327">
        <f t="shared" si="15"/>
        <v>137.899</v>
      </c>
      <c r="J39" s="327">
        <f>+'ANCHOVETA '!K115+'SARDINA COMUN '!K114</f>
        <v>0</v>
      </c>
      <c r="K39" s="320">
        <f>'ANCHOVETA '!L117</f>
        <v>9.8259999999999934</v>
      </c>
      <c r="L39" s="320">
        <f>'SARDINA COMUN '!L116</f>
        <v>34.227162000000021</v>
      </c>
      <c r="M39" s="398">
        <f t="shared" si="16"/>
        <v>44.053162000000015</v>
      </c>
      <c r="N39" s="44" t="str">
        <f t="shared" si="7"/>
        <v>0</v>
      </c>
      <c r="O39" s="321" t="s">
        <v>142</v>
      </c>
      <c r="P39" s="23">
        <f t="shared" si="8"/>
        <v>0.22030277770651743</v>
      </c>
      <c r="Q39" s="322">
        <f t="shared" si="3"/>
        <v>0</v>
      </c>
      <c r="R39" s="417"/>
      <c r="S39" s="322"/>
    </row>
    <row r="40" spans="2:19" ht="13.15" customHeight="1">
      <c r="B40" s="692"/>
      <c r="C40" s="323" t="s">
        <v>240</v>
      </c>
      <c r="D40" s="346" t="s">
        <v>44</v>
      </c>
      <c r="E40" s="325">
        <f>'ANCHOVETA '!F118+'SARDINA COMUN '!F117</f>
        <v>456.37073800000002</v>
      </c>
      <c r="F40" s="326">
        <f t="shared" si="14"/>
        <v>182.54829520000001</v>
      </c>
      <c r="G40" s="327">
        <f>'ANCHOVETA '!I118</f>
        <v>84.147000000000006</v>
      </c>
      <c r="H40" s="327">
        <f>'SARDINA COMUN '!I117</f>
        <v>0.30000000000000004</v>
      </c>
      <c r="I40" s="327">
        <f t="shared" si="15"/>
        <v>84.447000000000003</v>
      </c>
      <c r="J40" s="327">
        <f>+'ANCHOVETA '!K117+'SARDINA COMUN '!K116</f>
        <v>0</v>
      </c>
      <c r="K40" s="320">
        <f>'ANCHOVETA '!L118</f>
        <v>23.556999999999988</v>
      </c>
      <c r="L40" s="320">
        <f>'SARDINA COMUN '!L117</f>
        <v>348.366738</v>
      </c>
      <c r="M40" s="398">
        <f t="shared" si="16"/>
        <v>371.92373799999996</v>
      </c>
      <c r="N40" s="44" t="str">
        <f t="shared" si="7"/>
        <v>0</v>
      </c>
      <c r="O40" s="321" t="s">
        <v>142</v>
      </c>
      <c r="P40" s="23">
        <f t="shared" si="8"/>
        <v>0.18504034761317234</v>
      </c>
      <c r="Q40" s="322">
        <f t="shared" si="3"/>
        <v>0</v>
      </c>
      <c r="R40" s="417"/>
      <c r="S40" s="322"/>
    </row>
    <row r="41" spans="2:19" ht="12.6" customHeight="1">
      <c r="B41" s="692"/>
      <c r="C41" s="323" t="s">
        <v>252</v>
      </c>
      <c r="D41" s="346" t="s">
        <v>44</v>
      </c>
      <c r="E41" s="325">
        <f>'ANCHOVETA '!F119+'SARDINA COMUN '!F118</f>
        <v>0</v>
      </c>
      <c r="F41" s="326">
        <f t="shared" si="14"/>
        <v>0</v>
      </c>
      <c r="G41" s="327">
        <f>'ANCHOVETA '!I119</f>
        <v>0</v>
      </c>
      <c r="H41" s="327">
        <f>'SARDINA COMUN '!I118</f>
        <v>0</v>
      </c>
      <c r="I41" s="327">
        <f t="shared" si="15"/>
        <v>0</v>
      </c>
      <c r="J41" s="327">
        <f>+'ANCHOVETA '!K118+'SARDINA COMUN '!K117</f>
        <v>0</v>
      </c>
      <c r="K41" s="320">
        <f>'ANCHOVETA '!L119</f>
        <v>0</v>
      </c>
      <c r="L41" s="320">
        <f>'SARDINA COMUN '!L118</f>
        <v>0</v>
      </c>
      <c r="M41" s="398">
        <f t="shared" si="16"/>
        <v>0</v>
      </c>
      <c r="N41" s="44" t="str">
        <f t="shared" si="7"/>
        <v>0</v>
      </c>
      <c r="O41" s="321" t="s">
        <v>142</v>
      </c>
      <c r="P41" s="23">
        <v>0</v>
      </c>
      <c r="Q41" s="322">
        <v>0</v>
      </c>
      <c r="R41" s="417"/>
      <c r="S41" s="322"/>
    </row>
    <row r="42" spans="2:19" ht="13.9" customHeight="1">
      <c r="C42" s="323" t="s">
        <v>256</v>
      </c>
      <c r="D42" s="346" t="s">
        <v>44</v>
      </c>
      <c r="E42" s="325">
        <f>'ANCHOVETA '!F120+'SARDINA COMUN '!F119</f>
        <v>17948.999747999998</v>
      </c>
      <c r="F42" s="326">
        <f t="shared" si="14"/>
        <v>7179.5998991999995</v>
      </c>
      <c r="G42" s="327">
        <f>'ANCHOVETA '!I120</f>
        <v>788.75600000000009</v>
      </c>
      <c r="H42" s="325"/>
      <c r="I42" s="327">
        <f t="shared" si="15"/>
        <v>788.75600000000009</v>
      </c>
      <c r="J42" s="319">
        <f>+'ANCHOVETA '!K49+'SARDINA COMUN '!K48</f>
        <v>0</v>
      </c>
      <c r="K42" s="320">
        <f>'ANCHOVETA '!L120</f>
        <v>1591.2437480000001</v>
      </c>
      <c r="L42" s="320"/>
      <c r="M42" s="320">
        <f t="shared" si="16"/>
        <v>1591.2437480000001</v>
      </c>
      <c r="N42" s="44" t="str">
        <f t="shared" si="7"/>
        <v>0</v>
      </c>
      <c r="O42" s="354"/>
      <c r="P42" s="355"/>
      <c r="Q42" s="322"/>
      <c r="S42" s="416"/>
    </row>
    <row r="43" spans="2:19" ht="13.15" customHeight="1">
      <c r="E43" s="343">
        <f>SUM(E31:E41)</f>
        <v>17948.999748000002</v>
      </c>
      <c r="F43" s="343">
        <f t="shared" ref="F43" si="17">SUM(F31:F41)</f>
        <v>7179.5998992000013</v>
      </c>
      <c r="G43" s="343">
        <f>SUM(G31:G41)</f>
        <v>788.75600000000009</v>
      </c>
      <c r="H43" s="343">
        <f t="shared" ref="H43:J43" si="18">SUM(H31:H41)</f>
        <v>432.00399999999996</v>
      </c>
      <c r="I43" s="343">
        <f t="shared" si="18"/>
        <v>1220.7600000000002</v>
      </c>
      <c r="J43" s="343">
        <f t="shared" si="18"/>
        <v>0</v>
      </c>
      <c r="K43" s="356"/>
      <c r="L43" s="356"/>
      <c r="M43" s="356"/>
      <c r="N43" s="344"/>
      <c r="P43" s="357"/>
      <c r="Q43" s="357"/>
      <c r="R43" s="357"/>
      <c r="S43" s="357"/>
    </row>
  </sheetData>
  <mergeCells count="6">
    <mergeCell ref="B5:B8"/>
    <mergeCell ref="B12:B14"/>
    <mergeCell ref="B19:B29"/>
    <mergeCell ref="B31:B41"/>
    <mergeCell ref="C2:S2"/>
    <mergeCell ref="C3:S3"/>
  </mergeCells>
  <conditionalFormatting sqref="P5:P43 Q43:S43">
    <cfRule type="cellIs" dxfId="31" priority="63" operator="greaterThan">
      <formula>0.85</formula>
    </cfRule>
  </conditionalFormatting>
  <conditionalFormatting sqref="P5:P8 P10 P12:P14 P17 P19:P29 P31:P41">
    <cfRule type="cellIs" dxfId="30" priority="61" operator="greaterThan">
      <formula>0.9</formula>
    </cfRule>
    <cfRule type="cellIs" dxfId="29" priority="62" operator="greaterThan">
      <formula>1</formula>
    </cfRule>
  </conditionalFormatting>
  <conditionalFormatting sqref="G17:J17">
    <cfRule type="dataBar" priority="20">
      <dataBar>
        <cfvo type="min" val="0"/>
        <cfvo type="max" val="0"/>
        <color rgb="FF008AEF"/>
      </dataBar>
    </cfRule>
  </conditionalFormatting>
  <conditionalFormatting sqref="G12:J14">
    <cfRule type="dataBar" priority="19">
      <dataBar>
        <cfvo type="min" val="0"/>
        <cfvo type="max" val="0"/>
        <color rgb="FF008AEF"/>
      </dataBar>
    </cfRule>
  </conditionalFormatting>
  <conditionalFormatting sqref="G5:J8">
    <cfRule type="dataBar" priority="18">
      <dataBar>
        <cfvo type="min" val="0"/>
        <cfvo type="max" val="0"/>
        <color rgb="FF008AEF"/>
      </dataBar>
    </cfRule>
  </conditionalFormatting>
  <conditionalFormatting sqref="G10:J10">
    <cfRule type="dataBar" priority="17">
      <dataBar>
        <cfvo type="min" val="0"/>
        <cfvo type="max" val="0"/>
        <color rgb="FF008AEF"/>
      </dataBar>
    </cfRule>
  </conditionalFormatting>
  <conditionalFormatting sqref="G19:J29">
    <cfRule type="dataBar" priority="16">
      <dataBar>
        <cfvo type="min" val="0"/>
        <cfvo type="max" val="0"/>
        <color rgb="FF008AEF"/>
      </dataBar>
    </cfRule>
  </conditionalFormatting>
  <conditionalFormatting sqref="G31:J41">
    <cfRule type="dataBar" priority="15">
      <dataBar>
        <cfvo type="min" val="0"/>
        <cfvo type="max" val="0"/>
        <color rgb="FF008AEF"/>
      </dataBar>
    </cfRule>
  </conditionalFormatting>
  <conditionalFormatting sqref="Q8">
    <cfRule type="cellIs" dxfId="28" priority="13" operator="lessThan">
      <formula>0</formula>
    </cfRule>
    <cfRule type="cellIs" dxfId="27" priority="14" operator="greaterThan">
      <formula>-0.4</formula>
    </cfRule>
  </conditionalFormatting>
  <conditionalFormatting sqref="M5:M8 M10 M17 M19:M29 M31:M41 M12:M14">
    <cfRule type="cellIs" dxfId="26" priority="12" operator="lessThan">
      <formula>0</formula>
    </cfRule>
  </conditionalFormatting>
  <conditionalFormatting sqref="M5:M8 M10 M17 M19:M29 M31:M41 M12:M14">
    <cfRule type="cellIs" dxfId="25" priority="11" operator="lessThan">
      <formula>1.5</formula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6A2D9"/>
  </sheetPr>
  <dimension ref="B1:X80"/>
  <sheetViews>
    <sheetView zoomScale="80" zoomScaleNormal="80" workbookViewId="0">
      <selection activeCell="I4" sqref="I4"/>
    </sheetView>
  </sheetViews>
  <sheetFormatPr baseColWidth="10" defaultColWidth="11.42578125" defaultRowHeight="15"/>
  <cols>
    <col min="1" max="1" width="8.85546875" style="53" customWidth="1"/>
    <col min="2" max="2" width="8.7109375" style="360" customWidth="1"/>
    <col min="3" max="3" width="42.7109375" style="361" customWidth="1"/>
    <col min="4" max="4" width="13.85546875" style="361" customWidth="1"/>
    <col min="5" max="5" width="9.7109375" style="361" customWidth="1"/>
    <col min="6" max="6" width="10.7109375" style="361" customWidth="1"/>
    <col min="7" max="7" width="13.28515625" style="361" customWidth="1"/>
    <col min="8" max="8" width="10.85546875" style="361" customWidth="1"/>
    <col min="9" max="9" width="13.28515625" style="361" customWidth="1"/>
    <col min="10" max="10" width="10.28515625" style="361" customWidth="1"/>
    <col min="11" max="11" width="9.28515625" style="361" customWidth="1"/>
    <col min="12" max="12" width="11.42578125" style="361" customWidth="1"/>
    <col min="13" max="13" width="11" style="361" customWidth="1"/>
    <col min="14" max="14" width="10.5703125" style="361" customWidth="1"/>
    <col min="15" max="15" width="12.42578125" style="361" customWidth="1"/>
    <col min="16" max="16" width="10.7109375" style="361" customWidth="1"/>
    <col min="17" max="17" width="9.5703125" style="361" customWidth="1"/>
    <col min="18" max="18" width="5.7109375" style="53" hidden="1" customWidth="1"/>
    <col min="19" max="19" width="11.42578125" style="53" hidden="1" customWidth="1"/>
    <col min="20" max="20" width="0" style="53" hidden="1" customWidth="1"/>
    <col min="21" max="21" width="10.85546875" style="53" hidden="1" customWidth="1"/>
    <col min="22" max="22" width="7.7109375" style="53" customWidth="1"/>
    <col min="23" max="23" width="9.7109375" style="53" customWidth="1"/>
    <col min="24" max="16384" width="11.42578125" style="53"/>
  </cols>
  <sheetData>
    <row r="1" spans="2:24" ht="31.15" customHeight="1">
      <c r="C1" s="693" t="s">
        <v>556</v>
      </c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</row>
    <row r="2" spans="2:24" ht="15.6" customHeight="1">
      <c r="C2" s="694">
        <f>+'Resumen Pelagicos'!B3</f>
        <v>43663</v>
      </c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</row>
    <row r="3" spans="2:24" ht="40.15" customHeight="1">
      <c r="C3" s="362" t="s">
        <v>269</v>
      </c>
      <c r="D3" s="363" t="s">
        <v>36</v>
      </c>
      <c r="E3" s="364" t="s">
        <v>285</v>
      </c>
      <c r="F3" s="365" t="s">
        <v>557</v>
      </c>
      <c r="G3" s="364" t="s">
        <v>286</v>
      </c>
      <c r="H3" s="364" t="s">
        <v>273</v>
      </c>
      <c r="I3" s="364" t="s">
        <v>274</v>
      </c>
      <c r="J3" s="364" t="s">
        <v>275</v>
      </c>
      <c r="K3" s="365" t="s">
        <v>276</v>
      </c>
      <c r="L3" s="365" t="s">
        <v>277</v>
      </c>
      <c r="M3" s="365" t="s">
        <v>278</v>
      </c>
      <c r="N3" s="365" t="s">
        <v>279</v>
      </c>
      <c r="O3" s="366" t="s">
        <v>280</v>
      </c>
      <c r="P3" s="367" t="s">
        <v>287</v>
      </c>
      <c r="Q3" s="308" t="s">
        <v>282</v>
      </c>
    </row>
    <row r="4" spans="2:24" ht="13.15" customHeight="1">
      <c r="B4" s="360">
        <v>1</v>
      </c>
      <c r="C4" s="368" t="s">
        <v>153</v>
      </c>
      <c r="D4" s="369" t="s">
        <v>29</v>
      </c>
      <c r="E4" s="370">
        <f>'ANCHOVETA '!H18+'SARDINA COMUN '!H17</f>
        <v>629.36400000000003</v>
      </c>
      <c r="F4" s="43">
        <f>E4*0.4</f>
        <v>251.74560000000002</v>
      </c>
      <c r="G4" s="43">
        <f>'ANCHOVETA '!I18+'ANCHOVETA '!J18</f>
        <v>73.989000000000004</v>
      </c>
      <c r="H4" s="43">
        <f>'SARDINA COMUN '!I17+'SARDINA COMUN '!J17</f>
        <v>530.24400000000003</v>
      </c>
      <c r="I4" s="371">
        <f>G4+H4</f>
        <v>604.23300000000006</v>
      </c>
      <c r="J4" s="372">
        <f>+'ANCHOVETA '!K18+'SARDINA COMUN '!K17</f>
        <v>0</v>
      </c>
      <c r="K4" s="44">
        <f>'ANCHOVETA '!L18</f>
        <v>36.489000000000004</v>
      </c>
      <c r="L4" s="44">
        <f>'SARDINA COMUN '!L17</f>
        <v>-11.358000000000061</v>
      </c>
      <c r="M4" s="397">
        <f>K4+L4</f>
        <v>25.130999999999943</v>
      </c>
      <c r="N4" s="44">
        <f t="shared" ref="N4:N67" si="0">IF(K4&lt;0,K4,IF(K4&lt;0,L4,IF(L4&lt;0,L4,IF(L4&gt;0,"0","0"))))</f>
        <v>-11.358000000000061</v>
      </c>
      <c r="O4" s="373" t="s">
        <v>142</v>
      </c>
      <c r="P4" s="374">
        <f>(I4+J4)/E4</f>
        <v>0.96006921272904078</v>
      </c>
      <c r="Q4" s="433">
        <f>N4/E4</f>
        <v>-1.8046790092855741E-2</v>
      </c>
      <c r="T4" s="53">
        <v>25.130999999999943</v>
      </c>
      <c r="U4" s="83">
        <f>+T4-M4</f>
        <v>0</v>
      </c>
      <c r="W4" s="53">
        <v>25.130999999999943</v>
      </c>
      <c r="X4" s="83">
        <f>+W4-M4</f>
        <v>0</v>
      </c>
    </row>
    <row r="5" spans="2:24" ht="13.15" customHeight="1">
      <c r="B5" s="360">
        <v>2</v>
      </c>
      <c r="C5" s="368" t="s">
        <v>259</v>
      </c>
      <c r="D5" s="369" t="s">
        <v>29</v>
      </c>
      <c r="E5" s="370">
        <f>'ANCHOVETA '!H19+'SARDINA COMUN '!H18</f>
        <v>637.15099999999995</v>
      </c>
      <c r="F5" s="43">
        <f t="shared" ref="F5:F68" si="1">E5*0.4</f>
        <v>254.8604</v>
      </c>
      <c r="G5" s="43">
        <f>'ANCHOVETA '!I19+'ANCHOVETA '!J19</f>
        <v>83.119</v>
      </c>
      <c r="H5" s="43">
        <f>'SARDINA COMUN '!I18+'SARDINA COMUN '!J18</f>
        <v>544.99699999999996</v>
      </c>
      <c r="I5" s="371">
        <f t="shared" ref="I5:I68" si="2">G5+H5</f>
        <v>628.11599999999999</v>
      </c>
      <c r="J5" s="372">
        <f>+'ANCHOVETA '!K19+'SARDINA COMUN '!K18</f>
        <v>0</v>
      </c>
      <c r="K5" s="44">
        <f>'ANCHOVETA '!L19</f>
        <v>38.036000000000001</v>
      </c>
      <c r="L5" s="44">
        <f>'SARDINA COMUN '!L18</f>
        <v>-29.000999999999976</v>
      </c>
      <c r="M5" s="372">
        <f t="shared" ref="M5:M68" si="3">K5+L5</f>
        <v>9.035000000000025</v>
      </c>
      <c r="N5" s="44">
        <f t="shared" si="0"/>
        <v>-29.000999999999976</v>
      </c>
      <c r="O5" s="373" t="s">
        <v>142</v>
      </c>
      <c r="P5" s="374">
        <f t="shared" ref="P5:P14" si="4">(I5+J5)/E5</f>
        <v>0.98581968795466068</v>
      </c>
      <c r="Q5" s="433">
        <f t="shared" ref="Q5:Q68" si="5">N5/E5</f>
        <v>-4.5516682858537424E-2</v>
      </c>
      <c r="T5" s="53">
        <v>9.035000000000025</v>
      </c>
      <c r="U5" s="83">
        <f t="shared" ref="U5:U68" si="6">+T5-M5</f>
        <v>0</v>
      </c>
      <c r="W5" s="53">
        <v>9.035000000000025</v>
      </c>
      <c r="X5" s="83">
        <f t="shared" ref="X5:X68" si="7">+W5-M5</f>
        <v>0</v>
      </c>
    </row>
    <row r="6" spans="2:24" ht="13.15" customHeight="1">
      <c r="B6" s="360">
        <v>3</v>
      </c>
      <c r="C6" s="368" t="s">
        <v>155</v>
      </c>
      <c r="D6" s="369" t="s">
        <v>29</v>
      </c>
      <c r="E6" s="370">
        <f>'ANCHOVETA '!H20+'SARDINA COMUN '!H19</f>
        <v>1519.0500000000002</v>
      </c>
      <c r="F6" s="43">
        <f t="shared" si="1"/>
        <v>607.62000000000012</v>
      </c>
      <c r="G6" s="43">
        <f>'ANCHOVETA '!I20+'ANCHOVETA '!J20</f>
        <v>209.68600000000001</v>
      </c>
      <c r="H6" s="43">
        <f>'SARDINA COMUN '!I19+'SARDINA COMUN '!J19</f>
        <v>722.37900000000002</v>
      </c>
      <c r="I6" s="371">
        <f t="shared" si="2"/>
        <v>932.06500000000005</v>
      </c>
      <c r="J6" s="372">
        <f>+'ANCHOVETA '!K20+'SARDINA COMUN '!K19</f>
        <v>0</v>
      </c>
      <c r="K6" s="44">
        <f>'ANCHOVETA '!L20</f>
        <v>181.01199999999997</v>
      </c>
      <c r="L6" s="44">
        <f>'SARDINA COMUN '!L19</f>
        <v>405.97300000000007</v>
      </c>
      <c r="M6" s="372">
        <f t="shared" si="3"/>
        <v>586.98500000000001</v>
      </c>
      <c r="N6" s="44" t="str">
        <f t="shared" si="0"/>
        <v>0</v>
      </c>
      <c r="O6" s="373" t="s">
        <v>142</v>
      </c>
      <c r="P6" s="374">
        <f t="shared" si="4"/>
        <v>0.61358414798722882</v>
      </c>
      <c r="Q6" s="433">
        <f t="shared" si="5"/>
        <v>0</v>
      </c>
      <c r="T6" s="53">
        <v>767.48500000000001</v>
      </c>
      <c r="U6" s="83">
        <f t="shared" si="6"/>
        <v>180.5</v>
      </c>
      <c r="W6" s="53">
        <v>586.98500000000001</v>
      </c>
      <c r="X6" s="83">
        <f t="shared" si="7"/>
        <v>0</v>
      </c>
    </row>
    <row r="7" spans="2:24" ht="13.15" customHeight="1">
      <c r="B7" s="360">
        <v>4</v>
      </c>
      <c r="C7" s="368" t="s">
        <v>156</v>
      </c>
      <c r="D7" s="369" t="s">
        <v>29</v>
      </c>
      <c r="E7" s="370">
        <f>'ANCHOVETA '!H21+'SARDINA COMUN '!H20</f>
        <v>2449.5169999999998</v>
      </c>
      <c r="F7" s="43">
        <f t="shared" si="1"/>
        <v>979.80679999999995</v>
      </c>
      <c r="G7" s="43">
        <f>'ANCHOVETA '!I21+'ANCHOVETA '!J21</f>
        <v>958.48</v>
      </c>
      <c r="H7" s="43">
        <f>'SARDINA COMUN '!I20+'SARDINA COMUN '!J20</f>
        <v>1205.634</v>
      </c>
      <c r="I7" s="371">
        <f t="shared" si="2"/>
        <v>2164.114</v>
      </c>
      <c r="J7" s="372">
        <f>+'ANCHOVETA '!K21+'SARDINA COMUN '!K20</f>
        <v>0</v>
      </c>
      <c r="K7" s="44">
        <f>'ANCHOVETA '!L21</f>
        <v>-338.59300000000007</v>
      </c>
      <c r="L7" s="44">
        <f>'SARDINA COMUN '!L20</f>
        <v>623.99600000000009</v>
      </c>
      <c r="M7" s="397">
        <f>K7+L7</f>
        <v>285.40300000000002</v>
      </c>
      <c r="N7" s="44">
        <f t="shared" si="0"/>
        <v>-338.59300000000007</v>
      </c>
      <c r="O7" s="373" t="s">
        <v>142</v>
      </c>
      <c r="P7" s="374">
        <f t="shared" si="4"/>
        <v>0.88348600969089019</v>
      </c>
      <c r="Q7" s="322">
        <f t="shared" si="5"/>
        <v>-0.13822847524634452</v>
      </c>
      <c r="T7" s="53">
        <v>285.40300000000002</v>
      </c>
      <c r="U7" s="83">
        <f t="shared" si="6"/>
        <v>0</v>
      </c>
      <c r="W7" s="53">
        <v>285.40300000000002</v>
      </c>
      <c r="X7" s="83">
        <f t="shared" si="7"/>
        <v>0</v>
      </c>
    </row>
    <row r="8" spans="2:24" ht="13.15" customHeight="1">
      <c r="B8" s="360">
        <v>5</v>
      </c>
      <c r="C8" s="368" t="s">
        <v>157</v>
      </c>
      <c r="D8" s="369" t="s">
        <v>29</v>
      </c>
      <c r="E8" s="370">
        <f>'ANCHOVETA '!H22+'SARDINA COMUN '!H21</f>
        <v>1278.366</v>
      </c>
      <c r="F8" s="43">
        <f t="shared" si="1"/>
        <v>511.34640000000002</v>
      </c>
      <c r="G8" s="43">
        <f>'ANCHOVETA '!I22+'ANCHOVETA '!J22</f>
        <v>98.242999999999995</v>
      </c>
      <c r="H8" s="43">
        <f>'SARDINA COMUN '!I21+'SARDINA COMUN '!J21</f>
        <v>218.86699999999999</v>
      </c>
      <c r="I8" s="371">
        <f t="shared" si="2"/>
        <v>317.11</v>
      </c>
      <c r="J8" s="372">
        <f>+'ANCHOVETA '!K22+'SARDINA COMUN '!K21</f>
        <v>0</v>
      </c>
      <c r="K8" s="44">
        <f>'ANCHOVETA '!L22</f>
        <v>366.70099999999996</v>
      </c>
      <c r="L8" s="44">
        <f>'SARDINA COMUN '!L21</f>
        <v>594.55500000000006</v>
      </c>
      <c r="M8" s="372">
        <f t="shared" si="3"/>
        <v>961.25600000000009</v>
      </c>
      <c r="N8" s="44" t="str">
        <f t="shared" si="0"/>
        <v>0</v>
      </c>
      <c r="O8" s="373" t="s">
        <v>142</v>
      </c>
      <c r="P8" s="374">
        <f t="shared" si="4"/>
        <v>0.24805885012586382</v>
      </c>
      <c r="Q8" s="322">
        <f t="shared" si="5"/>
        <v>0</v>
      </c>
      <c r="T8" s="53">
        <v>961.25600000000009</v>
      </c>
      <c r="U8" s="83">
        <f t="shared" si="6"/>
        <v>0</v>
      </c>
      <c r="W8" s="53">
        <v>961.25600000000009</v>
      </c>
      <c r="X8" s="83">
        <f t="shared" si="7"/>
        <v>0</v>
      </c>
    </row>
    <row r="9" spans="2:24" ht="13.15" customHeight="1">
      <c r="B9" s="360">
        <v>6</v>
      </c>
      <c r="C9" s="368" t="s">
        <v>158</v>
      </c>
      <c r="D9" s="369" t="s">
        <v>29</v>
      </c>
      <c r="E9" s="370">
        <f>'ANCHOVETA '!H23+'SARDINA COMUN '!H22</f>
        <v>7450.6109999999999</v>
      </c>
      <c r="F9" s="43">
        <f t="shared" si="1"/>
        <v>2980.2444</v>
      </c>
      <c r="G9" s="43">
        <f>'ANCHOVETA '!I23+'ANCHOVETA '!J23</f>
        <v>2156.4679999999998</v>
      </c>
      <c r="H9" s="43">
        <f>'SARDINA COMUN '!I22+'SARDINA COMUN '!J22</f>
        <v>4479.2150000000001</v>
      </c>
      <c r="I9" s="371">
        <f t="shared" si="2"/>
        <v>6635.683</v>
      </c>
      <c r="J9" s="372">
        <f>+'ANCHOVETA '!K23+'SARDINA COMUN '!K22</f>
        <v>0.17699999999999999</v>
      </c>
      <c r="K9" s="44">
        <f>'ANCHOVETA '!L23</f>
        <v>-193.81699999999978</v>
      </c>
      <c r="L9" s="44">
        <f>'SARDINA COMUN '!L22</f>
        <v>1008.5680000000002</v>
      </c>
      <c r="M9" s="372">
        <f t="shared" si="3"/>
        <v>814.75100000000043</v>
      </c>
      <c r="N9" s="44">
        <f t="shared" si="0"/>
        <v>-193.81699999999978</v>
      </c>
      <c r="O9" s="373" t="s">
        <v>142</v>
      </c>
      <c r="P9" s="374">
        <f t="shared" si="4"/>
        <v>0.89064641812597645</v>
      </c>
      <c r="Q9" s="322">
        <f t="shared" si="5"/>
        <v>-2.6013571235969746E-2</v>
      </c>
      <c r="T9" s="53">
        <v>855.63600000000019</v>
      </c>
      <c r="U9" s="83">
        <f t="shared" si="6"/>
        <v>40.884999999999764</v>
      </c>
      <c r="W9" s="53">
        <v>814.75100000000043</v>
      </c>
      <c r="X9" s="83">
        <f t="shared" si="7"/>
        <v>0</v>
      </c>
    </row>
    <row r="10" spans="2:24" ht="13.15" customHeight="1">
      <c r="B10" s="360">
        <v>7</v>
      </c>
      <c r="C10" s="368" t="s">
        <v>159</v>
      </c>
      <c r="D10" s="369" t="s">
        <v>29</v>
      </c>
      <c r="E10" s="370">
        <f>'ANCHOVETA '!H24+'SARDINA COMUN '!H23</f>
        <v>8653.6650000000009</v>
      </c>
      <c r="F10" s="43">
        <f t="shared" si="1"/>
        <v>3461.4660000000003</v>
      </c>
      <c r="G10" s="43">
        <f>'ANCHOVETA '!I24+'ANCHOVETA '!J24</f>
        <v>3309.6489999999999</v>
      </c>
      <c r="H10" s="43">
        <f>'SARDINA COMUN '!I23+'SARDINA COMUN '!J23</f>
        <v>5194.2839999999997</v>
      </c>
      <c r="I10" s="371">
        <f t="shared" si="2"/>
        <v>8503.9329999999991</v>
      </c>
      <c r="J10" s="372">
        <f>+'ANCHOVETA '!K24+'SARDINA COMUN '!K23</f>
        <v>0</v>
      </c>
      <c r="K10" s="44">
        <f>'ANCHOVETA '!L24</f>
        <v>-1030.087</v>
      </c>
      <c r="L10" s="44">
        <f>'SARDINA COMUN '!L23</f>
        <v>1179.8190000000004</v>
      </c>
      <c r="M10" s="372">
        <f t="shared" si="3"/>
        <v>149.73200000000043</v>
      </c>
      <c r="N10" s="44">
        <f t="shared" si="0"/>
        <v>-1030.087</v>
      </c>
      <c r="O10" s="373" t="s">
        <v>142</v>
      </c>
      <c r="P10" s="374">
        <f t="shared" si="4"/>
        <v>0.9826972733518109</v>
      </c>
      <c r="Q10" s="322">
        <f t="shared" si="5"/>
        <v>-0.11903476735001874</v>
      </c>
      <c r="T10" s="53">
        <v>149.73200000000043</v>
      </c>
      <c r="U10" s="83">
        <f t="shared" si="6"/>
        <v>0</v>
      </c>
      <c r="W10" s="53">
        <v>149.73200000000043</v>
      </c>
      <c r="X10" s="83">
        <f t="shared" si="7"/>
        <v>0</v>
      </c>
    </row>
    <row r="11" spans="2:24" ht="13.15" customHeight="1">
      <c r="B11" s="360">
        <v>8</v>
      </c>
      <c r="C11" s="368" t="s">
        <v>160</v>
      </c>
      <c r="D11" s="369" t="s">
        <v>29</v>
      </c>
      <c r="E11" s="370">
        <f>'ANCHOVETA '!H25+'SARDINA COMUN '!H24</f>
        <v>3133.1550000000002</v>
      </c>
      <c r="F11" s="43">
        <f t="shared" si="1"/>
        <v>1253.2620000000002</v>
      </c>
      <c r="G11" s="43">
        <f>'ANCHOVETA '!I25+'ANCHOVETA '!J25</f>
        <v>1226.568</v>
      </c>
      <c r="H11" s="43">
        <f>'SARDINA COMUN '!I24+'SARDINA COMUN '!J24</f>
        <v>1770.7460000000001</v>
      </c>
      <c r="I11" s="371">
        <f t="shared" si="2"/>
        <v>2997.3140000000003</v>
      </c>
      <c r="J11" s="372">
        <f>+'ANCHOVETA '!K25+'SARDINA COMUN '!K24</f>
        <v>2E-3</v>
      </c>
      <c r="K11" s="44">
        <f>'ANCHOVETA '!L25</f>
        <v>-401.22799999999995</v>
      </c>
      <c r="L11" s="44">
        <f>'SARDINA COMUN '!L24</f>
        <v>537.06700000000001</v>
      </c>
      <c r="M11" s="372">
        <f t="shared" si="3"/>
        <v>135.83900000000006</v>
      </c>
      <c r="N11" s="44">
        <f t="shared" si="0"/>
        <v>-401.22799999999995</v>
      </c>
      <c r="O11" s="373" t="s">
        <v>142</v>
      </c>
      <c r="P11" s="374">
        <f t="shared" si="4"/>
        <v>0.95664466009501603</v>
      </c>
      <c r="Q11" s="322">
        <f t="shared" si="5"/>
        <v>-0.12805877781341807</v>
      </c>
      <c r="T11" s="53">
        <v>135.83900000000006</v>
      </c>
      <c r="U11" s="83">
        <f t="shared" si="6"/>
        <v>0</v>
      </c>
      <c r="W11" s="53">
        <v>135.83900000000006</v>
      </c>
      <c r="X11" s="83">
        <f t="shared" si="7"/>
        <v>0</v>
      </c>
    </row>
    <row r="12" spans="2:24" ht="13.15" customHeight="1">
      <c r="B12" s="360">
        <v>9</v>
      </c>
      <c r="C12" s="368" t="s">
        <v>260</v>
      </c>
      <c r="D12" s="369" t="s">
        <v>29</v>
      </c>
      <c r="E12" s="370">
        <f>'ANCHOVETA '!H26+'SARDINA COMUN '!H25</f>
        <v>5108.0010000000002</v>
      </c>
      <c r="F12" s="43">
        <f t="shared" si="1"/>
        <v>2043.2004000000002</v>
      </c>
      <c r="G12" s="43">
        <f>'ANCHOVETA '!I26+'ANCHOVETA '!J26</f>
        <v>1772.086</v>
      </c>
      <c r="H12" s="43">
        <f>'SARDINA COMUN '!I25+'SARDINA COMUN '!J25</f>
        <v>2137.9479999999999</v>
      </c>
      <c r="I12" s="371">
        <f t="shared" si="2"/>
        <v>3910.0339999999997</v>
      </c>
      <c r="J12" s="372">
        <f>+'ANCHOVETA '!K26+'SARDINA COMUN '!K25</f>
        <v>0</v>
      </c>
      <c r="K12" s="44">
        <f>'ANCHOVETA '!L26</f>
        <v>-426.529</v>
      </c>
      <c r="L12" s="44">
        <f>'SARDINA COMUN '!L25</f>
        <v>1624.4960000000001</v>
      </c>
      <c r="M12" s="372">
        <f t="shared" si="3"/>
        <v>1197.9670000000001</v>
      </c>
      <c r="N12" s="44">
        <f t="shared" si="0"/>
        <v>-426.529</v>
      </c>
      <c r="O12" s="373" t="s">
        <v>142</v>
      </c>
      <c r="P12" s="374">
        <f t="shared" si="4"/>
        <v>0.76547244215496424</v>
      </c>
      <c r="Q12" s="322">
        <f t="shared" si="5"/>
        <v>-8.3502137137404633E-2</v>
      </c>
      <c r="T12" s="53">
        <v>1197.9670000000001</v>
      </c>
      <c r="U12" s="83">
        <f t="shared" si="6"/>
        <v>0</v>
      </c>
      <c r="W12" s="53">
        <v>1197.9670000000001</v>
      </c>
      <c r="X12" s="83">
        <f t="shared" si="7"/>
        <v>0</v>
      </c>
    </row>
    <row r="13" spans="2:24" ht="13.15" customHeight="1">
      <c r="B13" s="360">
        <v>10</v>
      </c>
      <c r="C13" s="368" t="s">
        <v>261</v>
      </c>
      <c r="D13" s="369" t="s">
        <v>29</v>
      </c>
      <c r="E13" s="370">
        <f>'ANCHOVETA '!H27+'SARDINA COMUN '!H26</f>
        <v>1191.181</v>
      </c>
      <c r="F13" s="43">
        <f t="shared" si="1"/>
        <v>476.47240000000005</v>
      </c>
      <c r="G13" s="43">
        <f>'ANCHOVETA '!I27+'ANCHOVETA '!J27</f>
        <v>484.09</v>
      </c>
      <c r="H13" s="43">
        <f>'SARDINA COMUN '!I26+'SARDINA COMUN '!J26</f>
        <v>672.09699999999998</v>
      </c>
      <c r="I13" s="371">
        <f t="shared" si="2"/>
        <v>1156.1869999999999</v>
      </c>
      <c r="J13" s="372">
        <f>+'ANCHOVETA '!K27+'SARDINA COMUN '!K26</f>
        <v>0</v>
      </c>
      <c r="K13" s="44">
        <f>'ANCHOVETA '!L27</f>
        <v>-78.690999999999974</v>
      </c>
      <c r="L13" s="44">
        <f>'SARDINA COMUN '!L26</f>
        <v>113.68500000000017</v>
      </c>
      <c r="M13" s="372">
        <f t="shared" si="3"/>
        <v>34.994000000000199</v>
      </c>
      <c r="N13" s="44">
        <f t="shared" si="0"/>
        <v>-78.690999999999974</v>
      </c>
      <c r="O13" s="375" t="s">
        <v>142</v>
      </c>
      <c r="P13" s="374">
        <f t="shared" si="4"/>
        <v>0.97062243269494719</v>
      </c>
      <c r="Q13" s="322">
        <f t="shared" si="5"/>
        <v>-6.6061329050748768E-2</v>
      </c>
      <c r="T13" s="53">
        <v>34.994000000000199</v>
      </c>
      <c r="U13" s="83">
        <f t="shared" si="6"/>
        <v>0</v>
      </c>
      <c r="W13" s="53">
        <v>34.994000000000199</v>
      </c>
      <c r="X13" s="83">
        <f t="shared" si="7"/>
        <v>0</v>
      </c>
    </row>
    <row r="14" spans="2:24" ht="13.15" customHeight="1">
      <c r="B14" s="360">
        <v>11</v>
      </c>
      <c r="C14" s="368" t="s">
        <v>163</v>
      </c>
      <c r="D14" s="369" t="s">
        <v>29</v>
      </c>
      <c r="E14" s="370">
        <f>'ANCHOVETA '!H28+'SARDINA COMUN '!H27</f>
        <v>2882.9360000000001</v>
      </c>
      <c r="F14" s="43">
        <f t="shared" si="1"/>
        <v>1153.1744000000001</v>
      </c>
      <c r="G14" s="43">
        <f>'ANCHOVETA '!I28+'ANCHOVETA '!J28</f>
        <v>1225.732</v>
      </c>
      <c r="H14" s="43">
        <f>'SARDINA COMUN '!I27+'SARDINA COMUN '!J27</f>
        <v>1316.3610000000001</v>
      </c>
      <c r="I14" s="371">
        <f t="shared" si="2"/>
        <v>2542.0929999999998</v>
      </c>
      <c r="J14" s="372">
        <f>+'ANCHOVETA '!K28+'SARDINA COMUN '!K27</f>
        <v>46.16</v>
      </c>
      <c r="K14" s="44">
        <f>'ANCHOVETA '!L28</f>
        <v>-466.30499999999995</v>
      </c>
      <c r="L14" s="44">
        <f>'SARDINA COMUN '!L27</f>
        <v>760.98799999999983</v>
      </c>
      <c r="M14" s="372">
        <f t="shared" si="3"/>
        <v>294.68299999999988</v>
      </c>
      <c r="N14" s="44">
        <f t="shared" si="0"/>
        <v>-466.30499999999995</v>
      </c>
      <c r="O14" s="373" t="s">
        <v>142</v>
      </c>
      <c r="P14" s="374">
        <f t="shared" si="4"/>
        <v>0.89778371771000109</v>
      </c>
      <c r="Q14" s="322">
        <f t="shared" si="5"/>
        <v>-0.16174656669450863</v>
      </c>
      <c r="T14" s="53">
        <v>320.31299999999976</v>
      </c>
      <c r="U14" s="83">
        <f t="shared" si="6"/>
        <v>25.629999999999882</v>
      </c>
      <c r="W14" s="53">
        <v>294.68299999999988</v>
      </c>
      <c r="X14" s="83">
        <f t="shared" si="7"/>
        <v>0</v>
      </c>
    </row>
    <row r="15" spans="2:24" ht="13.15" customHeight="1">
      <c r="B15" s="360">
        <v>12</v>
      </c>
      <c r="C15" s="490" t="s">
        <v>164</v>
      </c>
      <c r="D15" s="369" t="s">
        <v>29</v>
      </c>
      <c r="E15" s="370">
        <f>'ANCHOVETA '!H29+'SARDINA COMUN '!H28</f>
        <v>2790.8469999999998</v>
      </c>
      <c r="F15" s="43">
        <f t="shared" si="1"/>
        <v>1116.3388</v>
      </c>
      <c r="G15" s="43">
        <f>'ANCHOVETA '!I29+'ANCHOVETA '!J29</f>
        <v>781.077</v>
      </c>
      <c r="H15" s="43">
        <f>'SARDINA COMUN '!I28+'SARDINA COMUN '!J28</f>
        <v>2075.5810000000001</v>
      </c>
      <c r="I15" s="371">
        <f t="shared" si="2"/>
        <v>2856.6580000000004</v>
      </c>
      <c r="J15" s="372">
        <f>+'ANCHOVETA '!K29+'SARDINA COMUN '!K28</f>
        <v>1381.7439999999999</v>
      </c>
      <c r="K15" s="44">
        <f>'ANCHOVETA '!L29</f>
        <v>-37.955000000000041</v>
      </c>
      <c r="L15" s="44">
        <f>'SARDINA COMUN '!L28</f>
        <v>-1409.6</v>
      </c>
      <c r="M15" s="398">
        <f t="shared" si="3"/>
        <v>-1447.5549999999998</v>
      </c>
      <c r="N15" s="44">
        <f>IF(K15&lt;0,K15,IF(K15&lt;0,L15,IF(L15&lt;0,L15,IF(L15&gt;0,"0","0"))))</f>
        <v>-37.955000000000041</v>
      </c>
      <c r="O15" s="377">
        <v>43551</v>
      </c>
      <c r="P15" s="374">
        <f>(I15+J15)/E15</f>
        <v>1.5186794546601803</v>
      </c>
      <c r="Q15" s="322">
        <f t="shared" si="5"/>
        <v>-1.3599813963287863E-2</v>
      </c>
      <c r="T15" s="53">
        <v>-1447.5549999999998</v>
      </c>
      <c r="U15" s="83">
        <f t="shared" si="6"/>
        <v>0</v>
      </c>
      <c r="W15" s="53">
        <v>-1447.5549999999998</v>
      </c>
      <c r="X15" s="83">
        <f t="shared" si="7"/>
        <v>0</v>
      </c>
    </row>
    <row r="16" spans="2:24" ht="13.15" customHeight="1">
      <c r="B16" s="360">
        <v>13</v>
      </c>
      <c r="C16" s="368" t="s">
        <v>165</v>
      </c>
      <c r="D16" s="369" t="s">
        <v>29</v>
      </c>
      <c r="E16" s="370">
        <f>'ANCHOVETA '!H30+'SARDINA COMUN '!H29</f>
        <v>4976.7269999999999</v>
      </c>
      <c r="F16" s="43">
        <f t="shared" si="1"/>
        <v>1990.6908000000001</v>
      </c>
      <c r="G16" s="43">
        <f>'ANCHOVETA '!I30+'ANCHOVETA '!J30</f>
        <v>1101.3780000000002</v>
      </c>
      <c r="H16" s="43">
        <f>'SARDINA COMUN '!I29+'SARDINA COMUN '!J29</f>
        <v>2809.0349999999999</v>
      </c>
      <c r="I16" s="371">
        <f t="shared" si="2"/>
        <v>3910.413</v>
      </c>
      <c r="J16" s="372">
        <f>+'ANCHOVETA '!K30+'SARDINA COMUN '!K29</f>
        <v>0</v>
      </c>
      <c r="K16" s="44">
        <f>'ANCHOVETA '!L30</f>
        <v>99.221999999999866</v>
      </c>
      <c r="L16" s="44">
        <f>'SARDINA COMUN '!L29</f>
        <v>967.0920000000001</v>
      </c>
      <c r="M16" s="372">
        <f t="shared" si="3"/>
        <v>1066.3139999999999</v>
      </c>
      <c r="N16" s="44" t="str">
        <f>IF(K16&lt;0,K16,IF(K16&lt;0,L16,IF(L16&lt;0,K1516,IF(L16&gt;0,"0","0"))))</f>
        <v>0</v>
      </c>
      <c r="O16" s="373" t="s">
        <v>142</v>
      </c>
      <c r="P16" s="374">
        <f t="shared" ref="P16:P79" si="8">(I16+J16)/E16</f>
        <v>0.78573990496163448</v>
      </c>
      <c r="Q16" s="322">
        <f t="shared" si="5"/>
        <v>0</v>
      </c>
      <c r="T16" s="53">
        <v>1204.5799999999995</v>
      </c>
      <c r="U16" s="83">
        <f t="shared" si="6"/>
        <v>138.26599999999962</v>
      </c>
      <c r="W16" s="53">
        <v>1066.3139999999999</v>
      </c>
      <c r="X16" s="83">
        <f t="shared" si="7"/>
        <v>0</v>
      </c>
    </row>
    <row r="17" spans="2:24" ht="13.15" customHeight="1">
      <c r="B17" s="360">
        <v>14</v>
      </c>
      <c r="C17" s="368" t="s">
        <v>166</v>
      </c>
      <c r="D17" s="369" t="s">
        <v>29</v>
      </c>
      <c r="E17" s="370">
        <f>'ANCHOVETA '!H31+'SARDINA COMUN '!H30</f>
        <v>1262.8119999999999</v>
      </c>
      <c r="F17" s="43">
        <f t="shared" si="1"/>
        <v>505.12479999999999</v>
      </c>
      <c r="G17" s="43">
        <f>'ANCHOVETA '!I31+'ANCHOVETA '!J31</f>
        <v>716.55399999999997</v>
      </c>
      <c r="H17" s="43">
        <f>'SARDINA COMUN '!I30+'SARDINA COMUN '!J30</f>
        <v>450.11599999999999</v>
      </c>
      <c r="I17" s="371">
        <f t="shared" si="2"/>
        <v>1166.67</v>
      </c>
      <c r="J17" s="372">
        <f>+'ANCHOVETA '!K31+'SARDINA COMUN '!K30</f>
        <v>0</v>
      </c>
      <c r="K17" s="44">
        <f>'ANCHOVETA '!L31</f>
        <v>-383.90299999999996</v>
      </c>
      <c r="L17" s="44">
        <f>'SARDINA COMUN '!L30</f>
        <v>480.04499999999996</v>
      </c>
      <c r="M17" s="372">
        <f t="shared" si="3"/>
        <v>96.141999999999996</v>
      </c>
      <c r="N17" s="44">
        <f t="shared" si="0"/>
        <v>-383.90299999999996</v>
      </c>
      <c r="O17" s="373" t="s">
        <v>142</v>
      </c>
      <c r="P17" s="374">
        <f t="shared" si="8"/>
        <v>0.92386673550774001</v>
      </c>
      <c r="Q17" s="322">
        <f t="shared" si="5"/>
        <v>-0.30400645543437976</v>
      </c>
      <c r="T17" s="53">
        <v>96.141999999999996</v>
      </c>
      <c r="U17" s="83">
        <f t="shared" si="6"/>
        <v>0</v>
      </c>
      <c r="W17" s="53">
        <v>96.141999999999996</v>
      </c>
      <c r="X17" s="83">
        <f t="shared" si="7"/>
        <v>0</v>
      </c>
    </row>
    <row r="18" spans="2:24" ht="13.15" customHeight="1">
      <c r="B18" s="360">
        <v>15</v>
      </c>
      <c r="C18" s="376" t="s">
        <v>167</v>
      </c>
      <c r="D18" s="369" t="s">
        <v>29</v>
      </c>
      <c r="E18" s="370">
        <f>'ANCHOVETA '!H32+'SARDINA COMUN '!H31</f>
        <v>17.846999999999994</v>
      </c>
      <c r="F18" s="43">
        <f t="shared" si="1"/>
        <v>7.138799999999998</v>
      </c>
      <c r="G18" s="43">
        <f>'ANCHOVETA '!I32+'ANCHOVETA '!J32</f>
        <v>0</v>
      </c>
      <c r="H18" s="43">
        <f>'SARDINA COMUN '!I31+'SARDINA COMUN '!J31</f>
        <v>0</v>
      </c>
      <c r="I18" s="371">
        <f t="shared" si="2"/>
        <v>0</v>
      </c>
      <c r="J18" s="372">
        <f>+'ANCHOVETA '!K32+'SARDINA COMUN '!K31</f>
        <v>0</v>
      </c>
      <c r="K18" s="44">
        <f>'ANCHOVETA '!L32</f>
        <v>6.9699999999999989</v>
      </c>
      <c r="L18" s="44">
        <f>'SARDINA COMUN '!L31</f>
        <v>10.876999999999995</v>
      </c>
      <c r="M18" s="372">
        <f t="shared" si="3"/>
        <v>17.846999999999994</v>
      </c>
      <c r="N18" s="44" t="str">
        <f t="shared" si="0"/>
        <v>0</v>
      </c>
      <c r="O18" s="377">
        <v>43537</v>
      </c>
      <c r="P18" s="374">
        <f t="shared" si="8"/>
        <v>0</v>
      </c>
      <c r="Q18" s="322">
        <f t="shared" si="5"/>
        <v>0</v>
      </c>
      <c r="T18" s="53">
        <v>17.846999999999994</v>
      </c>
      <c r="U18" s="83">
        <f t="shared" si="6"/>
        <v>0</v>
      </c>
      <c r="W18" s="53">
        <v>17.846999999999994</v>
      </c>
      <c r="X18" s="83">
        <f t="shared" si="7"/>
        <v>0</v>
      </c>
    </row>
    <row r="19" spans="2:24" ht="13.15" customHeight="1">
      <c r="B19" s="360">
        <v>16</v>
      </c>
      <c r="C19" s="368" t="s">
        <v>168</v>
      </c>
      <c r="D19" s="369" t="s">
        <v>29</v>
      </c>
      <c r="E19" s="370">
        <f>'ANCHOVETA '!H33+'SARDINA COMUN '!H32</f>
        <v>33867.237000000001</v>
      </c>
      <c r="F19" s="43">
        <f t="shared" si="1"/>
        <v>13546.894800000002</v>
      </c>
      <c r="G19" s="43">
        <f>'ANCHOVETA '!I33+'ANCHOVETA '!J33</f>
        <v>8205.9920000000002</v>
      </c>
      <c r="H19" s="43">
        <f>'SARDINA COMUN '!I32+'SARDINA COMUN '!J32</f>
        <v>22400.358</v>
      </c>
      <c r="I19" s="371">
        <f t="shared" si="2"/>
        <v>30606.35</v>
      </c>
      <c r="J19" s="372">
        <f>+'ANCHOVETA '!K33+'SARDINA COMUN '!K32</f>
        <v>0</v>
      </c>
      <c r="K19" s="44">
        <f>'ANCHOVETA '!L33</f>
        <v>268.06599999999884</v>
      </c>
      <c r="L19" s="44">
        <f>'SARDINA COMUN '!L32</f>
        <v>2992.8209999999999</v>
      </c>
      <c r="M19" s="372">
        <f t="shared" si="3"/>
        <v>3260.8869999999988</v>
      </c>
      <c r="N19" s="44" t="str">
        <f t="shared" si="0"/>
        <v>0</v>
      </c>
      <c r="O19" s="373" t="s">
        <v>142</v>
      </c>
      <c r="P19" s="374">
        <f t="shared" si="8"/>
        <v>0.90371558801800089</v>
      </c>
      <c r="Q19" s="322">
        <f t="shared" si="5"/>
        <v>0</v>
      </c>
      <c r="T19" s="53">
        <v>3347.0499999999975</v>
      </c>
      <c r="U19" s="83">
        <f t="shared" si="6"/>
        <v>86.162999999998647</v>
      </c>
      <c r="W19" s="53">
        <v>3267.8089999999993</v>
      </c>
      <c r="X19" s="83">
        <f t="shared" si="7"/>
        <v>6.9220000000004802</v>
      </c>
    </row>
    <row r="20" spans="2:24" ht="13.15" customHeight="1">
      <c r="B20" s="360">
        <v>17</v>
      </c>
      <c r="C20" s="368" t="s">
        <v>169</v>
      </c>
      <c r="D20" s="369" t="s">
        <v>29</v>
      </c>
      <c r="E20" s="370">
        <f>'ANCHOVETA '!H34+'SARDINA COMUN '!H33</f>
        <v>180.86700000000002</v>
      </c>
      <c r="F20" s="43">
        <f t="shared" si="1"/>
        <v>72.346800000000016</v>
      </c>
      <c r="G20" s="43">
        <f>'ANCHOVETA '!I34+'ANCHOVETA '!J34</f>
        <v>21.216999999999999</v>
      </c>
      <c r="H20" s="43">
        <f>'SARDINA COMUN '!I33+'SARDINA COMUN '!J33</f>
        <v>140.62299999999999</v>
      </c>
      <c r="I20" s="371">
        <f t="shared" si="2"/>
        <v>161.83999999999997</v>
      </c>
      <c r="J20" s="372">
        <f>+'ANCHOVETA '!K34+'SARDINA COMUN '!K33</f>
        <v>0</v>
      </c>
      <c r="K20" s="44">
        <f>'ANCHOVETA '!L34</f>
        <v>3.1020000000000039</v>
      </c>
      <c r="L20" s="44">
        <f>'SARDINA COMUN '!L33</f>
        <v>15.925000000000011</v>
      </c>
      <c r="M20" s="372">
        <f t="shared" si="3"/>
        <v>19.027000000000015</v>
      </c>
      <c r="N20" s="44" t="str">
        <f t="shared" si="0"/>
        <v>0</v>
      </c>
      <c r="O20" s="373" t="s">
        <v>142</v>
      </c>
      <c r="P20" s="374">
        <f t="shared" si="8"/>
        <v>0.89480115222787993</v>
      </c>
      <c r="Q20" s="322">
        <f t="shared" si="5"/>
        <v>0</v>
      </c>
      <c r="T20" s="53">
        <v>19.027000000000015</v>
      </c>
      <c r="U20" s="83">
        <f t="shared" si="6"/>
        <v>0</v>
      </c>
      <c r="W20" s="53">
        <v>19.027000000000015</v>
      </c>
      <c r="X20" s="83">
        <f t="shared" si="7"/>
        <v>0</v>
      </c>
    </row>
    <row r="21" spans="2:24" ht="13.15" customHeight="1">
      <c r="B21" s="360">
        <v>18</v>
      </c>
      <c r="C21" s="368" t="s">
        <v>262</v>
      </c>
      <c r="D21" s="369" t="s">
        <v>29</v>
      </c>
      <c r="E21" s="370">
        <f>'ANCHOVETA '!H35+'SARDINA COMUN '!H34</f>
        <v>5560.0069999999996</v>
      </c>
      <c r="F21" s="43">
        <f t="shared" si="1"/>
        <v>2224.0027999999998</v>
      </c>
      <c r="G21" s="43">
        <f>'ANCHOVETA '!I35+'ANCHOVETA '!J35</f>
        <v>2387.8940000000002</v>
      </c>
      <c r="H21" s="43">
        <f>'SARDINA COMUN '!I34+'SARDINA COMUN '!J34</f>
        <v>2053.4659999999999</v>
      </c>
      <c r="I21" s="371">
        <f t="shared" si="2"/>
        <v>4441.3600000000006</v>
      </c>
      <c r="J21" s="372">
        <f>+'ANCHOVETA '!K35+'SARDINA COMUN '!K34</f>
        <v>0</v>
      </c>
      <c r="K21" s="44">
        <f>'ANCHOVETA '!L35</f>
        <v>-1001.2950000000001</v>
      </c>
      <c r="L21" s="44">
        <f>'SARDINA COMUN '!L34</f>
        <v>2119.9419999999996</v>
      </c>
      <c r="M21" s="372">
        <f t="shared" si="3"/>
        <v>1118.6469999999995</v>
      </c>
      <c r="N21" s="44">
        <f t="shared" si="0"/>
        <v>-1001.2950000000001</v>
      </c>
      <c r="O21" s="373" t="s">
        <v>142</v>
      </c>
      <c r="P21" s="374">
        <f t="shared" si="8"/>
        <v>0.79880474970625048</v>
      </c>
      <c r="Q21" s="322">
        <f t="shared" si="5"/>
        <v>-0.18008880204647226</v>
      </c>
      <c r="T21" s="53">
        <v>1118.6469999999993</v>
      </c>
      <c r="U21" s="83">
        <f t="shared" si="6"/>
        <v>0</v>
      </c>
      <c r="W21" s="53">
        <v>1118.6469999999993</v>
      </c>
      <c r="X21" s="83">
        <f t="shared" si="7"/>
        <v>0</v>
      </c>
    </row>
    <row r="22" spans="2:24" ht="13.15" customHeight="1">
      <c r="B22" s="360">
        <v>19</v>
      </c>
      <c r="C22" s="368" t="s">
        <v>263</v>
      </c>
      <c r="D22" s="369" t="s">
        <v>29</v>
      </c>
      <c r="E22" s="370">
        <f>'ANCHOVETA '!H36+'SARDINA COMUN '!H35</f>
        <v>3234.145</v>
      </c>
      <c r="F22" s="43">
        <f t="shared" si="1"/>
        <v>1293.6580000000001</v>
      </c>
      <c r="G22" s="43">
        <f>'ANCHOVETA '!I36+'ANCHOVETA '!J36</f>
        <v>802.32500000000005</v>
      </c>
      <c r="H22" s="43">
        <f>'SARDINA COMUN '!I35+'SARDINA COMUN '!J35</f>
        <v>2230.8629999999998</v>
      </c>
      <c r="I22" s="371">
        <f t="shared" si="2"/>
        <v>3033.1880000000001</v>
      </c>
      <c r="J22" s="372">
        <f>+'ANCHOVETA '!K36+'SARDINA COMUN '!K35</f>
        <v>0</v>
      </c>
      <c r="K22" s="44">
        <f>'ANCHOVETA '!L36</f>
        <v>49.618999999999915</v>
      </c>
      <c r="L22" s="44">
        <f>'SARDINA COMUN '!L35</f>
        <v>151.33800000000019</v>
      </c>
      <c r="M22" s="372">
        <f t="shared" si="3"/>
        <v>200.95700000000011</v>
      </c>
      <c r="N22" s="44" t="str">
        <f t="shared" si="0"/>
        <v>0</v>
      </c>
      <c r="O22" s="373" t="s">
        <v>142</v>
      </c>
      <c r="P22" s="374">
        <f t="shared" si="8"/>
        <v>0.93786394858610234</v>
      </c>
      <c r="Q22" s="322">
        <f t="shared" si="5"/>
        <v>0</v>
      </c>
      <c r="T22" s="53">
        <v>268.89100000000019</v>
      </c>
      <c r="U22" s="83">
        <f t="shared" si="6"/>
        <v>67.934000000000083</v>
      </c>
      <c r="W22" s="53">
        <v>200.95700000000011</v>
      </c>
      <c r="X22" s="83">
        <f t="shared" si="7"/>
        <v>0</v>
      </c>
    </row>
    <row r="23" spans="2:24" ht="13.15" customHeight="1">
      <c r="B23" s="360">
        <v>20</v>
      </c>
      <c r="C23" s="368" t="s">
        <v>172</v>
      </c>
      <c r="D23" s="369" t="s">
        <v>29</v>
      </c>
      <c r="E23" s="370">
        <f>'ANCHOVETA '!H37+'SARDINA COMUN '!H36</f>
        <v>3927.047</v>
      </c>
      <c r="F23" s="43">
        <f t="shared" si="1"/>
        <v>1570.8188</v>
      </c>
      <c r="G23" s="43">
        <f>'ANCHOVETA '!I37+'ANCHOVETA '!J37</f>
        <v>1248.616</v>
      </c>
      <c r="H23" s="43">
        <f>'SARDINA COMUN '!I36+'SARDINA COMUN '!J36</f>
        <v>1724.8860000000002</v>
      </c>
      <c r="I23" s="371">
        <f t="shared" si="2"/>
        <v>2973.5020000000004</v>
      </c>
      <c r="J23" s="372">
        <f>+'ANCHOVETA '!K37+'SARDINA COMUN '!K36</f>
        <v>0</v>
      </c>
      <c r="K23" s="44">
        <f>'ANCHOVETA '!L37</f>
        <v>-293.17399999999998</v>
      </c>
      <c r="L23" s="44">
        <f>'SARDINA COMUN '!L36</f>
        <v>1246.7189999999998</v>
      </c>
      <c r="M23" s="372">
        <f t="shared" si="3"/>
        <v>953.54499999999985</v>
      </c>
      <c r="N23" s="44">
        <f t="shared" si="0"/>
        <v>-293.17399999999998</v>
      </c>
      <c r="O23" s="373" t="s">
        <v>142</v>
      </c>
      <c r="P23" s="374">
        <f t="shared" si="8"/>
        <v>0.75718523358645828</v>
      </c>
      <c r="Q23" s="322">
        <f t="shared" si="5"/>
        <v>-7.4655077975893838E-2</v>
      </c>
      <c r="T23" s="53">
        <v>953.54499999999985</v>
      </c>
      <c r="U23" s="83">
        <f t="shared" si="6"/>
        <v>0</v>
      </c>
      <c r="W23" s="53">
        <v>953.54499999999985</v>
      </c>
      <c r="X23" s="83">
        <f t="shared" si="7"/>
        <v>0</v>
      </c>
    </row>
    <row r="24" spans="2:24" ht="13.15" customHeight="1">
      <c r="B24" s="360">
        <v>21</v>
      </c>
      <c r="C24" s="368" t="s">
        <v>173</v>
      </c>
      <c r="D24" s="369" t="s">
        <v>29</v>
      </c>
      <c r="E24" s="370">
        <f>'ANCHOVETA '!H38+'SARDINA COMUN '!H37</f>
        <v>7089.3310000000001</v>
      </c>
      <c r="F24" s="43">
        <f t="shared" si="1"/>
        <v>2835.7324000000003</v>
      </c>
      <c r="G24" s="43">
        <f>'ANCHOVETA '!I38+'ANCHOVETA '!J38</f>
        <v>2361.27</v>
      </c>
      <c r="H24" s="43">
        <f>'SARDINA COMUN '!I37+'SARDINA COMUN '!J37</f>
        <v>3926.0120000000002</v>
      </c>
      <c r="I24" s="371">
        <f t="shared" si="2"/>
        <v>6287.2820000000002</v>
      </c>
      <c r="J24" s="372">
        <f>+'ANCHOVETA '!K38+'SARDINA COMUN '!K37</f>
        <v>0</v>
      </c>
      <c r="K24" s="44">
        <f>'ANCHOVETA '!L38</f>
        <v>-625.49900000000002</v>
      </c>
      <c r="L24" s="44">
        <f>'SARDINA COMUN '!L37</f>
        <v>1427.5480000000002</v>
      </c>
      <c r="M24" s="372">
        <f t="shared" si="3"/>
        <v>802.04900000000021</v>
      </c>
      <c r="N24" s="44">
        <f t="shared" si="0"/>
        <v>-625.49900000000002</v>
      </c>
      <c r="O24" s="373" t="s">
        <v>142</v>
      </c>
      <c r="P24" s="374">
        <f t="shared" si="8"/>
        <v>0.88686534737904044</v>
      </c>
      <c r="Q24" s="322">
        <f t="shared" si="5"/>
        <v>-8.8231033365489639E-2</v>
      </c>
      <c r="T24" s="53">
        <v>1109.7060000000004</v>
      </c>
      <c r="U24" s="83">
        <f t="shared" si="6"/>
        <v>307.65700000000015</v>
      </c>
      <c r="W24" s="53">
        <v>1401.2160000000006</v>
      </c>
      <c r="X24" s="83">
        <f t="shared" si="7"/>
        <v>599.16700000000037</v>
      </c>
    </row>
    <row r="25" spans="2:24" ht="13.15" customHeight="1">
      <c r="B25" s="360">
        <v>22</v>
      </c>
      <c r="C25" s="368" t="s">
        <v>174</v>
      </c>
      <c r="D25" s="369" t="s">
        <v>29</v>
      </c>
      <c r="E25" s="370">
        <f>'ANCHOVETA '!H39+'SARDINA COMUN '!H38</f>
        <v>6014.3130000000001</v>
      </c>
      <c r="F25" s="43">
        <f t="shared" si="1"/>
        <v>2405.7252000000003</v>
      </c>
      <c r="G25" s="43">
        <f>'ANCHOVETA '!I39+'ANCHOVETA '!J39</f>
        <v>1219.71</v>
      </c>
      <c r="H25" s="43">
        <f>'SARDINA COMUN '!I38+'SARDINA COMUN '!J38</f>
        <v>2640.5259999999998</v>
      </c>
      <c r="I25" s="371">
        <f t="shared" si="2"/>
        <v>3860.2359999999999</v>
      </c>
      <c r="J25" s="372">
        <f>+'ANCHOVETA '!K39+'SARDINA COMUN '!K38</f>
        <v>0</v>
      </c>
      <c r="K25" s="44">
        <f>'ANCHOVETA '!L39</f>
        <v>364.58999999999992</v>
      </c>
      <c r="L25" s="44">
        <f>'SARDINA COMUN '!L38</f>
        <v>1789.4870000000001</v>
      </c>
      <c r="M25" s="372">
        <f t="shared" si="3"/>
        <v>2154.0770000000002</v>
      </c>
      <c r="N25" s="44" t="str">
        <f t="shared" si="0"/>
        <v>0</v>
      </c>
      <c r="O25" s="373" t="s">
        <v>142</v>
      </c>
      <c r="P25" s="374">
        <f t="shared" si="8"/>
        <v>0.64184155364045736</v>
      </c>
      <c r="Q25" s="322">
        <f t="shared" si="5"/>
        <v>0</v>
      </c>
      <c r="T25" s="53">
        <v>2165.1839999999997</v>
      </c>
      <c r="U25" s="83">
        <f t="shared" si="6"/>
        <v>11.106999999999516</v>
      </c>
      <c r="W25" s="53">
        <v>2160.7439999999997</v>
      </c>
      <c r="X25" s="83">
        <f t="shared" si="7"/>
        <v>6.6669999999994616</v>
      </c>
    </row>
    <row r="26" spans="2:24" ht="13.15" customHeight="1">
      <c r="B26" s="360">
        <v>23</v>
      </c>
      <c r="C26" s="368" t="s">
        <v>175</v>
      </c>
      <c r="D26" s="369" t="s">
        <v>29</v>
      </c>
      <c r="E26" s="370">
        <f>'ANCHOVETA '!H40+'SARDINA COMUN '!H39</f>
        <v>5676.9059999999999</v>
      </c>
      <c r="F26" s="43">
        <f t="shared" si="1"/>
        <v>2270.7624000000001</v>
      </c>
      <c r="G26" s="43">
        <f>'ANCHOVETA '!I40+'ANCHOVETA '!J40</f>
        <v>2014.623</v>
      </c>
      <c r="H26" s="43">
        <f>'SARDINA COMUN '!I39+'SARDINA COMUN '!J39</f>
        <v>2737.489</v>
      </c>
      <c r="I26" s="371">
        <f t="shared" si="2"/>
        <v>4752.1120000000001</v>
      </c>
      <c r="J26" s="372">
        <f>+'ANCHOVETA '!K40+'SARDINA COMUN '!K39</f>
        <v>0</v>
      </c>
      <c r="K26" s="44">
        <f>'ANCHOVETA '!L40</f>
        <v>-519.20399999999995</v>
      </c>
      <c r="L26" s="44">
        <f>'SARDINA COMUN '!L39</f>
        <v>1443.998</v>
      </c>
      <c r="M26" s="372">
        <f t="shared" si="3"/>
        <v>924.7940000000001</v>
      </c>
      <c r="N26" s="44">
        <f t="shared" si="0"/>
        <v>-519.20399999999995</v>
      </c>
      <c r="O26" s="373" t="s">
        <v>142</v>
      </c>
      <c r="P26" s="374">
        <f t="shared" si="8"/>
        <v>0.83709541782090457</v>
      </c>
      <c r="Q26" s="322">
        <f t="shared" si="5"/>
        <v>-9.1458974307483676E-2</v>
      </c>
      <c r="T26" s="53">
        <v>1141.7240000000004</v>
      </c>
      <c r="U26" s="83">
        <f t="shared" si="6"/>
        <v>216.93000000000029</v>
      </c>
      <c r="W26" s="53">
        <v>924.7940000000001</v>
      </c>
      <c r="X26" s="83">
        <f t="shared" si="7"/>
        <v>0</v>
      </c>
    </row>
    <row r="27" spans="2:24" ht="13.15" customHeight="1">
      <c r="B27" s="360">
        <v>24</v>
      </c>
      <c r="C27" s="374" t="s">
        <v>176</v>
      </c>
      <c r="D27" s="369" t="s">
        <v>29</v>
      </c>
      <c r="E27" s="370">
        <f>'ANCHOVETA '!H41+'SARDINA COMUN '!H40</f>
        <v>943.39300000000003</v>
      </c>
      <c r="F27" s="43">
        <f t="shared" si="1"/>
        <v>377.35720000000003</v>
      </c>
      <c r="G27" s="43">
        <f>'ANCHOVETA '!I41+'ANCHOVETA '!J41</f>
        <v>293.79500000000002</v>
      </c>
      <c r="H27" s="43">
        <f>'SARDINA COMUN '!I40+'SARDINA COMUN '!J40</f>
        <v>744.78899999999999</v>
      </c>
      <c r="I27" s="371">
        <f t="shared" si="2"/>
        <v>1038.5840000000001</v>
      </c>
      <c r="J27" s="372">
        <f>+'ANCHOVETA '!K41+'SARDINA COMUN '!K40</f>
        <v>0</v>
      </c>
      <c r="K27" s="44">
        <f>'ANCHOVETA '!L41</f>
        <v>-12.709000000000003</v>
      </c>
      <c r="L27" s="44">
        <f>'SARDINA COMUN '!L40</f>
        <v>-82.481999999999971</v>
      </c>
      <c r="M27" s="372">
        <f t="shared" si="3"/>
        <v>-95.190999999999974</v>
      </c>
      <c r="N27" s="44">
        <f t="shared" si="0"/>
        <v>-12.709000000000003</v>
      </c>
      <c r="O27" s="487">
        <v>43641</v>
      </c>
      <c r="P27" s="374">
        <f t="shared" si="8"/>
        <v>1.1009028050875935</v>
      </c>
      <c r="Q27" s="322">
        <f t="shared" si="5"/>
        <v>-1.3471586072824372E-2</v>
      </c>
      <c r="T27" s="53">
        <v>-95.190999999999974</v>
      </c>
      <c r="U27" s="83">
        <f t="shared" si="6"/>
        <v>0</v>
      </c>
      <c r="W27" s="53">
        <v>-95.190999999999974</v>
      </c>
      <c r="X27" s="83">
        <f t="shared" si="7"/>
        <v>0</v>
      </c>
    </row>
    <row r="28" spans="2:24" ht="13.15" customHeight="1">
      <c r="B28" s="360">
        <v>25</v>
      </c>
      <c r="C28" s="368" t="s">
        <v>177</v>
      </c>
      <c r="D28" s="369" t="s">
        <v>29</v>
      </c>
      <c r="E28" s="370">
        <f>'ANCHOVETA '!H42+'SARDINA COMUN '!H41</f>
        <v>4238.1469999999999</v>
      </c>
      <c r="F28" s="43">
        <f t="shared" si="1"/>
        <v>1695.2588000000001</v>
      </c>
      <c r="G28" s="43">
        <f>'ANCHOVETA '!I42+'ANCHOVETA '!J42</f>
        <v>1499.499</v>
      </c>
      <c r="H28" s="43">
        <f>'SARDINA COMUN '!I41+'SARDINA COMUN '!J41</f>
        <v>2626.931</v>
      </c>
      <c r="I28" s="371">
        <f t="shared" si="2"/>
        <v>4126.43</v>
      </c>
      <c r="J28" s="372">
        <f>+'ANCHOVETA '!K42+'SARDINA COMUN '!K41</f>
        <v>0</v>
      </c>
      <c r="K28" s="44">
        <f>'ANCHOVETA '!L42</f>
        <v>-383.07999999999993</v>
      </c>
      <c r="L28" s="44">
        <f>'SARDINA COMUN '!L41</f>
        <v>494.79700000000003</v>
      </c>
      <c r="M28" s="372">
        <f t="shared" si="3"/>
        <v>111.7170000000001</v>
      </c>
      <c r="N28" s="44">
        <f t="shared" si="0"/>
        <v>-383.07999999999993</v>
      </c>
      <c r="O28" s="373" t="s">
        <v>142</v>
      </c>
      <c r="P28" s="374">
        <f t="shared" si="8"/>
        <v>0.97364013093458068</v>
      </c>
      <c r="Q28" s="322">
        <f t="shared" si="5"/>
        <v>-9.0388558962206822E-2</v>
      </c>
      <c r="T28" s="53">
        <v>111.7170000000001</v>
      </c>
      <c r="U28" s="83">
        <f t="shared" si="6"/>
        <v>0</v>
      </c>
      <c r="W28" s="53">
        <v>111.7170000000001</v>
      </c>
      <c r="X28" s="83">
        <f t="shared" si="7"/>
        <v>0</v>
      </c>
    </row>
    <row r="29" spans="2:24" ht="13.15" customHeight="1">
      <c r="B29" s="360">
        <v>26</v>
      </c>
      <c r="C29" s="368" t="s">
        <v>178</v>
      </c>
      <c r="D29" s="369" t="s">
        <v>29</v>
      </c>
      <c r="E29" s="370">
        <f>'ANCHOVETA '!H43+'SARDINA COMUN '!H42</f>
        <v>-1.4000000000000234E-2</v>
      </c>
      <c r="F29" s="43">
        <f t="shared" si="1"/>
        <v>-5.6000000000000945E-3</v>
      </c>
      <c r="G29" s="43">
        <f>'ANCHOVETA '!I43+'ANCHOVETA '!J43</f>
        <v>0</v>
      </c>
      <c r="H29" s="43">
        <f>'SARDINA COMUN '!I42+'SARDINA COMUN '!J42</f>
        <v>0</v>
      </c>
      <c r="I29" s="371">
        <f t="shared" si="2"/>
        <v>0</v>
      </c>
      <c r="J29" s="372">
        <f>+'ANCHOVETA '!K43+'SARDINA COMUN '!K42</f>
        <v>0</v>
      </c>
      <c r="K29" s="44">
        <f>'ANCHOVETA '!L43</f>
        <v>2.1999999999999353E-2</v>
      </c>
      <c r="L29" s="44">
        <f>'SARDINA COMUN '!L42</f>
        <v>-3.5999999999999588E-2</v>
      </c>
      <c r="M29" s="372">
        <f t="shared" si="3"/>
        <v>-1.4000000000000234E-2</v>
      </c>
      <c r="N29" s="44">
        <f t="shared" si="0"/>
        <v>-3.5999999999999588E-2</v>
      </c>
      <c r="O29" s="487">
        <v>43628</v>
      </c>
      <c r="P29" s="374">
        <f>(I29+J29)/E29</f>
        <v>0</v>
      </c>
      <c r="Q29" s="322">
        <f>N29/E29</f>
        <v>2.5714285714284988</v>
      </c>
      <c r="T29" s="53">
        <v>-1.4000000000000234E-2</v>
      </c>
      <c r="U29" s="83">
        <f t="shared" si="6"/>
        <v>0</v>
      </c>
      <c r="W29" s="53">
        <v>-1.4000000000000234E-2</v>
      </c>
      <c r="X29" s="83">
        <f t="shared" si="7"/>
        <v>0</v>
      </c>
    </row>
    <row r="30" spans="2:24" ht="13.15" customHeight="1">
      <c r="B30" s="360">
        <v>27</v>
      </c>
      <c r="C30" s="368" t="s">
        <v>179</v>
      </c>
      <c r="D30" s="369" t="s">
        <v>29</v>
      </c>
      <c r="E30" s="370">
        <f>'ANCHOVETA '!H44+'SARDINA COMUN '!H43</f>
        <v>3235.8360000000002</v>
      </c>
      <c r="F30" s="43">
        <f t="shared" si="1"/>
        <v>1294.3344000000002</v>
      </c>
      <c r="G30" s="43">
        <f>'ANCHOVETA '!I44+'ANCHOVETA '!J44</f>
        <v>1520.1510000000001</v>
      </c>
      <c r="H30" s="43">
        <f>'SARDINA COMUN '!I43+'SARDINA COMUN '!J43</f>
        <v>1290.643</v>
      </c>
      <c r="I30" s="371">
        <f t="shared" si="2"/>
        <v>2810.7939999999999</v>
      </c>
      <c r="J30" s="372">
        <f>+'ANCHOVETA '!K44+'SARDINA COMUN '!K43</f>
        <v>0</v>
      </c>
      <c r="K30" s="44">
        <f>'ANCHOVETA '!L44</f>
        <v>-667.76200000000006</v>
      </c>
      <c r="L30" s="44">
        <f>'SARDINA COMUN '!L43</f>
        <v>1092.8040000000001</v>
      </c>
      <c r="M30" s="372">
        <f t="shared" si="3"/>
        <v>425.04200000000003</v>
      </c>
      <c r="N30" s="44">
        <f t="shared" si="0"/>
        <v>-667.76200000000006</v>
      </c>
      <c r="O30" s="373" t="s">
        <v>142</v>
      </c>
      <c r="P30" s="374">
        <f t="shared" si="8"/>
        <v>0.86864538252247636</v>
      </c>
      <c r="Q30" s="322">
        <f t="shared" si="5"/>
        <v>-0.20636459944199892</v>
      </c>
      <c r="T30" s="53">
        <v>425.04200000000003</v>
      </c>
      <c r="U30" s="83">
        <f t="shared" si="6"/>
        <v>0</v>
      </c>
      <c r="W30" s="53">
        <v>425.04200000000003</v>
      </c>
      <c r="X30" s="83">
        <f t="shared" si="7"/>
        <v>0</v>
      </c>
    </row>
    <row r="31" spans="2:24" ht="13.15" customHeight="1">
      <c r="B31" s="360">
        <v>28</v>
      </c>
      <c r="C31" s="368" t="s">
        <v>180</v>
      </c>
      <c r="D31" s="369" t="s">
        <v>29</v>
      </c>
      <c r="E31" s="370">
        <f>'ANCHOVETA '!H45+'SARDINA COMUN '!H44</f>
        <v>1.9000000000001904E-2</v>
      </c>
      <c r="F31" s="43">
        <f t="shared" si="1"/>
        <v>7.6000000000007624E-3</v>
      </c>
      <c r="G31" s="43">
        <f>'ANCHOVETA '!I45+'ANCHOVETA '!J45</f>
        <v>0</v>
      </c>
      <c r="H31" s="43">
        <f>'SARDINA COMUN '!I44+'SARDINA COMUN '!J44</f>
        <v>0</v>
      </c>
      <c r="I31" s="371">
        <f t="shared" si="2"/>
        <v>0</v>
      </c>
      <c r="J31" s="372">
        <f>+'ANCHOVETA '!K45+'SARDINA COMUN '!K44</f>
        <v>0</v>
      </c>
      <c r="K31" s="44">
        <f>'ANCHOVETA '!L45</f>
        <v>1.0000000000001563E-2</v>
      </c>
      <c r="L31" s="44">
        <f>'SARDINA COMUN '!L44</f>
        <v>9.0000000000003411E-3</v>
      </c>
      <c r="M31" s="372">
        <f t="shared" si="3"/>
        <v>1.9000000000001904E-2</v>
      </c>
      <c r="N31" s="44" t="str">
        <f t="shared" si="0"/>
        <v>0</v>
      </c>
      <c r="O31" s="377">
        <v>43537</v>
      </c>
      <c r="P31" s="374">
        <f t="shared" si="8"/>
        <v>0</v>
      </c>
      <c r="Q31" s="322">
        <f t="shared" si="5"/>
        <v>0</v>
      </c>
      <c r="T31" s="53">
        <v>1.9000000000001904E-2</v>
      </c>
      <c r="U31" s="83">
        <f t="shared" si="6"/>
        <v>0</v>
      </c>
      <c r="W31" s="53">
        <v>1.9000000000001904E-2</v>
      </c>
      <c r="X31" s="83">
        <f t="shared" si="7"/>
        <v>0</v>
      </c>
    </row>
    <row r="32" spans="2:24" ht="13.15" customHeight="1">
      <c r="B32" s="360">
        <v>29</v>
      </c>
      <c r="C32" s="368" t="s">
        <v>181</v>
      </c>
      <c r="D32" s="369" t="s">
        <v>29</v>
      </c>
      <c r="E32" s="370">
        <f>'ANCHOVETA '!H46+'SARDINA COMUN '!H45</f>
        <v>6567.4650000000001</v>
      </c>
      <c r="F32" s="43">
        <f t="shared" si="1"/>
        <v>2626.9860000000003</v>
      </c>
      <c r="G32" s="43">
        <f>'ANCHOVETA '!I46+'ANCHOVETA '!J46</f>
        <v>2127.5329999999999</v>
      </c>
      <c r="H32" s="43">
        <f>'SARDINA COMUN '!I45+'SARDINA COMUN '!J45</f>
        <v>3165.058</v>
      </c>
      <c r="I32" s="371">
        <f t="shared" si="2"/>
        <v>5292.5910000000003</v>
      </c>
      <c r="J32" s="372">
        <f>+'ANCHOVETA '!K46+'SARDINA COMUN '!K45</f>
        <v>0</v>
      </c>
      <c r="K32" s="44">
        <f>'ANCHOVETA '!L46</f>
        <v>-470.22499999999991</v>
      </c>
      <c r="L32" s="44">
        <f>'SARDINA COMUN '!L45</f>
        <v>1745.0990000000002</v>
      </c>
      <c r="M32" s="372">
        <f t="shared" si="3"/>
        <v>1274.8740000000003</v>
      </c>
      <c r="N32" s="44">
        <f t="shared" si="0"/>
        <v>-470.22499999999991</v>
      </c>
      <c r="O32" s="373" t="s">
        <v>142</v>
      </c>
      <c r="P32" s="374">
        <f t="shared" si="8"/>
        <v>0.80588035109437206</v>
      </c>
      <c r="Q32" s="322">
        <f t="shared" si="5"/>
        <v>-7.1599163451955952E-2</v>
      </c>
      <c r="T32" s="53">
        <v>1399.5420000000001</v>
      </c>
      <c r="U32" s="83">
        <f t="shared" si="6"/>
        <v>124.66799999999989</v>
      </c>
      <c r="W32" s="53">
        <v>1272.8730000000003</v>
      </c>
      <c r="X32" s="83">
        <f t="shared" si="7"/>
        <v>-2.0009999999999764</v>
      </c>
    </row>
    <row r="33" spans="2:24" ht="13.15" customHeight="1">
      <c r="B33" s="360">
        <v>30</v>
      </c>
      <c r="C33" s="368" t="s">
        <v>182</v>
      </c>
      <c r="D33" s="369" t="s">
        <v>29</v>
      </c>
      <c r="E33" s="370">
        <f>'ANCHOVETA '!H47+'SARDINA COMUN '!H46</f>
        <v>9384.1840000000011</v>
      </c>
      <c r="F33" s="43">
        <f t="shared" si="1"/>
        <v>3753.6736000000005</v>
      </c>
      <c r="G33" s="43">
        <f>'ANCHOVETA '!I47+'ANCHOVETA '!J47</f>
        <v>3705.96</v>
      </c>
      <c r="H33" s="43">
        <f>'SARDINA COMUN '!I46+'SARDINA COMUN '!J46</f>
        <v>4244.0569999999998</v>
      </c>
      <c r="I33" s="371">
        <f t="shared" si="2"/>
        <v>7950.0169999999998</v>
      </c>
      <c r="J33" s="372">
        <f>+'ANCHOVETA '!K47+'SARDINA COMUN '!K46</f>
        <v>15.342000000000001</v>
      </c>
      <c r="K33" s="44">
        <f>'ANCHOVETA '!L47</f>
        <v>-1233.9639999999999</v>
      </c>
      <c r="L33" s="44">
        <f>'SARDINA COMUN '!L46</f>
        <v>2652.7890000000007</v>
      </c>
      <c r="M33" s="372">
        <f t="shared" si="3"/>
        <v>1418.8250000000007</v>
      </c>
      <c r="N33" s="44">
        <f t="shared" si="0"/>
        <v>-1233.9639999999999</v>
      </c>
      <c r="O33" s="373" t="s">
        <v>142</v>
      </c>
      <c r="P33" s="374">
        <f t="shared" si="8"/>
        <v>0.84880677957721185</v>
      </c>
      <c r="Q33" s="322">
        <f t="shared" si="5"/>
        <v>-0.13149401162637048</v>
      </c>
      <c r="T33" s="53">
        <v>1440.7410000000004</v>
      </c>
      <c r="U33" s="83">
        <f t="shared" si="6"/>
        <v>21.915999999999713</v>
      </c>
      <c r="W33" s="53">
        <v>1425.1520000000005</v>
      </c>
      <c r="X33" s="83">
        <f t="shared" si="7"/>
        <v>6.3269999999997708</v>
      </c>
    </row>
    <row r="34" spans="2:24" ht="13.15" customHeight="1">
      <c r="B34" s="360">
        <v>31</v>
      </c>
      <c r="C34" s="374" t="s">
        <v>183</v>
      </c>
      <c r="D34" s="369" t="s">
        <v>29</v>
      </c>
      <c r="E34" s="370">
        <f>'ANCHOVETA '!H48+'SARDINA COMUN '!H47</f>
        <v>2.4E-2</v>
      </c>
      <c r="F34" s="43">
        <f t="shared" si="1"/>
        <v>9.6000000000000009E-3</v>
      </c>
      <c r="G34" s="43">
        <f>'ANCHOVETA '!I48+'ANCHOVETA '!J48</f>
        <v>0</v>
      </c>
      <c r="H34" s="43">
        <f>'SARDINA COMUN '!I47+'SARDINA COMUN '!J47</f>
        <v>0</v>
      </c>
      <c r="I34" s="371">
        <f t="shared" si="2"/>
        <v>0</v>
      </c>
      <c r="J34" s="372">
        <f>+'ANCHOVETA '!K48+'SARDINA COMUN '!K47</f>
        <v>0</v>
      </c>
      <c r="K34" s="44">
        <f>'ANCHOVETA '!L48</f>
        <v>6.0000000000000001E-3</v>
      </c>
      <c r="L34" s="44">
        <f>'SARDINA COMUN '!L47</f>
        <v>1.7999999999999999E-2</v>
      </c>
      <c r="M34" s="372">
        <f t="shared" si="3"/>
        <v>2.4E-2</v>
      </c>
      <c r="N34" s="44" t="str">
        <f t="shared" si="0"/>
        <v>0</v>
      </c>
      <c r="O34" s="449" t="s">
        <v>142</v>
      </c>
      <c r="P34" s="374">
        <f t="shared" si="8"/>
        <v>0</v>
      </c>
      <c r="Q34" s="322">
        <f t="shared" si="5"/>
        <v>0</v>
      </c>
      <c r="T34" s="53">
        <v>2.4E-2</v>
      </c>
      <c r="U34" s="83">
        <f t="shared" si="6"/>
        <v>0</v>
      </c>
      <c r="W34" s="53">
        <v>2.4E-2</v>
      </c>
      <c r="X34" s="83">
        <f t="shared" si="7"/>
        <v>0</v>
      </c>
    </row>
    <row r="35" spans="2:24" ht="13.15" customHeight="1">
      <c r="B35" s="360">
        <v>32</v>
      </c>
      <c r="C35" s="368" t="s">
        <v>184</v>
      </c>
      <c r="D35" s="369" t="s">
        <v>29</v>
      </c>
      <c r="E35" s="370">
        <f>'ANCHOVETA '!H49+'SARDINA COMUN '!H48</f>
        <v>444.25099999999998</v>
      </c>
      <c r="F35" s="43">
        <f t="shared" si="1"/>
        <v>177.7004</v>
      </c>
      <c r="G35" s="43">
        <f>'ANCHOVETA '!I49+'ANCHOVETA '!J49</f>
        <v>166.167</v>
      </c>
      <c r="H35" s="43">
        <f>'SARDINA COMUN '!I48+'SARDINA COMUN '!J48</f>
        <v>147.90100000000001</v>
      </c>
      <c r="I35" s="371">
        <f t="shared" si="2"/>
        <v>314.06799999999998</v>
      </c>
      <c r="J35" s="372">
        <f>+'ANCHOVETA '!K49+'SARDINA COMUN '!K48</f>
        <v>0</v>
      </c>
      <c r="K35" s="44">
        <f>'ANCHOVETA '!L49</f>
        <v>35.367999999999995</v>
      </c>
      <c r="L35" s="44">
        <f>'SARDINA COMUN '!L48</f>
        <v>94.814999999999998</v>
      </c>
      <c r="M35" s="372">
        <f t="shared" si="3"/>
        <v>130.18299999999999</v>
      </c>
      <c r="N35" s="44" t="str">
        <f t="shared" si="0"/>
        <v>0</v>
      </c>
      <c r="O35" s="373" t="s">
        <v>142</v>
      </c>
      <c r="P35" s="374">
        <f t="shared" si="8"/>
        <v>0.70696070464669747</v>
      </c>
      <c r="Q35" s="322">
        <f t="shared" si="5"/>
        <v>0</v>
      </c>
      <c r="T35" s="53">
        <v>143.26300000000001</v>
      </c>
      <c r="U35" s="83">
        <f t="shared" si="6"/>
        <v>13.080000000000013</v>
      </c>
      <c r="W35" s="53">
        <v>109.68299999999999</v>
      </c>
      <c r="X35" s="83">
        <f t="shared" si="7"/>
        <v>-20.5</v>
      </c>
    </row>
    <row r="36" spans="2:24" ht="13.15" customHeight="1">
      <c r="B36" s="360">
        <v>33</v>
      </c>
      <c r="C36" s="368" t="s">
        <v>185</v>
      </c>
      <c r="D36" s="369" t="s">
        <v>29</v>
      </c>
      <c r="E36" s="370">
        <f>'ANCHOVETA '!H50+'SARDINA COMUN '!H49</f>
        <v>1981.7089999999998</v>
      </c>
      <c r="F36" s="43">
        <f t="shared" si="1"/>
        <v>792.68359999999996</v>
      </c>
      <c r="G36" s="43">
        <f>'ANCHOVETA '!I50+'ANCHOVETA '!J50</f>
        <v>237.17400000000001</v>
      </c>
      <c r="H36" s="43">
        <f>'SARDINA COMUN '!I49+'SARDINA COMUN '!J49</f>
        <v>801.78599999999994</v>
      </c>
      <c r="I36" s="371">
        <f t="shared" si="2"/>
        <v>1038.96</v>
      </c>
      <c r="J36" s="372">
        <f>+'ANCHOVETA '!K50+'SARDINA COMUN '!K49</f>
        <v>0</v>
      </c>
      <c r="K36" s="44">
        <f>'ANCHOVETA '!L50</f>
        <v>416.56200000000001</v>
      </c>
      <c r="L36" s="44">
        <f>'SARDINA COMUN '!L49</f>
        <v>526.18700000000001</v>
      </c>
      <c r="M36" s="372">
        <f t="shared" si="3"/>
        <v>942.74900000000002</v>
      </c>
      <c r="N36" s="44" t="str">
        <f t="shared" si="0"/>
        <v>0</v>
      </c>
      <c r="O36" s="373" t="s">
        <v>142</v>
      </c>
      <c r="P36" s="374">
        <f t="shared" si="8"/>
        <v>0.52427475476974683</v>
      </c>
      <c r="Q36" s="322">
        <f t="shared" si="5"/>
        <v>0</v>
      </c>
      <c r="T36" s="53">
        <v>942.74900000000002</v>
      </c>
      <c r="U36" s="83">
        <f t="shared" si="6"/>
        <v>0</v>
      </c>
      <c r="W36" s="53">
        <v>442.74900000000002</v>
      </c>
      <c r="X36" s="83">
        <f t="shared" si="7"/>
        <v>-500</v>
      </c>
    </row>
    <row r="37" spans="2:24" ht="13.15" customHeight="1">
      <c r="B37" s="360">
        <v>34</v>
      </c>
      <c r="C37" s="368" t="s">
        <v>186</v>
      </c>
      <c r="D37" s="369" t="s">
        <v>29</v>
      </c>
      <c r="E37" s="370">
        <f>'ANCHOVETA '!H51+'SARDINA COMUN '!H50</f>
        <v>299.58599999999996</v>
      </c>
      <c r="F37" s="43">
        <f t="shared" si="1"/>
        <v>119.83439999999999</v>
      </c>
      <c r="G37" s="43">
        <f>'ANCHOVETA '!I51+'ANCHOVETA '!J51</f>
        <v>190.09200000000001</v>
      </c>
      <c r="H37" s="43">
        <f>'SARDINA COMUN '!I50+'SARDINA COMUN '!J50</f>
        <v>78.768000000000001</v>
      </c>
      <c r="I37" s="371">
        <f t="shared" si="2"/>
        <v>268.86</v>
      </c>
      <c r="J37" s="372">
        <f>+'ANCHOVETA '!K51+'SARDINA COMUN '!K50</f>
        <v>0</v>
      </c>
      <c r="K37" s="44">
        <f>'ANCHOVETA '!L51</f>
        <v>25.438999999999993</v>
      </c>
      <c r="L37" s="44">
        <f>'SARDINA COMUN '!L50</f>
        <v>5.2869999999999493</v>
      </c>
      <c r="M37" s="372">
        <f t="shared" si="3"/>
        <v>30.725999999999942</v>
      </c>
      <c r="N37" s="44" t="str">
        <f t="shared" si="0"/>
        <v>0</v>
      </c>
      <c r="O37" s="373" t="s">
        <v>142</v>
      </c>
      <c r="P37" s="374">
        <f t="shared" si="8"/>
        <v>0.89743846508181313</v>
      </c>
      <c r="Q37" s="322">
        <f t="shared" si="5"/>
        <v>0</v>
      </c>
      <c r="T37" s="53">
        <v>210.72599999999994</v>
      </c>
      <c r="U37" s="83">
        <f t="shared" si="6"/>
        <v>180</v>
      </c>
      <c r="W37" s="53">
        <v>30.725999999999942</v>
      </c>
      <c r="X37" s="83">
        <f t="shared" si="7"/>
        <v>0</v>
      </c>
    </row>
    <row r="38" spans="2:24" ht="13.15" customHeight="1">
      <c r="B38" s="360">
        <v>35</v>
      </c>
      <c r="C38" s="368" t="s">
        <v>187</v>
      </c>
      <c r="D38" s="369" t="s">
        <v>29</v>
      </c>
      <c r="E38" s="370">
        <f>'ANCHOVETA '!H52+'SARDINA COMUN '!H51</f>
        <v>4955.357</v>
      </c>
      <c r="F38" s="43">
        <f t="shared" si="1"/>
        <v>1982.1428000000001</v>
      </c>
      <c r="G38" s="43">
        <f>'ANCHOVETA '!I52+'ANCHOVETA '!J52</f>
        <v>1765.999</v>
      </c>
      <c r="H38" s="43">
        <f>'SARDINA COMUN '!I51+'SARDINA COMUN '!J51</f>
        <v>1957.1310000000001</v>
      </c>
      <c r="I38" s="371">
        <f t="shared" si="2"/>
        <v>3723.13</v>
      </c>
      <c r="J38" s="372">
        <f>+'ANCHOVETA '!K52+'SARDINA COMUN '!K51</f>
        <v>0</v>
      </c>
      <c r="K38" s="44">
        <f>'ANCHOVETA '!L52</f>
        <v>-501.04700000000003</v>
      </c>
      <c r="L38" s="44">
        <f>'SARDINA COMUN '!L51</f>
        <v>1733.2740000000001</v>
      </c>
      <c r="M38" s="372">
        <f t="shared" si="3"/>
        <v>1232.2270000000001</v>
      </c>
      <c r="N38" s="44">
        <f t="shared" si="0"/>
        <v>-501.04700000000003</v>
      </c>
      <c r="O38" s="373" t="s">
        <v>142</v>
      </c>
      <c r="P38" s="374">
        <f t="shared" si="8"/>
        <v>0.75133436400243214</v>
      </c>
      <c r="Q38" s="322">
        <f t="shared" si="5"/>
        <v>-0.10111219030233343</v>
      </c>
      <c r="T38" s="53">
        <v>1232.2270000000001</v>
      </c>
      <c r="U38" s="83">
        <f t="shared" si="6"/>
        <v>0</v>
      </c>
      <c r="W38" s="53">
        <v>1232.2270000000001</v>
      </c>
      <c r="X38" s="83">
        <f t="shared" si="7"/>
        <v>0</v>
      </c>
    </row>
    <row r="39" spans="2:24" ht="13.15" customHeight="1">
      <c r="B39" s="360">
        <v>36</v>
      </c>
      <c r="C39" s="368" t="s">
        <v>188</v>
      </c>
      <c r="D39" s="369" t="s">
        <v>29</v>
      </c>
      <c r="E39" s="370">
        <f>'ANCHOVETA '!H53+'SARDINA COMUN '!H52</f>
        <v>2249.52</v>
      </c>
      <c r="F39" s="43">
        <f t="shared" si="1"/>
        <v>899.80799999999999</v>
      </c>
      <c r="G39" s="43">
        <f>'ANCHOVETA '!I53+'ANCHOVETA '!J53</f>
        <v>395.48200000000003</v>
      </c>
      <c r="H39" s="43">
        <f>'SARDINA COMUN '!I52+'SARDINA COMUN '!J52</f>
        <v>1587.797</v>
      </c>
      <c r="I39" s="371">
        <f t="shared" si="2"/>
        <v>1983.279</v>
      </c>
      <c r="J39" s="372">
        <f>+'ANCHOVETA '!K53+'SARDINA COMUN '!K52</f>
        <v>0</v>
      </c>
      <c r="K39" s="44">
        <f>'ANCHOVETA '!L53</f>
        <v>197.089</v>
      </c>
      <c r="L39" s="44">
        <f>'SARDINA COMUN '!L52</f>
        <v>69.152000000000044</v>
      </c>
      <c r="M39" s="372">
        <f t="shared" si="3"/>
        <v>266.24100000000004</v>
      </c>
      <c r="N39" s="44" t="str">
        <f t="shared" si="0"/>
        <v>0</v>
      </c>
      <c r="O39" s="373" t="s">
        <v>142</v>
      </c>
      <c r="P39" s="374">
        <f t="shared" si="8"/>
        <v>0.88164541768910698</v>
      </c>
      <c r="Q39" s="322">
        <f t="shared" si="5"/>
        <v>0</v>
      </c>
      <c r="T39" s="53">
        <v>266.24100000000004</v>
      </c>
      <c r="U39" s="83">
        <f t="shared" si="6"/>
        <v>0</v>
      </c>
      <c r="W39" s="53">
        <v>266.24100000000004</v>
      </c>
      <c r="X39" s="83">
        <f t="shared" si="7"/>
        <v>0</v>
      </c>
    </row>
    <row r="40" spans="2:24" ht="13.15" customHeight="1">
      <c r="B40" s="360">
        <v>37</v>
      </c>
      <c r="C40" s="368" t="s">
        <v>189</v>
      </c>
      <c r="D40" s="369" t="s">
        <v>29</v>
      </c>
      <c r="E40" s="370">
        <f>'ANCHOVETA '!H54+'SARDINA COMUN '!H53</f>
        <v>1336.614</v>
      </c>
      <c r="F40" s="43">
        <f t="shared" si="1"/>
        <v>534.64560000000006</v>
      </c>
      <c r="G40" s="43">
        <f>'ANCHOVETA '!I54+'ANCHOVETA '!J54</f>
        <v>196.80199999999999</v>
      </c>
      <c r="H40" s="43">
        <f>'SARDINA COMUN '!I53+'SARDINA COMUN '!J53</f>
        <v>981.12699999999995</v>
      </c>
      <c r="I40" s="371">
        <f t="shared" si="2"/>
        <v>1177.9289999999999</v>
      </c>
      <c r="J40" s="372">
        <f>+'ANCHOVETA '!K54+'SARDINA COMUN '!K53</f>
        <v>0</v>
      </c>
      <c r="K40" s="44">
        <f>'ANCHOVETA '!L54</f>
        <v>155.29100000000003</v>
      </c>
      <c r="L40" s="44">
        <f>'SARDINA COMUN '!L53</f>
        <v>3.3940000000000055</v>
      </c>
      <c r="M40" s="372">
        <f t="shared" si="3"/>
        <v>158.68500000000003</v>
      </c>
      <c r="N40" s="44" t="str">
        <f t="shared" si="0"/>
        <v>0</v>
      </c>
      <c r="O40" s="373" t="s">
        <v>142</v>
      </c>
      <c r="P40" s="374">
        <f t="shared" si="8"/>
        <v>0.88127836458394104</v>
      </c>
      <c r="Q40" s="322">
        <f t="shared" si="5"/>
        <v>0</v>
      </c>
      <c r="T40" s="53">
        <v>158.68500000000003</v>
      </c>
      <c r="U40" s="83">
        <f t="shared" si="6"/>
        <v>0</v>
      </c>
      <c r="W40" s="53">
        <v>158.68500000000003</v>
      </c>
      <c r="X40" s="83">
        <f t="shared" si="7"/>
        <v>0</v>
      </c>
    </row>
    <row r="41" spans="2:24" ht="13.15" customHeight="1">
      <c r="B41" s="360">
        <v>38</v>
      </c>
      <c r="C41" s="368" t="s">
        <v>190</v>
      </c>
      <c r="D41" s="369" t="s">
        <v>29</v>
      </c>
      <c r="E41" s="370">
        <f>'ANCHOVETA '!H55+'SARDINA COMUN '!H54</f>
        <v>4182.2079999999996</v>
      </c>
      <c r="F41" s="43">
        <f t="shared" si="1"/>
        <v>1672.8832</v>
      </c>
      <c r="G41" s="43">
        <f>'ANCHOVETA '!I55+'ANCHOVETA '!J55</f>
        <v>1299.259</v>
      </c>
      <c r="H41" s="43">
        <f>'SARDINA COMUN '!I54+'SARDINA COMUN '!J54</f>
        <v>2083.9470000000001</v>
      </c>
      <c r="I41" s="371">
        <f t="shared" si="2"/>
        <v>3383.2060000000001</v>
      </c>
      <c r="J41" s="372">
        <f>+'ANCHOVETA '!K55+'SARDINA COMUN '!K54</f>
        <v>0</v>
      </c>
      <c r="K41" s="44">
        <f>'ANCHOVETA '!L55</f>
        <v>-197.57500000000005</v>
      </c>
      <c r="L41" s="44">
        <f>'SARDINA COMUN '!L54</f>
        <v>996.57699999999977</v>
      </c>
      <c r="M41" s="372">
        <f t="shared" si="3"/>
        <v>799.00199999999973</v>
      </c>
      <c r="N41" s="44">
        <f t="shared" si="0"/>
        <v>-197.57500000000005</v>
      </c>
      <c r="O41" s="373" t="s">
        <v>142</v>
      </c>
      <c r="P41" s="374">
        <f t="shared" si="8"/>
        <v>0.80895211333343542</v>
      </c>
      <c r="Q41" s="322">
        <f t="shared" si="5"/>
        <v>-4.7241791895572878E-2</v>
      </c>
      <c r="T41" s="53">
        <v>799.00199999999973</v>
      </c>
      <c r="U41" s="83">
        <f t="shared" si="6"/>
        <v>0</v>
      </c>
      <c r="W41" s="53">
        <v>799.00199999999973</v>
      </c>
      <c r="X41" s="83">
        <f t="shared" si="7"/>
        <v>0</v>
      </c>
    </row>
    <row r="42" spans="2:24" ht="13.15" customHeight="1">
      <c r="B42" s="360">
        <v>39</v>
      </c>
      <c r="C42" s="368" t="s">
        <v>191</v>
      </c>
      <c r="D42" s="369" t="s">
        <v>29</v>
      </c>
      <c r="E42" s="370">
        <f>'ANCHOVETA '!H56+'SARDINA COMUN '!H55</f>
        <v>408.197</v>
      </c>
      <c r="F42" s="43">
        <f t="shared" si="1"/>
        <v>163.27880000000002</v>
      </c>
      <c r="G42" s="43">
        <f>'ANCHOVETA '!I56+'ANCHOVETA '!J56</f>
        <v>72.566999999999993</v>
      </c>
      <c r="H42" s="43">
        <f>'SARDINA COMUN '!I55+'SARDINA COMUN '!J55</f>
        <v>267.26900000000001</v>
      </c>
      <c r="I42" s="371">
        <f t="shared" si="2"/>
        <v>339.83600000000001</v>
      </c>
      <c r="J42" s="372">
        <f>+'ANCHOVETA '!K56+'SARDINA COMUN '!K55</f>
        <v>0</v>
      </c>
      <c r="K42" s="44">
        <f>'ANCHOVETA '!L56</f>
        <v>14.204999999999998</v>
      </c>
      <c r="L42" s="44">
        <f>'SARDINA COMUN '!L55</f>
        <v>54.156000000000006</v>
      </c>
      <c r="M42" s="372">
        <f t="shared" si="3"/>
        <v>68.361000000000004</v>
      </c>
      <c r="N42" s="44" t="str">
        <f t="shared" si="0"/>
        <v>0</v>
      </c>
      <c r="O42" s="373" t="s">
        <v>142</v>
      </c>
      <c r="P42" s="374">
        <f t="shared" si="8"/>
        <v>0.83252939144579707</v>
      </c>
      <c r="Q42" s="322">
        <f t="shared" si="5"/>
        <v>0</v>
      </c>
      <c r="T42" s="53">
        <v>68.361000000000004</v>
      </c>
      <c r="U42" s="83">
        <f t="shared" si="6"/>
        <v>0</v>
      </c>
      <c r="W42" s="53">
        <v>68.361000000000004</v>
      </c>
      <c r="X42" s="83">
        <f t="shared" si="7"/>
        <v>0</v>
      </c>
    </row>
    <row r="43" spans="2:24" ht="13.15" customHeight="1">
      <c r="B43" s="360">
        <v>40</v>
      </c>
      <c r="C43" s="368" t="s">
        <v>192</v>
      </c>
      <c r="D43" s="369" t="s">
        <v>29</v>
      </c>
      <c r="E43" s="370">
        <f>'ANCHOVETA '!H57+'SARDINA COMUN '!H56</f>
        <v>1927.7329999999999</v>
      </c>
      <c r="F43" s="43">
        <f t="shared" si="1"/>
        <v>771.09320000000002</v>
      </c>
      <c r="G43" s="43">
        <f>'ANCHOVETA '!I57+'ANCHOVETA '!J57</f>
        <v>912.08500000000004</v>
      </c>
      <c r="H43" s="43">
        <f>'SARDINA COMUN '!I56+'SARDINA COMUN '!J56</f>
        <v>656.85599999999999</v>
      </c>
      <c r="I43" s="371">
        <f t="shared" si="2"/>
        <v>1568.941</v>
      </c>
      <c r="J43" s="372">
        <f>+'ANCHOVETA '!K57+'SARDINA COMUN '!K56</f>
        <v>0</v>
      </c>
      <c r="K43" s="44">
        <f>'ANCHOVETA '!L57</f>
        <v>-404.27900000000005</v>
      </c>
      <c r="L43" s="44">
        <f>'SARDINA COMUN '!L56</f>
        <v>763.07099999999991</v>
      </c>
      <c r="M43" s="372">
        <f t="shared" si="3"/>
        <v>358.79199999999986</v>
      </c>
      <c r="N43" s="44">
        <f t="shared" si="0"/>
        <v>-404.27900000000005</v>
      </c>
      <c r="O43" s="373" t="s">
        <v>142</v>
      </c>
      <c r="P43" s="374">
        <f t="shared" si="8"/>
        <v>0.81387878923066637</v>
      </c>
      <c r="Q43" s="322">
        <f t="shared" si="5"/>
        <v>-0.20971732081154396</v>
      </c>
      <c r="T43" s="53">
        <v>358.79199999999986</v>
      </c>
      <c r="U43" s="83">
        <f t="shared" si="6"/>
        <v>0</v>
      </c>
      <c r="W43" s="53">
        <v>358.79199999999986</v>
      </c>
      <c r="X43" s="83">
        <f t="shared" si="7"/>
        <v>0</v>
      </c>
    </row>
    <row r="44" spans="2:24" ht="13.15" customHeight="1">
      <c r="B44" s="360">
        <v>41</v>
      </c>
      <c r="C44" s="368" t="s">
        <v>193</v>
      </c>
      <c r="D44" s="369" t="s">
        <v>29</v>
      </c>
      <c r="E44" s="370">
        <f>'ANCHOVETA '!H58+'SARDINA COMUN '!H57</f>
        <v>4054.12</v>
      </c>
      <c r="F44" s="43">
        <f t="shared" si="1"/>
        <v>1621.6480000000001</v>
      </c>
      <c r="G44" s="43">
        <f>'ANCHOVETA '!I58+'ANCHOVETA '!J58</f>
        <v>1351.7809999999999</v>
      </c>
      <c r="H44" s="43">
        <f>'SARDINA COMUN '!I57+'SARDINA COMUN '!J57</f>
        <v>1587.287</v>
      </c>
      <c r="I44" s="371">
        <f t="shared" si="2"/>
        <v>2939.0680000000002</v>
      </c>
      <c r="J44" s="372">
        <f>+'ANCHOVETA '!K58+'SARDINA COMUN '!K57</f>
        <v>0</v>
      </c>
      <c r="K44" s="44">
        <f>'ANCHOVETA '!L58</f>
        <v>-283.83899999999994</v>
      </c>
      <c r="L44" s="44">
        <f>'SARDINA COMUN '!L57</f>
        <v>1398.8909999999998</v>
      </c>
      <c r="M44" s="372">
        <f t="shared" si="3"/>
        <v>1115.0519999999999</v>
      </c>
      <c r="N44" s="44">
        <f t="shared" si="0"/>
        <v>-283.83899999999994</v>
      </c>
      <c r="O44" s="373" t="s">
        <v>142</v>
      </c>
      <c r="P44" s="374">
        <f t="shared" si="8"/>
        <v>0.72495831401142552</v>
      </c>
      <c r="Q44" s="322">
        <f t="shared" si="5"/>
        <v>-7.0012481130306933E-2</v>
      </c>
      <c r="T44" s="53">
        <v>1115.0519999999999</v>
      </c>
      <c r="U44" s="83">
        <f t="shared" si="6"/>
        <v>0</v>
      </c>
      <c r="W44" s="53">
        <v>1115.0519999999999</v>
      </c>
      <c r="X44" s="83">
        <f t="shared" si="7"/>
        <v>0</v>
      </c>
    </row>
    <row r="45" spans="2:24" ht="13.15" customHeight="1">
      <c r="B45" s="360">
        <v>42</v>
      </c>
      <c r="C45" s="368" t="s">
        <v>194</v>
      </c>
      <c r="D45" s="369" t="s">
        <v>29</v>
      </c>
      <c r="E45" s="370">
        <f>'ANCHOVETA '!H59+'SARDINA COMUN '!H58</f>
        <v>1546.2660000000001</v>
      </c>
      <c r="F45" s="43">
        <f t="shared" si="1"/>
        <v>618.5064000000001</v>
      </c>
      <c r="G45" s="43">
        <f>'ANCHOVETA '!I59+'ANCHOVETA '!J59</f>
        <v>293.56200000000001</v>
      </c>
      <c r="H45" s="43">
        <f>'SARDINA COMUN '!I58+'SARDINA COMUN '!J58</f>
        <v>1065.5740000000001</v>
      </c>
      <c r="I45" s="371">
        <f t="shared" si="2"/>
        <v>1359.136</v>
      </c>
      <c r="J45" s="372">
        <f>+'ANCHOVETA '!K59+'SARDINA COMUN '!K58</f>
        <v>35.6</v>
      </c>
      <c r="K45" s="44">
        <f>'ANCHOVETA '!L59</f>
        <v>104.67500000000003</v>
      </c>
      <c r="L45" s="44">
        <f>'SARDINA COMUN '!L58</f>
        <v>46.855000000000018</v>
      </c>
      <c r="M45" s="372">
        <f t="shared" si="3"/>
        <v>151.53000000000003</v>
      </c>
      <c r="N45" s="44" t="str">
        <f t="shared" si="0"/>
        <v>0</v>
      </c>
      <c r="O45" s="373" t="s">
        <v>142</v>
      </c>
      <c r="P45" s="374">
        <f t="shared" si="8"/>
        <v>0.90200263085394095</v>
      </c>
      <c r="Q45" s="322">
        <f t="shared" si="5"/>
        <v>0</v>
      </c>
      <c r="T45" s="53">
        <v>151.53000000000003</v>
      </c>
      <c r="U45" s="83">
        <f t="shared" si="6"/>
        <v>0</v>
      </c>
      <c r="W45" s="53">
        <v>151.53000000000003</v>
      </c>
      <c r="X45" s="83">
        <f t="shared" si="7"/>
        <v>0</v>
      </c>
    </row>
    <row r="46" spans="2:24" ht="13.15" customHeight="1">
      <c r="B46" s="360">
        <v>43</v>
      </c>
      <c r="C46" s="368" t="s">
        <v>195</v>
      </c>
      <c r="D46" s="369" t="s">
        <v>29</v>
      </c>
      <c r="E46" s="370">
        <f>'ANCHOVETA '!H60+'SARDINA COMUN '!H59</f>
        <v>4976.0889999999999</v>
      </c>
      <c r="F46" s="43">
        <f t="shared" si="1"/>
        <v>1990.4356</v>
      </c>
      <c r="G46" s="43">
        <f>'ANCHOVETA '!I60+'ANCHOVETA '!J60</f>
        <v>1495.4</v>
      </c>
      <c r="H46" s="43">
        <f>'SARDINA COMUN '!I59+'SARDINA COMUN '!J59</f>
        <v>3273.9110000000001</v>
      </c>
      <c r="I46" s="371">
        <f t="shared" si="2"/>
        <v>4769.3109999999997</v>
      </c>
      <c r="J46" s="372">
        <f>+'ANCHOVETA '!K60+'SARDINA COMUN '!K59</f>
        <v>0</v>
      </c>
      <c r="K46" s="44">
        <f>'ANCHOVETA '!L60</f>
        <v>-170.63000000000011</v>
      </c>
      <c r="L46" s="44">
        <f>'SARDINA COMUN '!L59</f>
        <v>377.4079999999999</v>
      </c>
      <c r="M46" s="372">
        <f t="shared" si="3"/>
        <v>206.77799999999979</v>
      </c>
      <c r="N46" s="44">
        <f t="shared" si="0"/>
        <v>-170.63000000000011</v>
      </c>
      <c r="O46" s="373" t="s">
        <v>142</v>
      </c>
      <c r="P46" s="374">
        <f t="shared" si="8"/>
        <v>0.95844567892575872</v>
      </c>
      <c r="Q46" s="322">
        <f t="shared" si="5"/>
        <v>-3.4289981549767319E-2</v>
      </c>
      <c r="T46" s="53">
        <v>360.62099999999964</v>
      </c>
      <c r="U46" s="83">
        <f t="shared" si="6"/>
        <v>153.84299999999985</v>
      </c>
      <c r="W46" s="53">
        <v>259.77799999999979</v>
      </c>
      <c r="X46" s="83">
        <f t="shared" si="7"/>
        <v>53</v>
      </c>
    </row>
    <row r="47" spans="2:24" ht="13.15" customHeight="1">
      <c r="B47" s="360">
        <v>44</v>
      </c>
      <c r="C47" s="368" t="s">
        <v>196</v>
      </c>
      <c r="D47" s="369" t="s">
        <v>29</v>
      </c>
      <c r="E47" s="370">
        <f>'ANCHOVETA '!H61+'SARDINA COMUN '!H60</f>
        <v>7.2049999999999992</v>
      </c>
      <c r="F47" s="43">
        <f t="shared" si="1"/>
        <v>2.8819999999999997</v>
      </c>
      <c r="G47" s="43">
        <f>'ANCHOVETA '!I61+'ANCHOVETA '!J61</f>
        <v>0</v>
      </c>
      <c r="H47" s="43">
        <f>'SARDINA COMUN '!I60+'SARDINA COMUN '!J60</f>
        <v>0</v>
      </c>
      <c r="I47" s="371">
        <f t="shared" si="2"/>
        <v>0</v>
      </c>
      <c r="J47" s="372">
        <f>+'ANCHOVETA '!K61+'SARDINA COMUN '!K60</f>
        <v>0</v>
      </c>
      <c r="K47" s="44">
        <f>'ANCHOVETA '!L61</f>
        <v>2.6800000000000006</v>
      </c>
      <c r="L47" s="44">
        <f>'SARDINA COMUN '!L60</f>
        <v>4.5249999999999986</v>
      </c>
      <c r="M47" s="372">
        <f t="shared" si="3"/>
        <v>7.2049999999999992</v>
      </c>
      <c r="N47" s="44" t="str">
        <f t="shared" si="0"/>
        <v>0</v>
      </c>
      <c r="O47" s="377">
        <v>43532</v>
      </c>
      <c r="P47" s="374">
        <f t="shared" si="8"/>
        <v>0</v>
      </c>
      <c r="Q47" s="322">
        <f t="shared" si="5"/>
        <v>0</v>
      </c>
      <c r="T47" s="53">
        <v>7.2049999999999992</v>
      </c>
      <c r="U47" s="83">
        <f t="shared" si="6"/>
        <v>0</v>
      </c>
      <c r="W47" s="53">
        <v>7.2049999999999992</v>
      </c>
      <c r="X47" s="83">
        <f t="shared" si="7"/>
        <v>0</v>
      </c>
    </row>
    <row r="48" spans="2:24" ht="13.15" customHeight="1">
      <c r="B48" s="360">
        <v>45</v>
      </c>
      <c r="C48" s="368" t="s">
        <v>197</v>
      </c>
      <c r="D48" s="369" t="s">
        <v>29</v>
      </c>
      <c r="E48" s="370">
        <f>'ANCHOVETA '!H62+'SARDINA COMUN '!H61</f>
        <v>7502.9319999999998</v>
      </c>
      <c r="F48" s="43">
        <f t="shared" si="1"/>
        <v>3001.1728000000003</v>
      </c>
      <c r="G48" s="43">
        <f>'ANCHOVETA '!I62+'ANCHOVETA '!J62</f>
        <v>3136.616</v>
      </c>
      <c r="H48" s="43">
        <f>'SARDINA COMUN '!I61+'SARDINA COMUN '!J61</f>
        <v>3024.6840000000002</v>
      </c>
      <c r="I48" s="371">
        <f t="shared" si="2"/>
        <v>6161.3</v>
      </c>
      <c r="J48" s="372">
        <f>+'ANCHOVETA '!K62+'SARDINA COMUN '!K61</f>
        <v>0</v>
      </c>
      <c r="K48" s="44">
        <f>'ANCHOVETA '!L62</f>
        <v>-1160.18</v>
      </c>
      <c r="L48" s="44">
        <f>'SARDINA COMUN '!L61</f>
        <v>2501.8119999999999</v>
      </c>
      <c r="M48" s="372">
        <f t="shared" si="3"/>
        <v>1341.6319999999998</v>
      </c>
      <c r="N48" s="44">
        <f t="shared" si="0"/>
        <v>-1160.18</v>
      </c>
      <c r="O48" s="373" t="s">
        <v>142</v>
      </c>
      <c r="P48" s="374">
        <f t="shared" si="8"/>
        <v>0.82118563782798515</v>
      </c>
      <c r="Q48" s="322">
        <f t="shared" si="5"/>
        <v>-0.15463021656067255</v>
      </c>
      <c r="T48" s="53">
        <v>1341.6319999999998</v>
      </c>
      <c r="U48" s="83">
        <f t="shared" si="6"/>
        <v>0</v>
      </c>
      <c r="W48" s="53">
        <v>1341.6319999999998</v>
      </c>
      <c r="X48" s="83">
        <f t="shared" si="7"/>
        <v>0</v>
      </c>
    </row>
    <row r="49" spans="2:24" ht="13.15" customHeight="1">
      <c r="B49" s="360">
        <v>46</v>
      </c>
      <c r="C49" s="368" t="s">
        <v>198</v>
      </c>
      <c r="D49" s="369" t="s">
        <v>29</v>
      </c>
      <c r="E49" s="370">
        <f>'ANCHOVETA '!H63+'SARDINA COMUN '!H62</f>
        <v>1817.942</v>
      </c>
      <c r="F49" s="43">
        <f t="shared" si="1"/>
        <v>727.17680000000007</v>
      </c>
      <c r="G49" s="43">
        <f>'ANCHOVETA '!I63+'ANCHOVETA '!J63</f>
        <v>316.58699999999999</v>
      </c>
      <c r="H49" s="43">
        <f>'SARDINA COMUN '!I62+'SARDINA COMUN '!J62</f>
        <v>496.54300000000001</v>
      </c>
      <c r="I49" s="371">
        <f t="shared" si="2"/>
        <v>813.13</v>
      </c>
      <c r="J49" s="372">
        <f>+'ANCHOVETA '!K63+'SARDINA COMUN '!K62</f>
        <v>0</v>
      </c>
      <c r="K49" s="44">
        <f>'ANCHOVETA '!L63</f>
        <v>162.298</v>
      </c>
      <c r="L49" s="44">
        <f>'SARDINA COMUN '!L62</f>
        <v>842.51400000000001</v>
      </c>
      <c r="M49" s="372">
        <f t="shared" si="3"/>
        <v>1004.812</v>
      </c>
      <c r="N49" s="44" t="str">
        <f t="shared" si="0"/>
        <v>0</v>
      </c>
      <c r="O49" s="373" t="s">
        <v>142</v>
      </c>
      <c r="P49" s="374">
        <f t="shared" si="8"/>
        <v>0.44728049629746164</v>
      </c>
      <c r="Q49" s="322">
        <f t="shared" si="5"/>
        <v>0</v>
      </c>
      <c r="T49" s="53">
        <v>1004.812</v>
      </c>
      <c r="U49" s="83">
        <f t="shared" si="6"/>
        <v>0</v>
      </c>
      <c r="W49" s="53">
        <v>1004.812</v>
      </c>
      <c r="X49" s="83">
        <f t="shared" si="7"/>
        <v>0</v>
      </c>
    </row>
    <row r="50" spans="2:24" ht="13.15" customHeight="1">
      <c r="B50" s="360">
        <v>47</v>
      </c>
      <c r="C50" s="368" t="s">
        <v>199</v>
      </c>
      <c r="D50" s="369" t="s">
        <v>29</v>
      </c>
      <c r="E50" s="370">
        <f>'ANCHOVETA '!H64+'SARDINA COMUN '!H63</f>
        <v>8397.848</v>
      </c>
      <c r="F50" s="43">
        <f t="shared" si="1"/>
        <v>3359.1392000000001</v>
      </c>
      <c r="G50" s="43">
        <f>'ANCHOVETA '!I64+'ANCHOVETA '!J64</f>
        <v>2592.4180000000001</v>
      </c>
      <c r="H50" s="43">
        <f>'SARDINA COMUN '!I63+'SARDINA COMUN '!J63</f>
        <v>3426.3580000000002</v>
      </c>
      <c r="I50" s="371">
        <f t="shared" si="2"/>
        <v>6018.7759999999998</v>
      </c>
      <c r="J50" s="372">
        <f>+'ANCHOVETA '!K64+'SARDINA COMUN '!K63</f>
        <v>0</v>
      </c>
      <c r="K50" s="44">
        <f>'ANCHOVETA '!L64</f>
        <v>-321.65700000000015</v>
      </c>
      <c r="L50" s="44">
        <f>'SARDINA COMUN '!L63</f>
        <v>2700.7290000000003</v>
      </c>
      <c r="M50" s="372">
        <f t="shared" si="3"/>
        <v>2379.0720000000001</v>
      </c>
      <c r="N50" s="44">
        <f t="shared" si="0"/>
        <v>-321.65700000000015</v>
      </c>
      <c r="O50" s="373" t="s">
        <v>142</v>
      </c>
      <c r="P50" s="374">
        <f t="shared" si="8"/>
        <v>0.71670456526481541</v>
      </c>
      <c r="Q50" s="322">
        <f t="shared" si="5"/>
        <v>-3.8302312687726686E-2</v>
      </c>
      <c r="T50" s="53">
        <v>2379.0720000000001</v>
      </c>
      <c r="U50" s="83">
        <f t="shared" si="6"/>
        <v>0</v>
      </c>
      <c r="W50" s="53">
        <v>2379.0720000000001</v>
      </c>
      <c r="X50" s="83">
        <f t="shared" si="7"/>
        <v>0</v>
      </c>
    </row>
    <row r="51" spans="2:24" ht="13.15" customHeight="1">
      <c r="B51" s="360">
        <v>48</v>
      </c>
      <c r="C51" s="368" t="s">
        <v>200</v>
      </c>
      <c r="D51" s="369" t="s">
        <v>29</v>
      </c>
      <c r="E51" s="370">
        <f>'ANCHOVETA '!H65+'SARDINA COMUN '!H64</f>
        <v>2227.1130000000003</v>
      </c>
      <c r="F51" s="43">
        <f t="shared" si="1"/>
        <v>890.8452000000002</v>
      </c>
      <c r="G51" s="43">
        <f>'ANCHOVETA '!I65+'ANCHOVETA '!J65</f>
        <v>528.43100000000004</v>
      </c>
      <c r="H51" s="43">
        <f>'SARDINA COMUN '!I64+'SARDINA COMUN '!J64</f>
        <v>798.19</v>
      </c>
      <c r="I51" s="371">
        <f t="shared" si="2"/>
        <v>1326.6210000000001</v>
      </c>
      <c r="J51" s="372">
        <f>+'ANCHOVETA '!K65+'SARDINA COMUN '!K64</f>
        <v>0</v>
      </c>
      <c r="K51" s="44">
        <f>'ANCHOVETA '!L65</f>
        <v>128.04999999999995</v>
      </c>
      <c r="L51" s="44">
        <f>'SARDINA COMUN '!L64</f>
        <v>772.44200000000001</v>
      </c>
      <c r="M51" s="372">
        <f t="shared" si="3"/>
        <v>900.49199999999996</v>
      </c>
      <c r="N51" s="44" t="str">
        <f t="shared" si="0"/>
        <v>0</v>
      </c>
      <c r="O51" s="373" t="s">
        <v>142</v>
      </c>
      <c r="P51" s="374">
        <f t="shared" si="8"/>
        <v>0.59566847304110748</v>
      </c>
      <c r="Q51" s="322">
        <f t="shared" si="5"/>
        <v>0</v>
      </c>
      <c r="T51" s="53">
        <v>900.49199999999996</v>
      </c>
      <c r="U51" s="83">
        <f t="shared" si="6"/>
        <v>0</v>
      </c>
      <c r="W51" s="53">
        <v>900.49199999999996</v>
      </c>
      <c r="X51" s="83">
        <f t="shared" si="7"/>
        <v>0</v>
      </c>
    </row>
    <row r="52" spans="2:24" ht="13.15" customHeight="1">
      <c r="B52" s="360">
        <v>49</v>
      </c>
      <c r="C52" s="368" t="s">
        <v>201</v>
      </c>
      <c r="D52" s="369" t="s">
        <v>29</v>
      </c>
      <c r="E52" s="370">
        <f>'ANCHOVETA '!H66+'SARDINA COMUN '!H65</f>
        <v>4144.9110000000001</v>
      </c>
      <c r="F52" s="43">
        <f t="shared" si="1"/>
        <v>1657.9644000000001</v>
      </c>
      <c r="G52" s="43">
        <f>'ANCHOVETA '!I66+'ANCHOVETA '!J66</f>
        <v>1742.58</v>
      </c>
      <c r="H52" s="43">
        <f>'SARDINA COMUN '!I65+'SARDINA COMUN '!J65</f>
        <v>1940.0119999999999</v>
      </c>
      <c r="I52" s="371">
        <f t="shared" si="2"/>
        <v>3682.5919999999996</v>
      </c>
      <c r="J52" s="372">
        <f>+'ANCHOVETA '!K66+'SARDINA COMUN '!K65</f>
        <v>0</v>
      </c>
      <c r="K52" s="44">
        <f>'ANCHOVETA '!L66</f>
        <v>-650.721</v>
      </c>
      <c r="L52" s="44">
        <f>'SARDINA COMUN '!L65</f>
        <v>1113.0400000000002</v>
      </c>
      <c r="M52" s="372">
        <f t="shared" si="3"/>
        <v>462.31900000000019</v>
      </c>
      <c r="N52" s="44">
        <f t="shared" si="0"/>
        <v>-650.721</v>
      </c>
      <c r="O52" s="373" t="s">
        <v>142</v>
      </c>
      <c r="P52" s="374">
        <f t="shared" si="8"/>
        <v>0.88846105501420891</v>
      </c>
      <c r="Q52" s="322">
        <f t="shared" si="5"/>
        <v>-0.156992755694875</v>
      </c>
      <c r="T52" s="53">
        <v>462.31900000000019</v>
      </c>
      <c r="U52" s="83">
        <f t="shared" si="6"/>
        <v>0</v>
      </c>
      <c r="W52" s="53">
        <v>462.31900000000019</v>
      </c>
      <c r="X52" s="83">
        <f t="shared" si="7"/>
        <v>0</v>
      </c>
    </row>
    <row r="53" spans="2:24" ht="13.15" customHeight="1">
      <c r="B53" s="360">
        <v>50</v>
      </c>
      <c r="C53" s="368" t="s">
        <v>202</v>
      </c>
      <c r="D53" s="369" t="s">
        <v>29</v>
      </c>
      <c r="E53" s="370">
        <f>'ANCHOVETA '!H67+'SARDINA COMUN '!H66</f>
        <v>6694.4569999999994</v>
      </c>
      <c r="F53" s="43">
        <f t="shared" si="1"/>
        <v>2677.7828</v>
      </c>
      <c r="G53" s="43">
        <f>'ANCHOVETA '!I67+'ANCHOVETA '!J67</f>
        <v>2084.3110000000001</v>
      </c>
      <c r="H53" s="43">
        <f>'SARDINA COMUN '!I66+'SARDINA COMUN '!J66</f>
        <v>3766.8719999999998</v>
      </c>
      <c r="I53" s="371">
        <f t="shared" si="2"/>
        <v>5851.183</v>
      </c>
      <c r="J53" s="372">
        <f>+'ANCHOVETA '!K67+'SARDINA COMUN '!K66</f>
        <v>0</v>
      </c>
      <c r="K53" s="44">
        <f>'ANCHOVETA '!L67</f>
        <v>-304.50400000000013</v>
      </c>
      <c r="L53" s="44">
        <f>'SARDINA COMUN '!L66</f>
        <v>1147.7779999999998</v>
      </c>
      <c r="M53" s="372">
        <f t="shared" si="3"/>
        <v>843.27399999999966</v>
      </c>
      <c r="N53" s="44">
        <f t="shared" si="0"/>
        <v>-304.50400000000013</v>
      </c>
      <c r="O53" s="373" t="s">
        <v>142</v>
      </c>
      <c r="P53" s="374">
        <f t="shared" si="8"/>
        <v>0.87403399558769301</v>
      </c>
      <c r="Q53" s="322">
        <f t="shared" si="5"/>
        <v>-4.5485989378974301E-2</v>
      </c>
      <c r="T53" s="53">
        <v>863.35400000000004</v>
      </c>
      <c r="U53" s="83">
        <f t="shared" si="6"/>
        <v>20.080000000000382</v>
      </c>
      <c r="W53" s="53">
        <v>843.27399999999966</v>
      </c>
      <c r="X53" s="83">
        <f t="shared" si="7"/>
        <v>0</v>
      </c>
    </row>
    <row r="54" spans="2:24" ht="13.15" customHeight="1">
      <c r="B54" s="360">
        <v>51</v>
      </c>
      <c r="C54" s="368" t="s">
        <v>203</v>
      </c>
      <c r="D54" s="369" t="s">
        <v>29</v>
      </c>
      <c r="E54" s="370">
        <f>'ANCHOVETA '!H68+'SARDINA COMUN '!H67</f>
        <v>314.70700000000005</v>
      </c>
      <c r="F54" s="43">
        <f t="shared" si="1"/>
        <v>125.88280000000003</v>
      </c>
      <c r="G54" s="43">
        <f>'ANCHOVETA '!I68+'ANCHOVETA '!J68</f>
        <v>59.408999999999999</v>
      </c>
      <c r="H54" s="43">
        <f>'SARDINA COMUN '!I67+'SARDINA COMUN '!J67</f>
        <v>255.33799999999999</v>
      </c>
      <c r="I54" s="371">
        <f t="shared" si="2"/>
        <v>314.74700000000001</v>
      </c>
      <c r="J54" s="372">
        <f>+'ANCHOVETA '!K68+'SARDINA COMUN '!K67</f>
        <v>0</v>
      </c>
      <c r="K54" s="44">
        <f>'ANCHOVETA '!L68</f>
        <v>-1.2999999999983913E-2</v>
      </c>
      <c r="L54" s="44">
        <f>'SARDINA COMUN '!L67</f>
        <v>-2.6999999999958391E-2</v>
      </c>
      <c r="M54" s="372">
        <f t="shared" si="3"/>
        <v>-3.9999999999942304E-2</v>
      </c>
      <c r="N54" s="44">
        <f t="shared" si="0"/>
        <v>-1.2999999999983913E-2</v>
      </c>
      <c r="O54" s="487">
        <v>43628</v>
      </c>
      <c r="P54" s="374">
        <f t="shared" si="8"/>
        <v>1.0001271023523466</v>
      </c>
      <c r="Q54" s="322">
        <f t="shared" si="5"/>
        <v>-4.1308264512654345E-5</v>
      </c>
      <c r="T54" s="53">
        <v>-3.9999999999942304E-2</v>
      </c>
      <c r="U54" s="83">
        <f t="shared" si="6"/>
        <v>0</v>
      </c>
      <c r="W54" s="53">
        <v>-3.9999999999942304E-2</v>
      </c>
      <c r="X54" s="83">
        <f t="shared" si="7"/>
        <v>0</v>
      </c>
    </row>
    <row r="55" spans="2:24" ht="13.15" customHeight="1">
      <c r="B55" s="360">
        <v>52</v>
      </c>
      <c r="C55" s="368" t="s">
        <v>204</v>
      </c>
      <c r="D55" s="369" t="s">
        <v>29</v>
      </c>
      <c r="E55" s="370">
        <f>'ANCHOVETA '!H69+'SARDINA COMUN '!H68</f>
        <v>12365.648000000001</v>
      </c>
      <c r="F55" s="43">
        <f t="shared" si="1"/>
        <v>4946.2592000000004</v>
      </c>
      <c r="G55" s="43">
        <f>'ANCHOVETA '!I69+'ANCHOVETA '!J69</f>
        <v>2791.864</v>
      </c>
      <c r="H55" s="43">
        <f>'SARDINA COMUN '!I68+'SARDINA COMUN '!J68</f>
        <v>8364.0859999999993</v>
      </c>
      <c r="I55" s="371">
        <f t="shared" si="2"/>
        <v>11155.949999999999</v>
      </c>
      <c r="J55" s="372">
        <f>+'ANCHOVETA '!K69+'SARDINA COMUN '!K68</f>
        <v>21.175000000000001</v>
      </c>
      <c r="K55" s="44">
        <f>'ANCHOVETA '!L69</f>
        <v>242.6639999999997</v>
      </c>
      <c r="L55" s="44">
        <f>'SARDINA COMUN '!L68</f>
        <v>945.8590000000022</v>
      </c>
      <c r="M55" s="372">
        <f t="shared" si="3"/>
        <v>1188.523000000002</v>
      </c>
      <c r="N55" s="44" t="str">
        <f t="shared" si="0"/>
        <v>0</v>
      </c>
      <c r="O55" s="449" t="s">
        <v>142</v>
      </c>
      <c r="P55" s="374">
        <f t="shared" si="8"/>
        <v>0.90388510169462988</v>
      </c>
      <c r="Q55" s="322">
        <f t="shared" si="5"/>
        <v>0</v>
      </c>
      <c r="T55" s="53">
        <v>1232.7060000000019</v>
      </c>
      <c r="U55" s="83">
        <f t="shared" si="6"/>
        <v>44.182999999999993</v>
      </c>
      <c r="W55" s="53">
        <v>1188.523000000002</v>
      </c>
      <c r="X55" s="83">
        <f t="shared" si="7"/>
        <v>0</v>
      </c>
    </row>
    <row r="56" spans="2:24" ht="13.15" customHeight="1">
      <c r="B56" s="360">
        <v>53</v>
      </c>
      <c r="C56" s="374" t="s">
        <v>205</v>
      </c>
      <c r="D56" s="369" t="s">
        <v>29</v>
      </c>
      <c r="E56" s="370">
        <f>'ANCHOVETA '!H70+'SARDINA COMUN '!H69</f>
        <v>59.346999999999994</v>
      </c>
      <c r="F56" s="43">
        <f t="shared" si="1"/>
        <v>23.738799999999998</v>
      </c>
      <c r="G56" s="43">
        <f>'ANCHOVETA '!I70+'ANCHOVETA '!J70</f>
        <v>2.379</v>
      </c>
      <c r="H56" s="43">
        <f>'SARDINA COMUN '!I69+'SARDINA COMUN '!J69</f>
        <v>56.591000000000001</v>
      </c>
      <c r="I56" s="371">
        <f t="shared" si="2"/>
        <v>58.97</v>
      </c>
      <c r="J56" s="372">
        <f>+'ANCHOVETA '!K70+'SARDINA COMUN '!K69</f>
        <v>0</v>
      </c>
      <c r="K56" s="44">
        <f>'ANCHOVETA '!L70</f>
        <v>0.32300000000000173</v>
      </c>
      <c r="L56" s="44">
        <f>'SARDINA COMUN '!L69</f>
        <v>5.3999999999994941E-2</v>
      </c>
      <c r="M56" s="372">
        <f t="shared" si="3"/>
        <v>0.37699999999999667</v>
      </c>
      <c r="N56" s="44" t="str">
        <f t="shared" si="0"/>
        <v>0</v>
      </c>
      <c r="O56" s="487">
        <v>43641</v>
      </c>
      <c r="P56" s="374">
        <f t="shared" si="8"/>
        <v>0.99364753062496847</v>
      </c>
      <c r="Q56" s="322">
        <f t="shared" si="5"/>
        <v>0</v>
      </c>
      <c r="T56" s="53">
        <v>0.37699999999999667</v>
      </c>
      <c r="U56" s="83">
        <f t="shared" si="6"/>
        <v>0</v>
      </c>
      <c r="W56" s="53">
        <v>0.37699999999999667</v>
      </c>
      <c r="X56" s="83">
        <f t="shared" si="7"/>
        <v>0</v>
      </c>
    </row>
    <row r="57" spans="2:24" ht="13.15" customHeight="1">
      <c r="B57" s="360">
        <v>54</v>
      </c>
      <c r="C57" s="374" t="s">
        <v>206</v>
      </c>
      <c r="D57" s="369" t="s">
        <v>29</v>
      </c>
      <c r="E57" s="370">
        <f>'ANCHOVETA '!H71+'SARDINA COMUN '!H70</f>
        <v>6.5999999999999837E-2</v>
      </c>
      <c r="F57" s="43">
        <f t="shared" si="1"/>
        <v>2.6399999999999937E-2</v>
      </c>
      <c r="G57" s="43">
        <f>'ANCHOVETA '!I71+'ANCHOVETA '!J71</f>
        <v>0</v>
      </c>
      <c r="H57" s="43">
        <f>'SARDINA COMUN '!I70+'SARDINA COMUN '!J70</f>
        <v>0</v>
      </c>
      <c r="I57" s="371">
        <f t="shared" si="2"/>
        <v>0</v>
      </c>
      <c r="J57" s="372">
        <f>+'ANCHOVETA '!K71+'SARDINA COMUN '!K70</f>
        <v>0</v>
      </c>
      <c r="K57" s="44">
        <f>'ANCHOVETA '!L71</f>
        <v>-8.0000000000000071E-3</v>
      </c>
      <c r="L57" s="44">
        <f>'SARDINA COMUN '!L70</f>
        <v>7.3999999999999844E-2</v>
      </c>
      <c r="M57" s="372">
        <f t="shared" si="3"/>
        <v>6.5999999999999837E-2</v>
      </c>
      <c r="N57" s="44">
        <f t="shared" si="0"/>
        <v>-8.0000000000000071E-3</v>
      </c>
      <c r="O57" s="487">
        <v>43641</v>
      </c>
      <c r="P57" s="374">
        <f t="shared" si="8"/>
        <v>0</v>
      </c>
      <c r="Q57" s="322">
        <f t="shared" si="5"/>
        <v>-0.12121212121212162</v>
      </c>
      <c r="T57" s="53">
        <v>6.5999999999999837E-2</v>
      </c>
      <c r="U57" s="83">
        <f t="shared" si="6"/>
        <v>0</v>
      </c>
      <c r="W57" s="53">
        <v>6.5999999999999837E-2</v>
      </c>
      <c r="X57" s="83">
        <f t="shared" si="7"/>
        <v>0</v>
      </c>
    </row>
    <row r="58" spans="2:24" ht="13.15" customHeight="1">
      <c r="B58" s="360">
        <v>55</v>
      </c>
      <c r="C58" s="368" t="s">
        <v>207</v>
      </c>
      <c r="D58" s="369" t="s">
        <v>29</v>
      </c>
      <c r="E58" s="370">
        <f>'ANCHOVETA '!H72+'SARDINA COMUN '!H71</f>
        <v>11660.347</v>
      </c>
      <c r="F58" s="43">
        <f t="shared" si="1"/>
        <v>4664.1387999999997</v>
      </c>
      <c r="G58" s="43">
        <f>'ANCHOVETA '!I72+'ANCHOVETA '!J72</f>
        <v>5475.0339999999997</v>
      </c>
      <c r="H58" s="43">
        <f>'SARDINA COMUN '!I71+'SARDINA COMUN '!J71</f>
        <v>5222.3379999999997</v>
      </c>
      <c r="I58" s="371">
        <f t="shared" si="2"/>
        <v>10697.371999999999</v>
      </c>
      <c r="J58" s="372">
        <f>+'ANCHOVETA '!K72+'SARDINA COMUN '!K71</f>
        <v>0</v>
      </c>
      <c r="K58" s="44">
        <f>'ANCHOVETA '!L72</f>
        <v>-2270.9469999999997</v>
      </c>
      <c r="L58" s="44">
        <f>'SARDINA COMUN '!L71</f>
        <v>3233.9220000000005</v>
      </c>
      <c r="M58" s="372">
        <f t="shared" si="3"/>
        <v>962.97500000000082</v>
      </c>
      <c r="N58" s="44">
        <f t="shared" si="0"/>
        <v>-2270.9469999999997</v>
      </c>
      <c r="O58" s="373" t="s">
        <v>142</v>
      </c>
      <c r="P58" s="374">
        <f t="shared" si="8"/>
        <v>0.91741455035600572</v>
      </c>
      <c r="Q58" s="322">
        <f t="shared" si="5"/>
        <v>-0.19475809767925428</v>
      </c>
      <c r="T58" s="53">
        <v>962.97500000000082</v>
      </c>
      <c r="U58" s="83">
        <f t="shared" si="6"/>
        <v>0</v>
      </c>
      <c r="W58" s="53">
        <v>962.97500000000082</v>
      </c>
      <c r="X58" s="83">
        <f t="shared" si="7"/>
        <v>0</v>
      </c>
    </row>
    <row r="59" spans="2:24" ht="13.15" customHeight="1">
      <c r="B59" s="360">
        <v>56</v>
      </c>
      <c r="C59" s="368" t="s">
        <v>208</v>
      </c>
      <c r="D59" s="369" t="s">
        <v>29</v>
      </c>
      <c r="E59" s="370">
        <f>'ANCHOVETA '!H73+'SARDINA COMUN '!H72</f>
        <v>3785.6080000000002</v>
      </c>
      <c r="F59" s="43">
        <f t="shared" si="1"/>
        <v>1514.2432000000001</v>
      </c>
      <c r="G59" s="43">
        <f>'ANCHOVETA '!I73+'ANCHOVETA '!J73</f>
        <v>1013.0350000000001</v>
      </c>
      <c r="H59" s="43">
        <f>'SARDINA COMUN '!I72+'SARDINA COMUN '!J72</f>
        <v>2584.9940000000001</v>
      </c>
      <c r="I59" s="371">
        <f t="shared" si="2"/>
        <v>3598.0290000000005</v>
      </c>
      <c r="J59" s="372">
        <f>+'ANCHOVETA '!K73+'SARDINA COMUN '!K72</f>
        <v>1.135</v>
      </c>
      <c r="K59" s="44">
        <f>'ANCHOVETA '!L73</f>
        <v>-51.193000000000055</v>
      </c>
      <c r="L59" s="44">
        <f>'SARDINA COMUN '!L72</f>
        <v>237.63699999999972</v>
      </c>
      <c r="M59" s="372">
        <f t="shared" si="3"/>
        <v>186.44399999999968</v>
      </c>
      <c r="N59" s="44">
        <f t="shared" si="0"/>
        <v>-51.193000000000055</v>
      </c>
      <c r="O59" s="378" t="s">
        <v>142</v>
      </c>
      <c r="P59" s="374">
        <f t="shared" si="8"/>
        <v>0.95074925877164262</v>
      </c>
      <c r="Q59" s="322">
        <f t="shared" si="5"/>
        <v>-1.3523058911540776E-2</v>
      </c>
      <c r="T59" s="53">
        <v>225.09999999999945</v>
      </c>
      <c r="U59" s="83">
        <f t="shared" si="6"/>
        <v>38.655999999999779</v>
      </c>
      <c r="W59" s="53">
        <v>186.3439999999996</v>
      </c>
      <c r="X59" s="83">
        <f t="shared" si="7"/>
        <v>-0.10000000000007958</v>
      </c>
    </row>
    <row r="60" spans="2:24" ht="13.15" customHeight="1">
      <c r="B60" s="360">
        <v>57</v>
      </c>
      <c r="C60" s="368" t="s">
        <v>209</v>
      </c>
      <c r="D60" s="369" t="s">
        <v>29</v>
      </c>
      <c r="E60" s="370">
        <f>'ANCHOVETA '!H74+'SARDINA COMUN '!H73</f>
        <v>3327.23</v>
      </c>
      <c r="F60" s="43">
        <f t="shared" si="1"/>
        <v>1330.8920000000001</v>
      </c>
      <c r="G60" s="43">
        <f>'ANCHOVETA '!I74+'ANCHOVETA '!J74</f>
        <v>954.74</v>
      </c>
      <c r="H60" s="43">
        <f>'SARDINA COMUN '!I73+'SARDINA COMUN '!J73</f>
        <v>2284.35</v>
      </c>
      <c r="I60" s="371">
        <f>G60+H60</f>
        <v>3239.09</v>
      </c>
      <c r="J60" s="372">
        <f>+'ANCHOVETA '!K74+'SARDINA COMUN '!K73</f>
        <v>19.652000000000001</v>
      </c>
      <c r="K60" s="44">
        <f>'ANCHOVETA '!L74</f>
        <v>-78.274999999999977</v>
      </c>
      <c r="L60" s="44">
        <f>'SARDINA COMUN '!L73</f>
        <v>146.76299999999992</v>
      </c>
      <c r="M60" s="372">
        <f>K60+L60</f>
        <v>68.487999999999943</v>
      </c>
      <c r="N60" s="44">
        <f t="shared" si="0"/>
        <v>-78.274999999999977</v>
      </c>
      <c r="O60" s="375" t="s">
        <v>142</v>
      </c>
      <c r="P60" s="374">
        <f t="shared" si="8"/>
        <v>0.97941591053218446</v>
      </c>
      <c r="Q60" s="322">
        <f t="shared" si="5"/>
        <v>-2.3525575328426342E-2</v>
      </c>
      <c r="T60" s="53">
        <v>68.487999999999943</v>
      </c>
      <c r="U60" s="83">
        <f t="shared" si="6"/>
        <v>0</v>
      </c>
      <c r="W60" s="53">
        <v>68.487999999999943</v>
      </c>
      <c r="X60" s="83">
        <f t="shared" si="7"/>
        <v>0</v>
      </c>
    </row>
    <row r="61" spans="2:24" ht="13.15" customHeight="1">
      <c r="B61" s="360">
        <v>58</v>
      </c>
      <c r="C61" s="368" t="s">
        <v>288</v>
      </c>
      <c r="D61" s="369" t="s">
        <v>29</v>
      </c>
      <c r="E61" s="370">
        <f>'ANCHOVETA '!H75+'SARDINA COMUN '!H74</f>
        <v>1439.5700000000002</v>
      </c>
      <c r="F61" s="43">
        <f t="shared" si="1"/>
        <v>575.82800000000009</v>
      </c>
      <c r="G61" s="43">
        <f>'ANCHOVETA '!I75+'ANCHOVETA '!J75</f>
        <v>294.38900000000001</v>
      </c>
      <c r="H61" s="43">
        <f>'SARDINA COMUN '!I74+'SARDINA COMUN '!J74</f>
        <v>619.46199999999999</v>
      </c>
      <c r="I61" s="371">
        <f t="shared" si="2"/>
        <v>913.851</v>
      </c>
      <c r="J61" s="372">
        <f>+'ANCHOVETA '!K75+'SARDINA COMUN '!K74</f>
        <v>11.058999999999999</v>
      </c>
      <c r="K61" s="44">
        <f>'ANCHOVETA '!L75</f>
        <v>110.19400000000002</v>
      </c>
      <c r="L61" s="44">
        <f>'SARDINA COMUN '!L74</f>
        <v>404.46600000000012</v>
      </c>
      <c r="M61" s="372">
        <f t="shared" si="3"/>
        <v>514.66000000000008</v>
      </c>
      <c r="N61" s="44" t="str">
        <f t="shared" si="0"/>
        <v>0</v>
      </c>
      <c r="O61" s="373" t="s">
        <v>142</v>
      </c>
      <c r="P61" s="374">
        <f t="shared" si="8"/>
        <v>0.64249046590301262</v>
      </c>
      <c r="Q61" s="322">
        <f t="shared" si="5"/>
        <v>0</v>
      </c>
      <c r="T61" s="53">
        <v>514.66000000000008</v>
      </c>
      <c r="U61" s="83">
        <f t="shared" si="6"/>
        <v>0</v>
      </c>
      <c r="W61" s="53">
        <v>514.66000000000008</v>
      </c>
      <c r="X61" s="83">
        <f t="shared" si="7"/>
        <v>0</v>
      </c>
    </row>
    <row r="62" spans="2:24" ht="13.15" customHeight="1">
      <c r="B62" s="360">
        <v>59</v>
      </c>
      <c r="C62" s="368" t="s">
        <v>211</v>
      </c>
      <c r="D62" s="369" t="s">
        <v>29</v>
      </c>
      <c r="E62" s="370">
        <f>'ANCHOVETA '!H76+'SARDINA COMUN '!H75</f>
        <v>959.971</v>
      </c>
      <c r="F62" s="43">
        <f t="shared" si="1"/>
        <v>383.98840000000001</v>
      </c>
      <c r="G62" s="43">
        <f>'ANCHOVETA '!I76+'ANCHOVETA '!J76</f>
        <v>197.44499999999999</v>
      </c>
      <c r="H62" s="43">
        <f>'SARDINA COMUN '!I75+'SARDINA COMUN '!J75</f>
        <v>732.88499999999999</v>
      </c>
      <c r="I62" s="371">
        <f t="shared" si="2"/>
        <v>930.32999999999993</v>
      </c>
      <c r="J62" s="372">
        <f>+'ANCHOVETA '!K76+'SARDINA COMUN '!K75</f>
        <v>0</v>
      </c>
      <c r="K62" s="44">
        <f>'ANCHOVETA '!L76</f>
        <v>55.432000000000016</v>
      </c>
      <c r="L62" s="44">
        <f>'SARDINA COMUN '!L75</f>
        <v>-25.79099999999994</v>
      </c>
      <c r="M62" s="372">
        <f t="shared" si="3"/>
        <v>29.641000000000076</v>
      </c>
      <c r="N62" s="44">
        <f t="shared" si="0"/>
        <v>-25.79099999999994</v>
      </c>
      <c r="O62" s="373" t="s">
        <v>142</v>
      </c>
      <c r="P62" s="374">
        <f t="shared" si="8"/>
        <v>0.96912302559139796</v>
      </c>
      <c r="Q62" s="322">
        <f t="shared" si="5"/>
        <v>-2.6866436590271936E-2</v>
      </c>
      <c r="T62" s="53">
        <v>29.641000000000076</v>
      </c>
      <c r="U62" s="83">
        <f t="shared" si="6"/>
        <v>0</v>
      </c>
      <c r="W62" s="53">
        <v>29.641000000000076</v>
      </c>
      <c r="X62" s="83">
        <f t="shared" si="7"/>
        <v>0</v>
      </c>
    </row>
    <row r="63" spans="2:24" ht="13.15" customHeight="1">
      <c r="B63" s="360">
        <v>60</v>
      </c>
      <c r="C63" s="368" t="s">
        <v>212</v>
      </c>
      <c r="D63" s="369" t="s">
        <v>29</v>
      </c>
      <c r="E63" s="370">
        <f>'ANCHOVETA '!H77+'SARDINA COMUN '!H76</f>
        <v>4769.7460000000001</v>
      </c>
      <c r="F63" s="43">
        <f t="shared" si="1"/>
        <v>1907.8984</v>
      </c>
      <c r="G63" s="43">
        <f>'ANCHOVETA '!I77+'ANCHOVETA '!J77</f>
        <v>1352.048</v>
      </c>
      <c r="H63" s="43">
        <f>'SARDINA COMUN '!I76+'SARDINA COMUN '!J76</f>
        <v>2651.3539999999998</v>
      </c>
      <c r="I63" s="371">
        <f t="shared" si="2"/>
        <v>4003.402</v>
      </c>
      <c r="J63" s="372">
        <f>+'ANCHOVETA '!K77+'SARDINA COMUN '!K76</f>
        <v>0</v>
      </c>
      <c r="K63" s="44">
        <f>'ANCHOVETA '!L77</f>
        <v>-95.593000000000075</v>
      </c>
      <c r="L63" s="44">
        <f>'SARDINA COMUN '!L76</f>
        <v>861.93700000000035</v>
      </c>
      <c r="M63" s="372">
        <f t="shared" si="3"/>
        <v>766.34400000000028</v>
      </c>
      <c r="N63" s="44">
        <f t="shared" si="0"/>
        <v>-95.593000000000075</v>
      </c>
      <c r="O63" s="373" t="s">
        <v>142</v>
      </c>
      <c r="P63" s="374">
        <f t="shared" si="8"/>
        <v>0.83933232503366006</v>
      </c>
      <c r="Q63" s="322">
        <f t="shared" si="5"/>
        <v>-2.0041528416817177E-2</v>
      </c>
      <c r="T63" s="53">
        <v>766.34400000000028</v>
      </c>
      <c r="U63" s="83">
        <f t="shared" si="6"/>
        <v>0</v>
      </c>
      <c r="W63" s="53">
        <v>766.34400000000028</v>
      </c>
      <c r="X63" s="83">
        <f t="shared" si="7"/>
        <v>0</v>
      </c>
    </row>
    <row r="64" spans="2:24" ht="13.15" customHeight="1">
      <c r="B64" s="360">
        <v>61</v>
      </c>
      <c r="C64" s="368" t="s">
        <v>213</v>
      </c>
      <c r="D64" s="369" t="s">
        <v>29</v>
      </c>
      <c r="E64" s="370">
        <f>'ANCHOVETA '!H78+'SARDINA COMUN '!H77</f>
        <v>5704.6909999999998</v>
      </c>
      <c r="F64" s="43">
        <f t="shared" si="1"/>
        <v>2281.8764000000001</v>
      </c>
      <c r="G64" s="43">
        <f>'ANCHOVETA '!I78+'ANCHOVETA '!J78</f>
        <v>2050.7159999999999</v>
      </c>
      <c r="H64" s="43">
        <f>'SARDINA COMUN '!I77+'SARDINA COMUN '!J77</f>
        <v>3249.5619999999999</v>
      </c>
      <c r="I64" s="371">
        <f t="shared" si="2"/>
        <v>5300.2780000000002</v>
      </c>
      <c r="J64" s="372">
        <f>+'ANCHOVETA '!K78+'SARDINA COMUN '!K77</f>
        <v>0</v>
      </c>
      <c r="K64" s="44">
        <f>'ANCHOVETA '!L78</f>
        <v>-427.14400000000001</v>
      </c>
      <c r="L64" s="44">
        <f>'SARDINA COMUN '!L77</f>
        <v>831.55699999999979</v>
      </c>
      <c r="M64" s="372">
        <f t="shared" si="3"/>
        <v>404.41299999999978</v>
      </c>
      <c r="N64" s="44">
        <f t="shared" si="0"/>
        <v>-427.14400000000001</v>
      </c>
      <c r="O64" s="378" t="s">
        <v>142</v>
      </c>
      <c r="P64" s="374">
        <f t="shared" si="8"/>
        <v>0.92910869317899958</v>
      </c>
      <c r="Q64" s="322">
        <f t="shared" si="5"/>
        <v>-7.4875922289217772E-2</v>
      </c>
      <c r="T64" s="53">
        <v>346.36799999999971</v>
      </c>
      <c r="U64" s="83">
        <f t="shared" si="6"/>
        <v>-58.045000000000073</v>
      </c>
      <c r="W64" s="53">
        <v>273.41299999999978</v>
      </c>
      <c r="X64" s="83">
        <f t="shared" si="7"/>
        <v>-131</v>
      </c>
    </row>
    <row r="65" spans="2:24" ht="13.15" customHeight="1">
      <c r="B65" s="360">
        <v>62</v>
      </c>
      <c r="C65" s="368" t="s">
        <v>214</v>
      </c>
      <c r="D65" s="369" t="s">
        <v>29</v>
      </c>
      <c r="E65" s="370">
        <f>'ANCHOVETA '!H79+'SARDINA COMUN '!H78</f>
        <v>1434.8690000000001</v>
      </c>
      <c r="F65" s="43">
        <f t="shared" si="1"/>
        <v>573.94760000000008</v>
      </c>
      <c r="G65" s="43">
        <f>'ANCHOVETA '!I79+'ANCHOVETA '!J79</f>
        <v>313.52600000000001</v>
      </c>
      <c r="H65" s="43">
        <f>'SARDINA COMUN '!I78+'SARDINA COMUN '!J78</f>
        <v>1045.508</v>
      </c>
      <c r="I65" s="371">
        <f t="shared" si="2"/>
        <v>1359.0340000000001</v>
      </c>
      <c r="J65" s="372">
        <f>+'ANCHOVETA '!K79+'SARDINA COMUN '!K78</f>
        <v>0</v>
      </c>
      <c r="K65" s="44">
        <f>'ANCHOVETA '!L79</f>
        <v>64.449000000000012</v>
      </c>
      <c r="L65" s="44">
        <f>'SARDINA COMUN '!L78</f>
        <v>11.385999999999967</v>
      </c>
      <c r="M65" s="372">
        <f t="shared" si="3"/>
        <v>75.83499999999998</v>
      </c>
      <c r="N65" s="44" t="str">
        <f t="shared" si="0"/>
        <v>0</v>
      </c>
      <c r="O65" s="373" t="s">
        <v>142</v>
      </c>
      <c r="P65" s="374">
        <f t="shared" si="8"/>
        <v>0.94714848533211049</v>
      </c>
      <c r="Q65" s="322">
        <f t="shared" si="5"/>
        <v>0</v>
      </c>
      <c r="T65" s="53">
        <v>75.83499999999998</v>
      </c>
      <c r="U65" s="83">
        <f t="shared" si="6"/>
        <v>0</v>
      </c>
      <c r="W65" s="53">
        <v>75.83499999999998</v>
      </c>
      <c r="X65" s="83">
        <f t="shared" si="7"/>
        <v>0</v>
      </c>
    </row>
    <row r="66" spans="2:24" ht="13.15" customHeight="1">
      <c r="B66" s="360">
        <v>63</v>
      </c>
      <c r="C66" s="368" t="s">
        <v>215</v>
      </c>
      <c r="D66" s="369" t="s">
        <v>29</v>
      </c>
      <c r="E66" s="370">
        <f>'ANCHOVETA '!H80+'SARDINA COMUN '!H79</f>
        <v>1650.6779999999999</v>
      </c>
      <c r="F66" s="43">
        <f t="shared" si="1"/>
        <v>660.27120000000002</v>
      </c>
      <c r="G66" s="43">
        <f>'ANCHOVETA '!I80+'ANCHOVETA '!J80</f>
        <v>456.59699999999998</v>
      </c>
      <c r="H66" s="43">
        <f>'SARDINA COMUN '!I79+'SARDINA COMUN '!J79</f>
        <v>419.42099999999999</v>
      </c>
      <c r="I66" s="371">
        <f t="shared" si="2"/>
        <v>876.01800000000003</v>
      </c>
      <c r="J66" s="372">
        <f>+'ANCHOVETA '!K80+'SARDINA COMUN '!K79</f>
        <v>0</v>
      </c>
      <c r="K66" s="44">
        <f>'ANCHOVETA '!L80</f>
        <v>-25.118999999999915</v>
      </c>
      <c r="L66" s="44">
        <f>'SARDINA COMUN '!L79</f>
        <v>799.77899999999977</v>
      </c>
      <c r="M66" s="372">
        <f t="shared" si="3"/>
        <v>774.65999999999985</v>
      </c>
      <c r="N66" s="44">
        <f t="shared" si="0"/>
        <v>-25.118999999999915</v>
      </c>
      <c r="O66" s="373" t="s">
        <v>142</v>
      </c>
      <c r="P66" s="374">
        <f t="shared" si="8"/>
        <v>0.53070192975250174</v>
      </c>
      <c r="Q66" s="322">
        <f t="shared" si="5"/>
        <v>-1.5217383402456394E-2</v>
      </c>
      <c r="T66" s="53">
        <v>774.65999999999985</v>
      </c>
      <c r="U66" s="83">
        <f t="shared" si="6"/>
        <v>0</v>
      </c>
      <c r="W66" s="53">
        <v>774.65999999999985</v>
      </c>
      <c r="X66" s="83">
        <f t="shared" si="7"/>
        <v>0</v>
      </c>
    </row>
    <row r="67" spans="2:24" ht="13.15" customHeight="1">
      <c r="B67" s="360">
        <v>64</v>
      </c>
      <c r="C67" s="368" t="s">
        <v>216</v>
      </c>
      <c r="D67" s="369" t="s">
        <v>29</v>
      </c>
      <c r="E67" s="370">
        <f>'ANCHOVETA '!H81+'SARDINA COMUN '!H80</f>
        <v>784.80899999999997</v>
      </c>
      <c r="F67" s="43">
        <f t="shared" si="1"/>
        <v>313.92360000000002</v>
      </c>
      <c r="G67" s="43">
        <f>'ANCHOVETA '!I81+'ANCHOVETA '!J81</f>
        <v>23.762</v>
      </c>
      <c r="H67" s="43">
        <f>'SARDINA COMUN '!I80+'SARDINA COMUN '!J80</f>
        <v>485.97800000000001</v>
      </c>
      <c r="I67" s="371">
        <f t="shared" si="2"/>
        <v>509.74</v>
      </c>
      <c r="J67" s="372">
        <f>+'ANCHOVETA '!K81+'SARDINA COMUN '!K80</f>
        <v>0</v>
      </c>
      <c r="K67" s="44">
        <f>'ANCHOVETA '!L81</f>
        <v>182.97399999999999</v>
      </c>
      <c r="L67" s="44">
        <f>'SARDINA COMUN '!L80</f>
        <v>92.09499999999997</v>
      </c>
      <c r="M67" s="372">
        <f t="shared" si="3"/>
        <v>275.06899999999996</v>
      </c>
      <c r="N67" s="44" t="str">
        <f t="shared" si="0"/>
        <v>0</v>
      </c>
      <c r="O67" s="373" t="s">
        <v>142</v>
      </c>
      <c r="P67" s="374">
        <f t="shared" si="8"/>
        <v>0.64950835171360166</v>
      </c>
      <c r="Q67" s="322">
        <f t="shared" si="5"/>
        <v>0</v>
      </c>
      <c r="T67" s="53">
        <v>275.06899999999996</v>
      </c>
      <c r="U67" s="83">
        <f t="shared" si="6"/>
        <v>0</v>
      </c>
      <c r="W67" s="53">
        <v>275.06899999999996</v>
      </c>
      <c r="X67" s="83">
        <f t="shared" si="7"/>
        <v>0</v>
      </c>
    </row>
    <row r="68" spans="2:24" ht="13.15" customHeight="1">
      <c r="B68" s="360">
        <v>65</v>
      </c>
      <c r="C68" s="368" t="s">
        <v>217</v>
      </c>
      <c r="D68" s="369" t="s">
        <v>29</v>
      </c>
      <c r="E68" s="370">
        <f>'ANCHOVETA '!H82+'SARDINA COMUN '!H81</f>
        <v>2678.58</v>
      </c>
      <c r="F68" s="43">
        <f t="shared" si="1"/>
        <v>1071.432</v>
      </c>
      <c r="G68" s="43">
        <f>'ANCHOVETA '!I82+'ANCHOVETA '!J82</f>
        <v>850.43499999999995</v>
      </c>
      <c r="H68" s="43">
        <f>'SARDINA COMUN '!I81+'SARDINA COMUN '!J81</f>
        <v>635.90099999999995</v>
      </c>
      <c r="I68" s="371">
        <f t="shared" si="2"/>
        <v>1486.3359999999998</v>
      </c>
      <c r="J68" s="372">
        <f>+'ANCHOVETA '!K82+'SARDINA COMUN '!K81</f>
        <v>0</v>
      </c>
      <c r="K68" s="44">
        <f>'ANCHOVETA '!L82</f>
        <v>-144.83899999999994</v>
      </c>
      <c r="L68" s="44">
        <f>'SARDINA COMUN '!L81</f>
        <v>1337.0830000000001</v>
      </c>
      <c r="M68" s="372">
        <f t="shared" si="3"/>
        <v>1192.2440000000001</v>
      </c>
      <c r="N68" s="44">
        <f t="shared" ref="N68:N79" si="9">IF(K68&lt;0,K68,IF(K68&lt;0,L68,IF(L68&lt;0,L68,IF(L68&gt;0,"0","0"))))</f>
        <v>-144.83899999999994</v>
      </c>
      <c r="O68" s="373" t="s">
        <v>142</v>
      </c>
      <c r="P68" s="374">
        <f t="shared" si="8"/>
        <v>0.55489699766294076</v>
      </c>
      <c r="Q68" s="322">
        <f t="shared" si="5"/>
        <v>-5.4073053632895024E-2</v>
      </c>
      <c r="T68" s="53">
        <v>1264.3879999999999</v>
      </c>
      <c r="U68" s="83">
        <f t="shared" si="6"/>
        <v>72.143999999999778</v>
      </c>
      <c r="W68" s="53">
        <v>1192.2440000000001</v>
      </c>
      <c r="X68" s="83">
        <f t="shared" si="7"/>
        <v>0</v>
      </c>
    </row>
    <row r="69" spans="2:24" ht="13.15" customHeight="1">
      <c r="B69" s="360">
        <v>66</v>
      </c>
      <c r="C69" s="368" t="s">
        <v>218</v>
      </c>
      <c r="D69" s="369" t="s">
        <v>29</v>
      </c>
      <c r="E69" s="370">
        <f>'ANCHOVETA '!H83+'SARDINA COMUN '!H82</f>
        <v>4680.6370000000006</v>
      </c>
      <c r="F69" s="43">
        <f t="shared" ref="F69:F79" si="10">E69*0.4</f>
        <v>1872.2548000000004</v>
      </c>
      <c r="G69" s="43">
        <f>'ANCHOVETA '!I83+'ANCHOVETA '!J83</f>
        <v>1759.8020000000001</v>
      </c>
      <c r="H69" s="43">
        <f>'SARDINA COMUN '!I82+'SARDINA COMUN '!J82</f>
        <v>1651.202</v>
      </c>
      <c r="I69" s="371">
        <f t="shared" ref="I69:I79" si="11">G69+H69</f>
        <v>3411.0039999999999</v>
      </c>
      <c r="J69" s="372">
        <f>+'ANCHOVETA '!K83+'SARDINA COMUN '!K82</f>
        <v>0</v>
      </c>
      <c r="K69" s="44">
        <f>'ANCHOVETA '!L83</f>
        <v>-495.08299999999997</v>
      </c>
      <c r="L69" s="44">
        <f>'SARDINA COMUN '!L82</f>
        <v>1764.7160000000001</v>
      </c>
      <c r="M69" s="372">
        <f t="shared" ref="M69:M78" si="12">K69+L69</f>
        <v>1269.6330000000003</v>
      </c>
      <c r="N69" s="44">
        <f t="shared" si="9"/>
        <v>-495.08299999999997</v>
      </c>
      <c r="O69" s="373" t="s">
        <v>142</v>
      </c>
      <c r="P69" s="374">
        <f t="shared" si="8"/>
        <v>0.7287478178717981</v>
      </c>
      <c r="Q69" s="322">
        <f t="shared" ref="Q69:Q79" si="13">N69/E69</f>
        <v>-0.10577256899007548</v>
      </c>
      <c r="T69" s="53">
        <v>1373.0420000000001</v>
      </c>
      <c r="U69" s="83">
        <f t="shared" ref="U69:U79" si="14">+T69-M69</f>
        <v>103.40899999999988</v>
      </c>
      <c r="W69" s="53">
        <v>1302.367</v>
      </c>
      <c r="X69" s="83">
        <f t="shared" ref="X69:X79" si="15">+W69-M69</f>
        <v>32.733999999999696</v>
      </c>
    </row>
    <row r="70" spans="2:24" ht="13.15" customHeight="1">
      <c r="B70" s="360">
        <v>67</v>
      </c>
      <c r="C70" s="368" t="s">
        <v>219</v>
      </c>
      <c r="D70" s="369" t="s">
        <v>29</v>
      </c>
      <c r="E70" s="370">
        <f>'ANCHOVETA '!H84+'SARDINA COMUN '!H83</f>
        <v>4783.973</v>
      </c>
      <c r="F70" s="43">
        <f t="shared" si="10"/>
        <v>1913.5892000000001</v>
      </c>
      <c r="G70" s="43">
        <f>'ANCHOVETA '!I84+'ANCHOVETA '!J84</f>
        <v>1531.614</v>
      </c>
      <c r="H70" s="43">
        <f>'SARDINA COMUN '!I83+'SARDINA COMUN '!J83</f>
        <v>2604.3780000000002</v>
      </c>
      <c r="I70" s="371">
        <f t="shared" si="11"/>
        <v>4135.9920000000002</v>
      </c>
      <c r="J70" s="372">
        <f>+'ANCHOVETA '!K84+'SARDINA COMUN '!K83</f>
        <v>0</v>
      </c>
      <c r="K70" s="44">
        <f>'ANCHOVETA '!L84</f>
        <v>-271.41100000000006</v>
      </c>
      <c r="L70" s="44">
        <f>'SARDINA COMUN '!L83</f>
        <v>919.39199999999983</v>
      </c>
      <c r="M70" s="372">
        <f t="shared" si="12"/>
        <v>647.98099999999977</v>
      </c>
      <c r="N70" s="44">
        <f t="shared" si="9"/>
        <v>-271.41100000000006</v>
      </c>
      <c r="O70" s="373" t="s">
        <v>142</v>
      </c>
      <c r="P70" s="374">
        <f t="shared" si="8"/>
        <v>0.86455170211035892</v>
      </c>
      <c r="Q70" s="322">
        <f t="shared" si="13"/>
        <v>-5.6733388754493401E-2</v>
      </c>
      <c r="T70" s="53">
        <v>647.98099999999977</v>
      </c>
      <c r="U70" s="83">
        <f t="shared" si="14"/>
        <v>0</v>
      </c>
      <c r="W70" s="53">
        <v>647.98099999999977</v>
      </c>
      <c r="X70" s="83">
        <f t="shared" si="15"/>
        <v>0</v>
      </c>
    </row>
    <row r="71" spans="2:24" ht="13.15" customHeight="1">
      <c r="B71" s="360">
        <v>68</v>
      </c>
      <c r="C71" s="368" t="s">
        <v>220</v>
      </c>
      <c r="D71" s="369" t="s">
        <v>29</v>
      </c>
      <c r="E71" s="370">
        <f>'ANCHOVETA '!H85+'SARDINA COMUN '!H84</f>
        <v>8691.8970000000008</v>
      </c>
      <c r="F71" s="43">
        <f t="shared" si="10"/>
        <v>3476.7588000000005</v>
      </c>
      <c r="G71" s="43">
        <f>'ANCHOVETA '!I85+'ANCHOVETA '!J85</f>
        <v>2739.297</v>
      </c>
      <c r="H71" s="43">
        <f>'SARDINA COMUN '!I84+'SARDINA COMUN '!J84</f>
        <v>5367.8459999999995</v>
      </c>
      <c r="I71" s="371">
        <f t="shared" si="11"/>
        <v>8107.143</v>
      </c>
      <c r="J71" s="372">
        <f>+'ANCHOVETA '!K85+'SARDINA COMUN '!K84</f>
        <v>2.0019999999999998</v>
      </c>
      <c r="K71" s="44">
        <f>'ANCHOVETA '!L85</f>
        <v>-456.07900000000029</v>
      </c>
      <c r="L71" s="44">
        <f>'SARDINA COMUN '!L84</f>
        <v>1038.8310000000001</v>
      </c>
      <c r="M71" s="372">
        <f t="shared" si="12"/>
        <v>582.75199999999984</v>
      </c>
      <c r="N71" s="44">
        <f t="shared" si="9"/>
        <v>-456.07900000000029</v>
      </c>
      <c r="O71" s="373" t="s">
        <v>142</v>
      </c>
      <c r="P71" s="374">
        <f t="shared" si="8"/>
        <v>0.93295456676488453</v>
      </c>
      <c r="Q71" s="322">
        <f t="shared" si="13"/>
        <v>-5.2471744660572972E-2</v>
      </c>
      <c r="T71" s="53">
        <v>735.12199999999939</v>
      </c>
      <c r="U71" s="83">
        <f t="shared" si="14"/>
        <v>152.36999999999955</v>
      </c>
      <c r="W71" s="53">
        <v>582.75199999999995</v>
      </c>
      <c r="X71" s="83">
        <f t="shared" si="15"/>
        <v>0</v>
      </c>
    </row>
    <row r="72" spans="2:24" ht="13.15" customHeight="1">
      <c r="B72" s="360">
        <v>69</v>
      </c>
      <c r="C72" s="368" t="s">
        <v>221</v>
      </c>
      <c r="D72" s="369" t="s">
        <v>29</v>
      </c>
      <c r="E72" s="370">
        <f>'ANCHOVETA '!H86+'SARDINA COMUN '!H85</f>
        <v>1561.537</v>
      </c>
      <c r="F72" s="43">
        <f t="shared" si="10"/>
        <v>624.61480000000006</v>
      </c>
      <c r="G72" s="43">
        <f>'ANCHOVETA '!I86+'ANCHOVETA '!J86</f>
        <v>527.28700000000003</v>
      </c>
      <c r="H72" s="43">
        <f>'SARDINA COMUN '!I85+'SARDINA COMUN '!J85</f>
        <v>402.226</v>
      </c>
      <c r="I72" s="371">
        <f t="shared" si="11"/>
        <v>929.51300000000003</v>
      </c>
      <c r="J72" s="372">
        <f>+'ANCHOVETA '!K86+'SARDINA COMUN '!K85</f>
        <v>0</v>
      </c>
      <c r="K72" s="44">
        <f>'ANCHOVETA '!L86</f>
        <v>-115.94400000000002</v>
      </c>
      <c r="L72" s="44">
        <f>'SARDINA COMUN '!L85</f>
        <v>747.96799999999996</v>
      </c>
      <c r="M72" s="372">
        <f t="shared" si="12"/>
        <v>632.02399999999989</v>
      </c>
      <c r="N72" s="44">
        <f t="shared" si="9"/>
        <v>-115.94400000000002</v>
      </c>
      <c r="O72" s="373" t="s">
        <v>142</v>
      </c>
      <c r="P72" s="374">
        <f t="shared" si="8"/>
        <v>0.59525518767726926</v>
      </c>
      <c r="Q72" s="322">
        <f t="shared" si="13"/>
        <v>-7.4249921711749392E-2</v>
      </c>
      <c r="T72" s="53">
        <v>632.02399999999989</v>
      </c>
      <c r="U72" s="83">
        <f t="shared" si="14"/>
        <v>0</v>
      </c>
      <c r="W72" s="53">
        <v>632.02399999999989</v>
      </c>
      <c r="X72" s="83">
        <f t="shared" si="15"/>
        <v>0</v>
      </c>
    </row>
    <row r="73" spans="2:24" ht="13.15" customHeight="1">
      <c r="B73" s="360">
        <v>70</v>
      </c>
      <c r="C73" s="368" t="s">
        <v>222</v>
      </c>
      <c r="D73" s="369" t="s">
        <v>29</v>
      </c>
      <c r="E73" s="370">
        <f>'ANCHOVETA '!H87+'SARDINA COMUN '!H86</f>
        <v>21.254999999999995</v>
      </c>
      <c r="F73" s="43">
        <f t="shared" si="10"/>
        <v>8.5019999999999989</v>
      </c>
      <c r="G73" s="43">
        <f>'ANCHOVETA '!I87+'ANCHOVETA '!J87</f>
        <v>0</v>
      </c>
      <c r="H73" s="43">
        <f>'SARDINA COMUN '!I86+'SARDINA COMUN '!J86</f>
        <v>1.4</v>
      </c>
      <c r="I73" s="371">
        <f t="shared" si="11"/>
        <v>1.4</v>
      </c>
      <c r="J73" s="372">
        <f>+'ANCHOVETA '!K87+'SARDINA COMUN '!K86</f>
        <v>0</v>
      </c>
      <c r="K73" s="44">
        <f>'ANCHOVETA '!L87</f>
        <v>5.6989999999999998</v>
      </c>
      <c r="L73" s="44">
        <f>'SARDINA COMUN '!L86</f>
        <v>14.155999999999997</v>
      </c>
      <c r="M73" s="372">
        <f t="shared" si="12"/>
        <v>19.854999999999997</v>
      </c>
      <c r="N73" s="44" t="str">
        <f t="shared" si="9"/>
        <v>0</v>
      </c>
      <c r="O73" s="373" t="s">
        <v>142</v>
      </c>
      <c r="P73" s="374">
        <f t="shared" si="8"/>
        <v>6.5866854857680554E-2</v>
      </c>
      <c r="Q73" s="322">
        <f t="shared" si="13"/>
        <v>0</v>
      </c>
      <c r="T73" s="53">
        <v>19.855</v>
      </c>
      <c r="U73" s="83">
        <f t="shared" si="14"/>
        <v>0</v>
      </c>
      <c r="W73" s="53">
        <v>19.855</v>
      </c>
      <c r="X73" s="83">
        <f t="shared" si="15"/>
        <v>0</v>
      </c>
    </row>
    <row r="74" spans="2:24" ht="13.15" customHeight="1">
      <c r="B74" s="360">
        <v>71</v>
      </c>
      <c r="C74" s="368" t="s">
        <v>223</v>
      </c>
      <c r="D74" s="369" t="s">
        <v>29</v>
      </c>
      <c r="E74" s="370">
        <f>'ANCHOVETA '!H88+'SARDINA COMUN '!H87</f>
        <v>593.15200000000004</v>
      </c>
      <c r="F74" s="43">
        <f t="shared" si="10"/>
        <v>237.26080000000002</v>
      </c>
      <c r="G74" s="43">
        <f>'ANCHOVETA '!I88+'ANCHOVETA '!J88</f>
        <v>33.908999999999999</v>
      </c>
      <c r="H74" s="43">
        <f>'SARDINA COMUN '!I87+'SARDINA COMUN '!J87</f>
        <v>465.74299999999999</v>
      </c>
      <c r="I74" s="371">
        <f t="shared" si="11"/>
        <v>499.65199999999999</v>
      </c>
      <c r="J74" s="372">
        <f>+'ANCHOVETA '!K88+'SARDINA COMUN '!K87</f>
        <v>0</v>
      </c>
      <c r="K74" s="44">
        <f>'ANCHOVETA '!L88</f>
        <v>54.560000000000009</v>
      </c>
      <c r="L74" s="44">
        <f>'SARDINA COMUN '!L87</f>
        <v>38.94</v>
      </c>
      <c r="M74" s="372">
        <f t="shared" si="12"/>
        <v>93.5</v>
      </c>
      <c r="N74" s="44" t="str">
        <f t="shared" si="9"/>
        <v>0</v>
      </c>
      <c r="O74" s="449" t="s">
        <v>142</v>
      </c>
      <c r="P74" s="374">
        <f t="shared" si="8"/>
        <v>0.84236755502805338</v>
      </c>
      <c r="Q74" s="322">
        <f t="shared" si="13"/>
        <v>0</v>
      </c>
      <c r="T74" s="53">
        <v>93.5</v>
      </c>
      <c r="U74" s="83">
        <f t="shared" si="14"/>
        <v>0</v>
      </c>
      <c r="W74" s="53">
        <v>93.5</v>
      </c>
      <c r="X74" s="83">
        <f t="shared" si="15"/>
        <v>0</v>
      </c>
    </row>
    <row r="75" spans="2:24" ht="13.15" customHeight="1">
      <c r="B75" s="360">
        <v>72</v>
      </c>
      <c r="C75" s="368" t="s">
        <v>289</v>
      </c>
      <c r="D75" s="369" t="s">
        <v>29</v>
      </c>
      <c r="E75" s="370">
        <f>'ANCHOVETA '!H89+'SARDINA COMUN '!H88</f>
        <v>2310.4630000000002</v>
      </c>
      <c r="F75" s="43">
        <f t="shared" si="10"/>
        <v>924.18520000000012</v>
      </c>
      <c r="G75" s="43">
        <f>'ANCHOVETA '!I89+'ANCHOVETA '!J89</f>
        <v>681.125</v>
      </c>
      <c r="H75" s="43">
        <f>'SARDINA COMUN '!I88+'SARDINA COMUN '!J88</f>
        <v>1208.5340000000001</v>
      </c>
      <c r="I75" s="371">
        <f t="shared" si="11"/>
        <v>1889.6590000000001</v>
      </c>
      <c r="J75" s="372">
        <f>+'ANCHOVETA '!K89+'SARDINA COMUN '!K88</f>
        <v>0</v>
      </c>
      <c r="K75" s="44">
        <f>'ANCHOVETA '!L89</f>
        <v>-98.081999999999994</v>
      </c>
      <c r="L75" s="44">
        <f>'SARDINA COMUN '!L88</f>
        <v>518.88599999999997</v>
      </c>
      <c r="M75" s="372">
        <f t="shared" si="12"/>
        <v>420.80399999999997</v>
      </c>
      <c r="N75" s="44">
        <f t="shared" si="9"/>
        <v>-98.081999999999994</v>
      </c>
      <c r="O75" s="378" t="s">
        <v>142</v>
      </c>
      <c r="P75" s="374">
        <f t="shared" si="8"/>
        <v>0.81787027102359999</v>
      </c>
      <c r="Q75" s="322">
        <f t="shared" si="13"/>
        <v>-4.2451231636256449E-2</v>
      </c>
      <c r="T75" s="53">
        <v>420.80399999999997</v>
      </c>
      <c r="U75" s="83">
        <f t="shared" si="14"/>
        <v>0</v>
      </c>
      <c r="W75" s="53">
        <v>420.80399999999997</v>
      </c>
      <c r="X75" s="83">
        <f t="shared" si="15"/>
        <v>0</v>
      </c>
    </row>
    <row r="76" spans="2:24" ht="13.15" customHeight="1">
      <c r="B76" s="360">
        <v>73</v>
      </c>
      <c r="C76" s="368" t="s">
        <v>225</v>
      </c>
      <c r="D76" s="369" t="s">
        <v>29</v>
      </c>
      <c r="E76" s="370">
        <f>'ANCHOVETA '!H90+'SARDINA COMUN '!H89</f>
        <v>9100.8859999999986</v>
      </c>
      <c r="F76" s="43">
        <f t="shared" si="10"/>
        <v>3640.3543999999997</v>
      </c>
      <c r="G76" s="43">
        <f>'ANCHOVETA '!I90+'ANCHOVETA '!J90</f>
        <v>3566.5390000000002</v>
      </c>
      <c r="H76" s="43">
        <f>'SARDINA COMUN '!I89+'SARDINA COMUN '!J89</f>
        <v>3089.819</v>
      </c>
      <c r="I76" s="371">
        <f t="shared" si="11"/>
        <v>6656.3580000000002</v>
      </c>
      <c r="J76" s="372">
        <f>+'ANCHOVETA '!K90+'SARDINA COMUN '!K89</f>
        <v>0.01</v>
      </c>
      <c r="K76" s="44">
        <f>'ANCHOVETA '!L90</f>
        <v>-1207.7090000000003</v>
      </c>
      <c r="L76" s="44">
        <f>'SARDINA COMUN '!L89</f>
        <v>3652.2269999999994</v>
      </c>
      <c r="M76" s="372">
        <f t="shared" si="12"/>
        <v>2444.5179999999991</v>
      </c>
      <c r="N76" s="44">
        <f t="shared" si="9"/>
        <v>-1207.7090000000003</v>
      </c>
      <c r="O76" s="373" t="s">
        <v>142</v>
      </c>
      <c r="P76" s="374">
        <f t="shared" si="8"/>
        <v>0.73139780017022538</v>
      </c>
      <c r="Q76" s="322">
        <f t="shared" si="13"/>
        <v>-0.13270235447405895</v>
      </c>
      <c r="T76" s="53">
        <v>2584.0549999999989</v>
      </c>
      <c r="U76" s="83">
        <f t="shared" si="14"/>
        <v>139.53699999999981</v>
      </c>
      <c r="W76" s="53">
        <v>2448.7779999999993</v>
      </c>
      <c r="X76" s="83">
        <f t="shared" si="15"/>
        <v>4.2600000000002183</v>
      </c>
    </row>
    <row r="77" spans="2:24" ht="13.15" customHeight="1">
      <c r="B77" s="360">
        <v>74</v>
      </c>
      <c r="C77" s="491" t="s">
        <v>226</v>
      </c>
      <c r="D77" s="369" t="s">
        <v>29</v>
      </c>
      <c r="E77" s="370">
        <f>'ANCHOVETA '!H91+'SARDINA COMUN '!H90</f>
        <v>2790.569</v>
      </c>
      <c r="F77" s="43">
        <f t="shared" si="10"/>
        <v>1116.2275999999999</v>
      </c>
      <c r="G77" s="43">
        <f>'ANCHOVETA '!I91+'ANCHOVETA '!J91</f>
        <v>1494.818</v>
      </c>
      <c r="H77" s="43">
        <f>'SARDINA COMUN '!I90+'SARDINA COMUN '!J90</f>
        <v>1786.655</v>
      </c>
      <c r="I77" s="371">
        <f t="shared" si="11"/>
        <v>3281.473</v>
      </c>
      <c r="J77" s="372">
        <f>+'ANCHOVETA '!K91+'SARDINA COMUN '!K90</f>
        <v>1959.7629999999999</v>
      </c>
      <c r="K77" s="44">
        <f>'ANCHOVETA '!L91</f>
        <v>-1362.9559999999999</v>
      </c>
      <c r="L77" s="44">
        <f>'SARDINA COMUN '!L90</f>
        <v>-1087.7109999999998</v>
      </c>
      <c r="M77" s="372">
        <f t="shared" si="12"/>
        <v>-2450.6669999999995</v>
      </c>
      <c r="N77" s="44">
        <f t="shared" si="9"/>
        <v>-1362.9559999999999</v>
      </c>
      <c r="O77" s="378">
        <v>43564</v>
      </c>
      <c r="P77" s="374">
        <f t="shared" si="8"/>
        <v>1.8781961671616074</v>
      </c>
      <c r="Q77" s="322">
        <f t="shared" si="13"/>
        <v>-0.48841508667228795</v>
      </c>
      <c r="T77" s="53">
        <v>-2450.6669999999995</v>
      </c>
      <c r="U77" s="83">
        <f t="shared" si="14"/>
        <v>0</v>
      </c>
      <c r="W77" s="53">
        <v>-2450.6669999999995</v>
      </c>
      <c r="X77" s="83">
        <f t="shared" si="15"/>
        <v>0</v>
      </c>
    </row>
    <row r="78" spans="2:24" ht="13.15" customHeight="1">
      <c r="B78" s="360">
        <v>75</v>
      </c>
      <c r="C78" s="368" t="s">
        <v>227</v>
      </c>
      <c r="D78" s="369" t="s">
        <v>29</v>
      </c>
      <c r="E78" s="370">
        <f>'ANCHOVETA '!H92+'SARDINA COMUN '!H91</f>
        <v>2664.5969999999998</v>
      </c>
      <c r="F78" s="43">
        <f t="shared" si="10"/>
        <v>1065.8388</v>
      </c>
      <c r="G78" s="43">
        <f>'ANCHOVETA '!I92+'ANCHOVETA '!J92</f>
        <v>418.41699999999997</v>
      </c>
      <c r="H78" s="43">
        <f>'SARDINA COMUN '!I91+'SARDINA COMUN '!J91</f>
        <v>965.44</v>
      </c>
      <c r="I78" s="371">
        <f t="shared" si="11"/>
        <v>1383.857</v>
      </c>
      <c r="J78" s="372">
        <f>+'ANCHOVETA '!K92+'SARDINA COMUN '!K91</f>
        <v>0</v>
      </c>
      <c r="K78" s="44">
        <f>'ANCHOVETA '!L92</f>
        <v>248.25400000000008</v>
      </c>
      <c r="L78" s="44">
        <f>'SARDINA COMUN '!L91</f>
        <v>1032.4859999999999</v>
      </c>
      <c r="M78" s="372">
        <f t="shared" si="12"/>
        <v>1280.74</v>
      </c>
      <c r="N78" s="44" t="str">
        <f t="shared" si="9"/>
        <v>0</v>
      </c>
      <c r="O78" s="373" t="s">
        <v>142</v>
      </c>
      <c r="P78" s="374">
        <f t="shared" si="8"/>
        <v>0.5193494550958363</v>
      </c>
      <c r="Q78" s="322">
        <f t="shared" si="13"/>
        <v>0</v>
      </c>
      <c r="T78" s="53">
        <v>1280.77</v>
      </c>
      <c r="U78" s="83">
        <f t="shared" si="14"/>
        <v>2.9999999999972715E-2</v>
      </c>
      <c r="W78" s="53">
        <v>1280.77</v>
      </c>
      <c r="X78" s="83">
        <f t="shared" si="15"/>
        <v>2.9999999999972715E-2</v>
      </c>
    </row>
    <row r="79" spans="2:24" ht="13.15" customHeight="1">
      <c r="B79" s="360">
        <v>76</v>
      </c>
      <c r="C79" s="368" t="s">
        <v>151</v>
      </c>
      <c r="D79" s="369" t="s">
        <v>29</v>
      </c>
      <c r="E79" s="370">
        <f>'ANCHOVETA '!H93+'SARDINA COMUN '!H92</f>
        <v>342.18399999999997</v>
      </c>
      <c r="F79" s="43">
        <f t="shared" si="10"/>
        <v>136.87359999999998</v>
      </c>
      <c r="G79" s="43">
        <f>'ANCHOVETA '!I93+'ANCHOVETA '!J93</f>
        <v>47.334000000000003</v>
      </c>
      <c r="H79" s="43">
        <f>'SARDINA COMUN '!I92+'SARDINA COMUN '!J92</f>
        <v>588.47199999999998</v>
      </c>
      <c r="I79" s="371">
        <f t="shared" si="11"/>
        <v>635.80600000000004</v>
      </c>
      <c r="J79" s="372">
        <f>+'ANCHOVETA '!K93+'SARDINA COMUN '!K92</f>
        <v>0</v>
      </c>
      <c r="K79" s="44">
        <f>'ANCHOVETA '!L93</f>
        <v>42.802999999999997</v>
      </c>
      <c r="L79" s="44">
        <f>'SARDINA COMUN '!L92</f>
        <v>-336.42499999999995</v>
      </c>
      <c r="M79" s="372">
        <f>K79+L79</f>
        <v>-293.62199999999996</v>
      </c>
      <c r="N79" s="44">
        <f t="shared" si="9"/>
        <v>-336.42499999999995</v>
      </c>
      <c r="O79" s="377">
        <v>43533</v>
      </c>
      <c r="P79" s="374">
        <f t="shared" si="8"/>
        <v>1.8580822013887268</v>
      </c>
      <c r="Q79" s="322">
        <f t="shared" si="13"/>
        <v>-0.98316987351834095</v>
      </c>
      <c r="T79" s="53">
        <v>-271.57199999999995</v>
      </c>
      <c r="U79" s="83">
        <f t="shared" si="14"/>
        <v>22.050000000000011</v>
      </c>
      <c r="W79" s="53">
        <v>-293.62199999999996</v>
      </c>
      <c r="X79" s="83">
        <f t="shared" si="15"/>
        <v>0</v>
      </c>
    </row>
    <row r="80" spans="2:24" ht="13.15" customHeight="1">
      <c r="C80" s="379" t="s">
        <v>290</v>
      </c>
      <c r="D80" s="39"/>
      <c r="E80" s="21">
        <f t="shared" ref="E80:F80" si="16">SUM(E4:E79)</f>
        <v>281531.21200000006</v>
      </c>
      <c r="F80" s="39">
        <f t="shared" si="16"/>
        <v>112612.48480000001</v>
      </c>
      <c r="G80" s="39">
        <f>SUM(G4:G79)</f>
        <v>89018.538000000015</v>
      </c>
      <c r="H80" s="39">
        <f>SUM(H4:H79)</f>
        <v>148734.70099999997</v>
      </c>
      <c r="I80" s="39">
        <f>SUM(I4:I79)</f>
        <v>237753.23900000006</v>
      </c>
      <c r="J80" s="380">
        <f>SUM(J4:J79)</f>
        <v>3493.8209999999999</v>
      </c>
      <c r="K80" s="380">
        <f t="shared" ref="K80:L80" si="17">SUM(K4:K79)</f>
        <v>-15995.993</v>
      </c>
      <c r="L80" s="380">
        <f t="shared" si="17"/>
        <v>56280.144999999997</v>
      </c>
      <c r="M80" s="380">
        <f>K80+L80</f>
        <v>40284.151999999995</v>
      </c>
      <c r="N80" s="39">
        <f t="shared" ref="N80" si="18">L80+M80</f>
        <v>96564.296999999991</v>
      </c>
      <c r="O80" s="379" t="s">
        <v>142</v>
      </c>
      <c r="P80" s="381">
        <f>I80/E80</f>
        <v>0.84450046341575802</v>
      </c>
    </row>
  </sheetData>
  <autoFilter ref="C3:Q80">
    <filterColumn colId="10"/>
  </autoFilter>
  <mergeCells count="2">
    <mergeCell ref="C1:S1"/>
    <mergeCell ref="C2:S2"/>
  </mergeCells>
  <conditionalFormatting sqref="M4:M80 Q77 Q79 Q74">
    <cfRule type="cellIs" dxfId="24" priority="23" operator="lessThan">
      <formula>0</formula>
    </cfRule>
  </conditionalFormatting>
  <conditionalFormatting sqref="J4:J78">
    <cfRule type="cellIs" dxfId="23" priority="22" operator="greaterThan">
      <formula>0</formula>
    </cfRule>
  </conditionalFormatting>
  <conditionalFormatting sqref="P4:P79">
    <cfRule type="cellIs" dxfId="22" priority="21" operator="greaterThan">
      <formula>1</formula>
    </cfRule>
  </conditionalFormatting>
  <conditionalFormatting sqref="G4:I79">
    <cfRule type="dataBar" priority="20">
      <dataBar>
        <cfvo type="min" val="0"/>
        <cfvo type="max" val="0"/>
        <color rgb="FF008AEF"/>
      </dataBar>
    </cfRule>
  </conditionalFormatting>
  <conditionalFormatting sqref="M4:M79">
    <cfRule type="cellIs" dxfId="21" priority="19" operator="lessThan">
      <formula>1.5</formula>
    </cfRule>
  </conditionalFormatting>
  <conditionalFormatting sqref="Q29">
    <cfRule type="cellIs" dxfId="20" priority="15" operator="lessThan">
      <formula>0</formula>
    </cfRule>
  </conditionalFormatting>
  <conditionalFormatting sqref="P3">
    <cfRule type="cellIs" dxfId="19" priority="8" operator="greaterThan">
      <formula>1</formula>
    </cfRule>
  </conditionalFormatting>
  <conditionalFormatting sqref="C34">
    <cfRule type="cellIs" dxfId="18" priority="6" operator="greaterThan">
      <formula>1</formula>
    </cfRule>
  </conditionalFormatting>
  <conditionalFormatting sqref="C56">
    <cfRule type="cellIs" dxfId="17" priority="4" operator="greaterThan">
      <formula>1</formula>
    </cfRule>
  </conditionalFormatting>
  <conditionalFormatting sqref="C57">
    <cfRule type="cellIs" dxfId="16" priority="3" operator="greaterThan">
      <formula>1</formula>
    </cfRule>
  </conditionalFormatting>
  <conditionalFormatting sqref="C77">
    <cfRule type="cellIs" dxfId="15" priority="2" operator="greaterThan">
      <formula>1</formula>
    </cfRule>
  </conditionalFormatting>
  <conditionalFormatting sqref="C27">
    <cfRule type="cellIs" dxfId="14" priority="1" operator="greaterThan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X1098"/>
  <sheetViews>
    <sheetView showGridLines="0" zoomScale="90" zoomScaleNormal="90" workbookViewId="0">
      <selection activeCell="H16" sqref="H16"/>
    </sheetView>
  </sheetViews>
  <sheetFormatPr baseColWidth="10" defaultColWidth="8.5703125" defaultRowHeight="12" customHeight="1"/>
  <cols>
    <col min="1" max="1" width="9.28515625" style="52" customWidth="1"/>
    <col min="2" max="2" width="4.28515625" style="2" customWidth="1"/>
    <col min="3" max="3" width="7.7109375" style="2" customWidth="1"/>
    <col min="4" max="4" width="11" style="2" customWidth="1"/>
    <col min="5" max="5" width="10.85546875" style="2" customWidth="1"/>
    <col min="6" max="6" width="17.28515625" style="434" customWidth="1"/>
    <col min="7" max="7" width="9.28515625" style="436" customWidth="1"/>
    <col min="8" max="8" width="8.85546875" style="437" customWidth="1"/>
    <col min="9" max="9" width="20.42578125" style="434" customWidth="1"/>
    <col min="10" max="10" width="14.28515625" style="435" customWidth="1"/>
    <col min="11" max="11" width="11.7109375" style="437" customWidth="1"/>
    <col min="12" max="13" width="11.7109375" style="436" customWidth="1"/>
    <col min="14" max="14" width="9.7109375" style="436" customWidth="1"/>
    <col min="15" max="15" width="3.7109375" style="436" hidden="1" customWidth="1"/>
    <col min="16" max="16" width="6.28515625" style="2" customWidth="1"/>
    <col min="17" max="17" width="13.85546875" style="2" customWidth="1"/>
    <col min="18" max="18" width="20.42578125" style="2" customWidth="1"/>
    <col min="19" max="19" width="24.7109375" style="2" customWidth="1"/>
    <col min="20" max="20" width="8.5703125" style="2"/>
    <col min="21" max="21" width="7.28515625" style="2" customWidth="1"/>
    <col min="22" max="16384" width="8.5703125" style="2"/>
  </cols>
  <sheetData>
    <row r="1" spans="1:24" s="52" customFormat="1" ht="48" customHeight="1" thickBot="1">
      <c r="B1" s="777" t="s">
        <v>529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9"/>
      <c r="Q1" s="774" t="s">
        <v>540</v>
      </c>
      <c r="R1" s="775"/>
      <c r="S1" s="776"/>
    </row>
    <row r="2" spans="1:24" s="432" customFormat="1" ht="12.75" thickBot="1">
      <c r="B2" s="501"/>
      <c r="C2" s="382"/>
      <c r="D2" s="382" t="s">
        <v>559</v>
      </c>
      <c r="E2" s="382"/>
      <c r="F2" s="382"/>
      <c r="G2" s="382"/>
      <c r="H2" s="382"/>
      <c r="I2" s="382"/>
      <c r="J2" s="382"/>
      <c r="K2" s="500"/>
      <c r="L2" s="382"/>
      <c r="M2" s="382"/>
      <c r="N2" s="382"/>
      <c r="O2" s="502"/>
      <c r="Q2" s="630"/>
      <c r="R2" s="631" t="s">
        <v>302</v>
      </c>
      <c r="S2" s="632"/>
    </row>
    <row r="3" spans="1:24" s="513" customFormat="1" ht="68.25" thickBot="1">
      <c r="A3" s="613"/>
      <c r="B3" s="503" t="s">
        <v>530</v>
      </c>
      <c r="C3" s="504" t="s">
        <v>542</v>
      </c>
      <c r="D3" s="504" t="s">
        <v>76</v>
      </c>
      <c r="E3" s="504" t="s">
        <v>543</v>
      </c>
      <c r="F3" s="504" t="s">
        <v>306</v>
      </c>
      <c r="G3" s="504" t="s">
        <v>307</v>
      </c>
      <c r="H3" s="504" t="s">
        <v>544</v>
      </c>
      <c r="I3" s="505" t="s">
        <v>545</v>
      </c>
      <c r="J3" s="506" t="s">
        <v>546</v>
      </c>
      <c r="K3" s="614" t="s">
        <v>547</v>
      </c>
      <c r="L3" s="507" t="s">
        <v>308</v>
      </c>
      <c r="M3" s="504" t="s">
        <v>548</v>
      </c>
      <c r="N3" s="508" t="s">
        <v>8</v>
      </c>
      <c r="O3" s="611" t="s">
        <v>551</v>
      </c>
      <c r="P3" s="509"/>
      <c r="Q3" s="510" t="s">
        <v>293</v>
      </c>
      <c r="R3" s="511" t="s">
        <v>552</v>
      </c>
      <c r="S3" s="512" t="s">
        <v>553</v>
      </c>
      <c r="V3" s="514">
        <v>0.49305555555555558</v>
      </c>
      <c r="X3" s="514">
        <v>0.36805555555555558</v>
      </c>
    </row>
    <row r="4" spans="1:24" s="513" customFormat="1" ht="22.5">
      <c r="A4" s="615"/>
      <c r="B4" s="515" t="s">
        <v>309</v>
      </c>
      <c r="C4" s="595">
        <v>541</v>
      </c>
      <c r="D4" s="596">
        <v>43507</v>
      </c>
      <c r="E4" s="597" t="s">
        <v>304</v>
      </c>
      <c r="F4" s="597" t="s">
        <v>317</v>
      </c>
      <c r="G4" s="598">
        <v>966599</v>
      </c>
      <c r="H4" s="599">
        <v>56</v>
      </c>
      <c r="I4" s="597" t="s">
        <v>299</v>
      </c>
      <c r="J4" s="595">
        <v>0</v>
      </c>
      <c r="K4" s="598">
        <v>0</v>
      </c>
      <c r="L4" s="762">
        <f>SUM(J4:J21)</f>
        <v>199.24200000000002</v>
      </c>
      <c r="M4" s="765">
        <f>SUM(K4:K21)</f>
        <v>199.24200000000002</v>
      </c>
      <c r="N4" s="768">
        <f>L4-M4</f>
        <v>0</v>
      </c>
      <c r="O4" s="786">
        <f>+M4/L4</f>
        <v>1</v>
      </c>
      <c r="Q4" s="516" t="s">
        <v>299</v>
      </c>
      <c r="R4" s="517">
        <v>19434.127</v>
      </c>
      <c r="S4" s="518">
        <v>22140.403000000009</v>
      </c>
    </row>
    <row r="5" spans="1:24" s="513" customFormat="1" ht="22.5">
      <c r="A5" s="615"/>
      <c r="B5" s="515" t="s">
        <v>309</v>
      </c>
      <c r="C5" s="595">
        <v>541</v>
      </c>
      <c r="D5" s="596">
        <v>43507</v>
      </c>
      <c r="E5" s="597" t="s">
        <v>304</v>
      </c>
      <c r="F5" s="597" t="s">
        <v>317</v>
      </c>
      <c r="G5" s="598">
        <v>966599</v>
      </c>
      <c r="H5" s="599">
        <v>56</v>
      </c>
      <c r="I5" s="597" t="s">
        <v>300</v>
      </c>
      <c r="J5" s="595">
        <v>22.138000000000002</v>
      </c>
      <c r="K5" s="598">
        <v>44.534999999999997</v>
      </c>
      <c r="L5" s="763"/>
      <c r="M5" s="766"/>
      <c r="N5" s="769"/>
      <c r="O5" s="787"/>
      <c r="Q5" s="516" t="s">
        <v>300</v>
      </c>
      <c r="R5" s="517">
        <v>57867.706000000006</v>
      </c>
      <c r="S5" s="518">
        <v>40400.915999999983</v>
      </c>
    </row>
    <row r="6" spans="1:24" s="513" customFormat="1" ht="22.5">
      <c r="A6" s="615"/>
      <c r="B6" s="515" t="s">
        <v>309</v>
      </c>
      <c r="C6" s="595">
        <v>541</v>
      </c>
      <c r="D6" s="596">
        <v>43507</v>
      </c>
      <c r="E6" s="597" t="s">
        <v>304</v>
      </c>
      <c r="F6" s="597" t="s">
        <v>318</v>
      </c>
      <c r="G6" s="598">
        <v>961338</v>
      </c>
      <c r="H6" s="599">
        <v>56</v>
      </c>
      <c r="I6" s="597" t="s">
        <v>299</v>
      </c>
      <c r="J6" s="595">
        <v>0</v>
      </c>
      <c r="K6" s="598">
        <v>0</v>
      </c>
      <c r="L6" s="763"/>
      <c r="M6" s="766"/>
      <c r="N6" s="769"/>
      <c r="O6" s="787"/>
      <c r="Q6" s="519" t="s">
        <v>305</v>
      </c>
      <c r="R6" s="520">
        <v>77301.833000000013</v>
      </c>
      <c r="S6" s="521">
        <v>62541.318999999989</v>
      </c>
    </row>
    <row r="7" spans="1:24" s="513" customFormat="1" ht="10.15" customHeight="1">
      <c r="A7" s="615"/>
      <c r="B7" s="515" t="s">
        <v>309</v>
      </c>
      <c r="C7" s="595">
        <v>541</v>
      </c>
      <c r="D7" s="596">
        <v>43507</v>
      </c>
      <c r="E7" s="597" t="s">
        <v>304</v>
      </c>
      <c r="F7" s="597" t="s">
        <v>318</v>
      </c>
      <c r="G7" s="598">
        <v>961338</v>
      </c>
      <c r="H7" s="599">
        <v>56</v>
      </c>
      <c r="I7" s="597" t="s">
        <v>300</v>
      </c>
      <c r="J7" s="595">
        <v>22.138000000000002</v>
      </c>
      <c r="K7" s="598">
        <v>45.186</v>
      </c>
      <c r="L7" s="763"/>
      <c r="M7" s="766"/>
      <c r="N7" s="769"/>
      <c r="O7" s="787"/>
      <c r="Q7"/>
      <c r="R7"/>
      <c r="S7"/>
    </row>
    <row r="8" spans="1:24" s="513" customFormat="1" ht="10.15" customHeight="1">
      <c r="A8" s="615"/>
      <c r="B8" s="515" t="s">
        <v>309</v>
      </c>
      <c r="C8" s="595">
        <v>541</v>
      </c>
      <c r="D8" s="596">
        <v>43507</v>
      </c>
      <c r="E8" s="597" t="s">
        <v>304</v>
      </c>
      <c r="F8" s="597" t="s">
        <v>319</v>
      </c>
      <c r="G8" s="598">
        <v>962289</v>
      </c>
      <c r="H8" s="599">
        <v>56</v>
      </c>
      <c r="I8" s="597" t="s">
        <v>299</v>
      </c>
      <c r="J8" s="595">
        <v>0</v>
      </c>
      <c r="K8" s="598">
        <v>0</v>
      </c>
      <c r="L8" s="763"/>
      <c r="M8" s="766"/>
      <c r="N8" s="769"/>
      <c r="O8" s="787"/>
    </row>
    <row r="9" spans="1:24" s="513" customFormat="1" ht="10.15" customHeight="1">
      <c r="A9" s="615"/>
      <c r="B9" s="515" t="s">
        <v>309</v>
      </c>
      <c r="C9" s="595">
        <v>541</v>
      </c>
      <c r="D9" s="596">
        <v>43507</v>
      </c>
      <c r="E9" s="597" t="s">
        <v>304</v>
      </c>
      <c r="F9" s="597" t="s">
        <v>319</v>
      </c>
      <c r="G9" s="598">
        <v>962289</v>
      </c>
      <c r="H9" s="599">
        <v>56</v>
      </c>
      <c r="I9" s="597" t="s">
        <v>300</v>
      </c>
      <c r="J9" s="595">
        <v>22.138000000000002</v>
      </c>
      <c r="K9" s="598">
        <v>41.970999999999997</v>
      </c>
      <c r="L9" s="763"/>
      <c r="M9" s="766"/>
      <c r="N9" s="769"/>
      <c r="O9" s="787"/>
    </row>
    <row r="10" spans="1:24" s="513" customFormat="1" ht="10.15" customHeight="1">
      <c r="A10" s="615"/>
      <c r="B10" s="515" t="s">
        <v>309</v>
      </c>
      <c r="C10" s="595">
        <v>541</v>
      </c>
      <c r="D10" s="596">
        <v>43507</v>
      </c>
      <c r="E10" s="597" t="s">
        <v>304</v>
      </c>
      <c r="F10" s="597" t="s">
        <v>320</v>
      </c>
      <c r="G10" s="598">
        <v>964913</v>
      </c>
      <c r="H10" s="599">
        <v>56</v>
      </c>
      <c r="I10" s="597" t="s">
        <v>299</v>
      </c>
      <c r="J10" s="595">
        <v>0</v>
      </c>
      <c r="K10" s="598">
        <v>0</v>
      </c>
      <c r="L10" s="763"/>
      <c r="M10" s="766"/>
      <c r="N10" s="769"/>
      <c r="O10" s="787"/>
    </row>
    <row r="11" spans="1:24" s="513" customFormat="1" ht="10.15" customHeight="1">
      <c r="A11" s="615"/>
      <c r="B11" s="515" t="s">
        <v>309</v>
      </c>
      <c r="C11" s="595">
        <v>541</v>
      </c>
      <c r="D11" s="596">
        <v>43507</v>
      </c>
      <c r="E11" s="597" t="s">
        <v>304</v>
      </c>
      <c r="F11" s="597" t="s">
        <v>320</v>
      </c>
      <c r="G11" s="598">
        <v>964913</v>
      </c>
      <c r="H11" s="599">
        <v>56</v>
      </c>
      <c r="I11" s="597" t="s">
        <v>300</v>
      </c>
      <c r="J11" s="595">
        <v>22.138000000000002</v>
      </c>
      <c r="K11" s="598">
        <v>0</v>
      </c>
      <c r="L11" s="763"/>
      <c r="M11" s="766"/>
      <c r="N11" s="769"/>
      <c r="O11" s="787"/>
    </row>
    <row r="12" spans="1:24" s="513" customFormat="1" ht="10.15" customHeight="1">
      <c r="A12" s="615"/>
      <c r="B12" s="515" t="s">
        <v>309</v>
      </c>
      <c r="C12" s="595">
        <v>541</v>
      </c>
      <c r="D12" s="596">
        <v>43507</v>
      </c>
      <c r="E12" s="597" t="s">
        <v>304</v>
      </c>
      <c r="F12" s="597" t="s">
        <v>321</v>
      </c>
      <c r="G12" s="598">
        <v>966994</v>
      </c>
      <c r="H12" s="599">
        <v>56</v>
      </c>
      <c r="I12" s="597" t="s">
        <v>299</v>
      </c>
      <c r="J12" s="595">
        <v>0</v>
      </c>
      <c r="K12" s="598">
        <v>0</v>
      </c>
      <c r="L12" s="763"/>
      <c r="M12" s="766"/>
      <c r="N12" s="769"/>
      <c r="O12" s="787"/>
    </row>
    <row r="13" spans="1:24" s="513" customFormat="1" ht="10.15" customHeight="1">
      <c r="A13" s="615"/>
      <c r="B13" s="515" t="s">
        <v>309</v>
      </c>
      <c r="C13" s="595">
        <v>541</v>
      </c>
      <c r="D13" s="596">
        <v>43507</v>
      </c>
      <c r="E13" s="597" t="s">
        <v>304</v>
      </c>
      <c r="F13" s="597" t="s">
        <v>321</v>
      </c>
      <c r="G13" s="598">
        <v>966994</v>
      </c>
      <c r="H13" s="599">
        <v>56</v>
      </c>
      <c r="I13" s="597" t="s">
        <v>300</v>
      </c>
      <c r="J13" s="595">
        <v>22.138000000000002</v>
      </c>
      <c r="K13" s="598">
        <v>0</v>
      </c>
      <c r="L13" s="763"/>
      <c r="M13" s="766"/>
      <c r="N13" s="769"/>
      <c r="O13" s="787"/>
    </row>
    <row r="14" spans="1:24" s="513" customFormat="1" ht="10.15" customHeight="1">
      <c r="A14" s="615"/>
      <c r="B14" s="522" t="s">
        <v>309</v>
      </c>
      <c r="C14" s="595">
        <v>541</v>
      </c>
      <c r="D14" s="596">
        <v>43507</v>
      </c>
      <c r="E14" s="597" t="s">
        <v>304</v>
      </c>
      <c r="F14" s="597" t="s">
        <v>322</v>
      </c>
      <c r="G14" s="598">
        <v>964576</v>
      </c>
      <c r="H14" s="599">
        <v>56</v>
      </c>
      <c r="I14" s="597" t="s">
        <v>299</v>
      </c>
      <c r="J14" s="595">
        <v>0</v>
      </c>
      <c r="K14" s="598">
        <v>0</v>
      </c>
      <c r="L14" s="763"/>
      <c r="M14" s="766"/>
      <c r="N14" s="769"/>
      <c r="O14" s="787"/>
    </row>
    <row r="15" spans="1:24" s="513" customFormat="1" ht="10.15" customHeight="1">
      <c r="A15" s="615"/>
      <c r="B15" s="515" t="s">
        <v>309</v>
      </c>
      <c r="C15" s="595">
        <v>541</v>
      </c>
      <c r="D15" s="596">
        <v>43507</v>
      </c>
      <c r="E15" s="597" t="s">
        <v>304</v>
      </c>
      <c r="F15" s="597" t="s">
        <v>322</v>
      </c>
      <c r="G15" s="598">
        <v>964576</v>
      </c>
      <c r="H15" s="599">
        <v>56</v>
      </c>
      <c r="I15" s="597" t="s">
        <v>300</v>
      </c>
      <c r="J15" s="595">
        <v>22.138000000000002</v>
      </c>
      <c r="K15" s="598">
        <v>28.055</v>
      </c>
      <c r="L15" s="763"/>
      <c r="M15" s="766"/>
      <c r="N15" s="769"/>
      <c r="O15" s="787"/>
    </row>
    <row r="16" spans="1:24" s="513" customFormat="1" ht="10.15" customHeight="1">
      <c r="A16" s="615"/>
      <c r="B16" s="515" t="s">
        <v>309</v>
      </c>
      <c r="C16" s="595">
        <v>541</v>
      </c>
      <c r="D16" s="596">
        <v>43507</v>
      </c>
      <c r="E16" s="597" t="s">
        <v>304</v>
      </c>
      <c r="F16" s="597" t="s">
        <v>323</v>
      </c>
      <c r="G16" s="598">
        <v>966995</v>
      </c>
      <c r="H16" s="599">
        <v>56</v>
      </c>
      <c r="I16" s="597" t="s">
        <v>299</v>
      </c>
      <c r="J16" s="595">
        <v>0</v>
      </c>
      <c r="K16" s="598">
        <v>0</v>
      </c>
      <c r="L16" s="763"/>
      <c r="M16" s="766"/>
      <c r="N16" s="769"/>
      <c r="O16" s="787"/>
    </row>
    <row r="17" spans="1:17" s="513" customFormat="1" ht="10.15" customHeight="1">
      <c r="A17" s="615"/>
      <c r="B17" s="515" t="s">
        <v>309</v>
      </c>
      <c r="C17" s="595">
        <v>541</v>
      </c>
      <c r="D17" s="596">
        <v>43507</v>
      </c>
      <c r="E17" s="597" t="s">
        <v>304</v>
      </c>
      <c r="F17" s="597" t="s">
        <v>323</v>
      </c>
      <c r="G17" s="598">
        <v>966995</v>
      </c>
      <c r="H17" s="599">
        <v>56</v>
      </c>
      <c r="I17" s="597" t="s">
        <v>300</v>
      </c>
      <c r="J17" s="595">
        <v>22.138000000000002</v>
      </c>
      <c r="K17" s="598">
        <v>0</v>
      </c>
      <c r="L17" s="763"/>
      <c r="M17" s="766"/>
      <c r="N17" s="769"/>
      <c r="O17" s="787"/>
    </row>
    <row r="18" spans="1:17" s="513" customFormat="1" ht="10.15" customHeight="1">
      <c r="A18" s="615"/>
      <c r="B18" s="515" t="s">
        <v>309</v>
      </c>
      <c r="C18" s="595">
        <v>541</v>
      </c>
      <c r="D18" s="596">
        <v>43507</v>
      </c>
      <c r="E18" s="597" t="s">
        <v>304</v>
      </c>
      <c r="F18" s="597" t="s">
        <v>324</v>
      </c>
      <c r="G18" s="598">
        <v>953902</v>
      </c>
      <c r="H18" s="599">
        <v>56</v>
      </c>
      <c r="I18" s="597" t="s">
        <v>299</v>
      </c>
      <c r="J18" s="595">
        <v>0</v>
      </c>
      <c r="K18" s="598">
        <v>0</v>
      </c>
      <c r="L18" s="763"/>
      <c r="M18" s="766"/>
      <c r="N18" s="769"/>
      <c r="O18" s="787"/>
    </row>
    <row r="19" spans="1:17" s="513" customFormat="1" ht="10.15" customHeight="1">
      <c r="A19" s="615"/>
      <c r="B19" s="515" t="s">
        <v>309</v>
      </c>
      <c r="C19" s="595">
        <v>541</v>
      </c>
      <c r="D19" s="596">
        <v>43507</v>
      </c>
      <c r="E19" s="597" t="s">
        <v>304</v>
      </c>
      <c r="F19" s="597" t="s">
        <v>324</v>
      </c>
      <c r="G19" s="598">
        <v>953902</v>
      </c>
      <c r="H19" s="599">
        <v>56</v>
      </c>
      <c r="I19" s="597" t="s">
        <v>300</v>
      </c>
      <c r="J19" s="595">
        <v>22.138000000000002</v>
      </c>
      <c r="K19" s="598">
        <v>0</v>
      </c>
      <c r="L19" s="763"/>
      <c r="M19" s="766"/>
      <c r="N19" s="769"/>
      <c r="O19" s="787"/>
    </row>
    <row r="20" spans="1:17" s="513" customFormat="1" ht="10.15" customHeight="1">
      <c r="A20" s="615"/>
      <c r="B20" s="515" t="s">
        <v>309</v>
      </c>
      <c r="C20" s="595">
        <v>541</v>
      </c>
      <c r="D20" s="596">
        <v>43507</v>
      </c>
      <c r="E20" s="597" t="s">
        <v>304</v>
      </c>
      <c r="F20" s="597" t="s">
        <v>325</v>
      </c>
      <c r="G20" s="598">
        <v>966633</v>
      </c>
      <c r="H20" s="599">
        <v>56</v>
      </c>
      <c r="I20" s="597" t="s">
        <v>299</v>
      </c>
      <c r="J20" s="595">
        <v>0</v>
      </c>
      <c r="K20" s="598">
        <v>0</v>
      </c>
      <c r="L20" s="763"/>
      <c r="M20" s="766"/>
      <c r="N20" s="769"/>
      <c r="O20" s="787"/>
      <c r="Q20" s="523"/>
    </row>
    <row r="21" spans="1:17" s="513" customFormat="1" ht="10.15" customHeight="1">
      <c r="A21" s="615"/>
      <c r="B21" s="515" t="s">
        <v>309</v>
      </c>
      <c r="C21" s="595">
        <v>541</v>
      </c>
      <c r="D21" s="596">
        <v>43507</v>
      </c>
      <c r="E21" s="597" t="s">
        <v>304</v>
      </c>
      <c r="F21" s="597" t="s">
        <v>325</v>
      </c>
      <c r="G21" s="598">
        <v>966633</v>
      </c>
      <c r="H21" s="599">
        <v>56</v>
      </c>
      <c r="I21" s="597" t="s">
        <v>300</v>
      </c>
      <c r="J21" s="595">
        <v>22.138000000000002</v>
      </c>
      <c r="K21" s="598">
        <v>39.494999999999997</v>
      </c>
      <c r="L21" s="764"/>
      <c r="M21" s="767"/>
      <c r="N21" s="770"/>
      <c r="O21" s="788"/>
      <c r="Q21" s="523"/>
    </row>
    <row r="22" spans="1:17" s="513" customFormat="1" ht="10.15" customHeight="1">
      <c r="A22" s="615"/>
      <c r="B22" s="515" t="s">
        <v>309</v>
      </c>
      <c r="C22" s="600">
        <v>543</v>
      </c>
      <c r="D22" s="601">
        <v>43507</v>
      </c>
      <c r="E22" s="602" t="s">
        <v>304</v>
      </c>
      <c r="F22" s="602" t="s">
        <v>326</v>
      </c>
      <c r="G22" s="603">
        <v>924618</v>
      </c>
      <c r="H22" s="604">
        <v>57</v>
      </c>
      <c r="I22" s="602" t="s">
        <v>299</v>
      </c>
      <c r="J22" s="600">
        <v>14.904999999999999</v>
      </c>
      <c r="K22" s="603">
        <v>0</v>
      </c>
      <c r="L22" s="780">
        <f>SUM(J22:J35)</f>
        <v>304.76</v>
      </c>
      <c r="M22" s="783">
        <f>SUM(K22:K35)</f>
        <v>315.161</v>
      </c>
      <c r="N22" s="759">
        <f>L22-M22</f>
        <v>-10.40100000000001</v>
      </c>
      <c r="O22" s="789">
        <f>+M22/L22</f>
        <v>1.0341284945530911</v>
      </c>
      <c r="Q22" s="523"/>
    </row>
    <row r="23" spans="1:17" s="513" customFormat="1" ht="10.15" customHeight="1">
      <c r="A23" s="615"/>
      <c r="B23" s="515" t="s">
        <v>309</v>
      </c>
      <c r="C23" s="600">
        <v>543</v>
      </c>
      <c r="D23" s="601">
        <v>43507</v>
      </c>
      <c r="E23" s="602" t="s">
        <v>304</v>
      </c>
      <c r="F23" s="602" t="s">
        <v>326</v>
      </c>
      <c r="G23" s="603">
        <v>924618</v>
      </c>
      <c r="H23" s="604">
        <v>57</v>
      </c>
      <c r="I23" s="602" t="s">
        <v>300</v>
      </c>
      <c r="J23" s="600">
        <v>28.632000000000001</v>
      </c>
      <c r="K23" s="603">
        <v>0</v>
      </c>
      <c r="L23" s="781"/>
      <c r="M23" s="784"/>
      <c r="N23" s="760"/>
      <c r="O23" s="790"/>
      <c r="Q23" s="523"/>
    </row>
    <row r="24" spans="1:17" s="513" customFormat="1" ht="10.15" customHeight="1">
      <c r="A24" s="615"/>
      <c r="B24" s="522" t="s">
        <v>309</v>
      </c>
      <c r="C24" s="600">
        <v>543</v>
      </c>
      <c r="D24" s="601">
        <v>43507</v>
      </c>
      <c r="E24" s="602" t="s">
        <v>304</v>
      </c>
      <c r="F24" s="602" t="s">
        <v>327</v>
      </c>
      <c r="G24" s="603">
        <v>957798</v>
      </c>
      <c r="H24" s="604">
        <v>57</v>
      </c>
      <c r="I24" s="602" t="s">
        <v>299</v>
      </c>
      <c r="J24" s="600">
        <v>14.904999999999999</v>
      </c>
      <c r="K24" s="603">
        <v>0</v>
      </c>
      <c r="L24" s="781"/>
      <c r="M24" s="784"/>
      <c r="N24" s="760"/>
      <c r="O24" s="790"/>
      <c r="Q24" s="523"/>
    </row>
    <row r="25" spans="1:17" s="513" customFormat="1" ht="10.15" customHeight="1">
      <c r="A25" s="615"/>
      <c r="B25" s="515" t="s">
        <v>309</v>
      </c>
      <c r="C25" s="600">
        <v>543</v>
      </c>
      <c r="D25" s="601">
        <v>43507</v>
      </c>
      <c r="E25" s="602" t="s">
        <v>304</v>
      </c>
      <c r="F25" s="602" t="s">
        <v>327</v>
      </c>
      <c r="G25" s="603">
        <v>957798</v>
      </c>
      <c r="H25" s="604">
        <v>57</v>
      </c>
      <c r="I25" s="602" t="s">
        <v>300</v>
      </c>
      <c r="J25" s="600">
        <v>28.632000000000001</v>
      </c>
      <c r="K25" s="603">
        <v>0</v>
      </c>
      <c r="L25" s="781"/>
      <c r="M25" s="784"/>
      <c r="N25" s="760"/>
      <c r="O25" s="790"/>
      <c r="Q25" s="523"/>
    </row>
    <row r="26" spans="1:17" s="513" customFormat="1" ht="10.15" customHeight="1">
      <c r="A26" s="615"/>
      <c r="B26" s="515" t="s">
        <v>309</v>
      </c>
      <c r="C26" s="600">
        <v>543</v>
      </c>
      <c r="D26" s="601">
        <v>43507</v>
      </c>
      <c r="E26" s="602" t="s">
        <v>304</v>
      </c>
      <c r="F26" s="602" t="s">
        <v>328</v>
      </c>
      <c r="G26" s="603">
        <v>957816</v>
      </c>
      <c r="H26" s="604">
        <v>57</v>
      </c>
      <c r="I26" s="602" t="s">
        <v>299</v>
      </c>
      <c r="J26" s="600">
        <v>14.904999999999999</v>
      </c>
      <c r="K26" s="603">
        <v>0</v>
      </c>
      <c r="L26" s="781"/>
      <c r="M26" s="784"/>
      <c r="N26" s="760"/>
      <c r="O26" s="790"/>
      <c r="Q26" s="523"/>
    </row>
    <row r="27" spans="1:17" s="513" customFormat="1" ht="10.15" customHeight="1">
      <c r="A27" s="615"/>
      <c r="B27" s="515" t="s">
        <v>309</v>
      </c>
      <c r="C27" s="600">
        <v>543</v>
      </c>
      <c r="D27" s="601">
        <v>43507</v>
      </c>
      <c r="E27" s="602" t="s">
        <v>304</v>
      </c>
      <c r="F27" s="602" t="s">
        <v>328</v>
      </c>
      <c r="G27" s="603">
        <v>957816</v>
      </c>
      <c r="H27" s="604">
        <v>57</v>
      </c>
      <c r="I27" s="602" t="s">
        <v>300</v>
      </c>
      <c r="J27" s="600">
        <v>28.632000000000001</v>
      </c>
      <c r="K27" s="603">
        <v>63.17</v>
      </c>
      <c r="L27" s="781"/>
      <c r="M27" s="784"/>
      <c r="N27" s="760"/>
      <c r="O27" s="790"/>
      <c r="Q27" s="523"/>
    </row>
    <row r="28" spans="1:17" s="513" customFormat="1" ht="10.15" customHeight="1">
      <c r="A28" s="615"/>
      <c r="B28" s="515" t="s">
        <v>309</v>
      </c>
      <c r="C28" s="600">
        <v>543</v>
      </c>
      <c r="D28" s="601">
        <v>43507</v>
      </c>
      <c r="E28" s="602" t="s">
        <v>304</v>
      </c>
      <c r="F28" s="602" t="s">
        <v>329</v>
      </c>
      <c r="G28" s="603">
        <v>963685</v>
      </c>
      <c r="H28" s="604">
        <v>57</v>
      </c>
      <c r="I28" s="602" t="s">
        <v>299</v>
      </c>
      <c r="J28" s="600">
        <v>14.904999999999999</v>
      </c>
      <c r="K28" s="603">
        <v>13.218999999999999</v>
      </c>
      <c r="L28" s="781"/>
      <c r="M28" s="784"/>
      <c r="N28" s="760"/>
      <c r="O28" s="790"/>
      <c r="Q28" s="523"/>
    </row>
    <row r="29" spans="1:17" s="513" customFormat="1" ht="10.15" customHeight="1">
      <c r="A29" s="615"/>
      <c r="B29" s="524" t="s">
        <v>309</v>
      </c>
      <c r="C29" s="600">
        <v>543</v>
      </c>
      <c r="D29" s="601">
        <v>43507</v>
      </c>
      <c r="E29" s="602" t="s">
        <v>304</v>
      </c>
      <c r="F29" s="602" t="s">
        <v>329</v>
      </c>
      <c r="G29" s="603">
        <v>963685</v>
      </c>
      <c r="H29" s="604">
        <v>57</v>
      </c>
      <c r="I29" s="602" t="s">
        <v>300</v>
      </c>
      <c r="J29" s="600">
        <v>28.632000000000001</v>
      </c>
      <c r="K29" s="603">
        <v>138.334</v>
      </c>
      <c r="L29" s="781"/>
      <c r="M29" s="784"/>
      <c r="N29" s="760"/>
      <c r="O29" s="790"/>
      <c r="Q29" s="523"/>
    </row>
    <row r="30" spans="1:17" s="513" customFormat="1" ht="10.15" customHeight="1">
      <c r="A30" s="615"/>
      <c r="B30" s="522" t="s">
        <v>309</v>
      </c>
      <c r="C30" s="600">
        <v>543</v>
      </c>
      <c r="D30" s="601">
        <v>43507</v>
      </c>
      <c r="E30" s="602" t="s">
        <v>304</v>
      </c>
      <c r="F30" s="602" t="s">
        <v>330</v>
      </c>
      <c r="G30" s="603">
        <v>965073</v>
      </c>
      <c r="H30" s="604">
        <v>57</v>
      </c>
      <c r="I30" s="602" t="s">
        <v>299</v>
      </c>
      <c r="J30" s="600">
        <v>14.904999999999999</v>
      </c>
      <c r="K30" s="603">
        <v>3.56</v>
      </c>
      <c r="L30" s="781"/>
      <c r="M30" s="784"/>
      <c r="N30" s="760"/>
      <c r="O30" s="790"/>
      <c r="Q30" s="523"/>
    </row>
    <row r="31" spans="1:17" s="513" customFormat="1" ht="10.15" customHeight="1">
      <c r="A31" s="615"/>
      <c r="B31" s="515" t="s">
        <v>309</v>
      </c>
      <c r="C31" s="600">
        <v>543</v>
      </c>
      <c r="D31" s="601">
        <v>43507</v>
      </c>
      <c r="E31" s="602" t="s">
        <v>304</v>
      </c>
      <c r="F31" s="602" t="s">
        <v>330</v>
      </c>
      <c r="G31" s="603">
        <v>965073</v>
      </c>
      <c r="H31" s="604">
        <v>57</v>
      </c>
      <c r="I31" s="602" t="s">
        <v>300</v>
      </c>
      <c r="J31" s="600">
        <v>28.632000000000001</v>
      </c>
      <c r="K31" s="603">
        <v>67.64</v>
      </c>
      <c r="L31" s="781"/>
      <c r="M31" s="784"/>
      <c r="N31" s="760"/>
      <c r="O31" s="790"/>
      <c r="Q31" s="523"/>
    </row>
    <row r="32" spans="1:17" s="513" customFormat="1" ht="10.15" customHeight="1">
      <c r="A32" s="615"/>
      <c r="B32" s="515" t="s">
        <v>309</v>
      </c>
      <c r="C32" s="600">
        <v>543</v>
      </c>
      <c r="D32" s="601">
        <v>43507</v>
      </c>
      <c r="E32" s="602" t="s">
        <v>304</v>
      </c>
      <c r="F32" s="602" t="s">
        <v>331</v>
      </c>
      <c r="G32" s="603">
        <v>965344</v>
      </c>
      <c r="H32" s="604">
        <v>57</v>
      </c>
      <c r="I32" s="602" t="s">
        <v>299</v>
      </c>
      <c r="J32" s="600">
        <v>14.904999999999999</v>
      </c>
      <c r="K32" s="603">
        <v>9.4949999999999992</v>
      </c>
      <c r="L32" s="781"/>
      <c r="M32" s="784"/>
      <c r="N32" s="760"/>
      <c r="O32" s="790"/>
      <c r="Q32" s="523"/>
    </row>
    <row r="33" spans="1:17" s="513" customFormat="1" ht="10.15" customHeight="1">
      <c r="A33" s="615"/>
      <c r="B33" s="524" t="s">
        <v>309</v>
      </c>
      <c r="C33" s="600">
        <v>543</v>
      </c>
      <c r="D33" s="601">
        <v>43507</v>
      </c>
      <c r="E33" s="602" t="s">
        <v>304</v>
      </c>
      <c r="F33" s="602" t="s">
        <v>331</v>
      </c>
      <c r="G33" s="603">
        <v>965344</v>
      </c>
      <c r="H33" s="604">
        <v>57</v>
      </c>
      <c r="I33" s="602" t="s">
        <v>300</v>
      </c>
      <c r="J33" s="600">
        <v>28.632000000000001</v>
      </c>
      <c r="K33" s="603">
        <v>19.742999999999999</v>
      </c>
      <c r="L33" s="781"/>
      <c r="M33" s="784"/>
      <c r="N33" s="760"/>
      <c r="O33" s="790"/>
      <c r="Q33" s="523"/>
    </row>
    <row r="34" spans="1:17" s="513" customFormat="1" ht="10.15" customHeight="1">
      <c r="A34" s="615"/>
      <c r="B34" s="522" t="s">
        <v>309</v>
      </c>
      <c r="C34" s="600">
        <v>543</v>
      </c>
      <c r="D34" s="601">
        <v>43507</v>
      </c>
      <c r="E34" s="602" t="s">
        <v>304</v>
      </c>
      <c r="F34" s="602" t="s">
        <v>332</v>
      </c>
      <c r="G34" s="603">
        <v>967145</v>
      </c>
      <c r="H34" s="604">
        <v>57</v>
      </c>
      <c r="I34" s="602" t="s">
        <v>299</v>
      </c>
      <c r="J34" s="600">
        <v>14.906000000000001</v>
      </c>
      <c r="K34" s="603">
        <v>0</v>
      </c>
      <c r="L34" s="781"/>
      <c r="M34" s="784"/>
      <c r="N34" s="760"/>
      <c r="O34" s="790"/>
      <c r="Q34" s="523"/>
    </row>
    <row r="35" spans="1:17" s="513" customFormat="1" ht="10.15" customHeight="1">
      <c r="A35" s="615"/>
      <c r="B35" s="515" t="s">
        <v>309</v>
      </c>
      <c r="C35" s="600">
        <v>543</v>
      </c>
      <c r="D35" s="601">
        <v>43507</v>
      </c>
      <c r="E35" s="602" t="s">
        <v>304</v>
      </c>
      <c r="F35" s="602" t="s">
        <v>332</v>
      </c>
      <c r="G35" s="603">
        <v>967145</v>
      </c>
      <c r="H35" s="604">
        <v>57</v>
      </c>
      <c r="I35" s="602" t="s">
        <v>300</v>
      </c>
      <c r="J35" s="600">
        <v>28.632000000000001</v>
      </c>
      <c r="K35" s="603">
        <v>0</v>
      </c>
      <c r="L35" s="782"/>
      <c r="M35" s="785"/>
      <c r="N35" s="761"/>
      <c r="O35" s="791"/>
      <c r="Q35" s="523"/>
    </row>
    <row r="36" spans="1:17" s="513" customFormat="1" ht="10.15" customHeight="1">
      <c r="A36" s="615"/>
      <c r="B36" s="515" t="s">
        <v>309</v>
      </c>
      <c r="C36" s="595">
        <v>3</v>
      </c>
      <c r="D36" s="596">
        <v>43511</v>
      </c>
      <c r="E36" s="597" t="s">
        <v>303</v>
      </c>
      <c r="F36" s="597" t="s">
        <v>310</v>
      </c>
      <c r="G36" s="598">
        <v>957800</v>
      </c>
      <c r="H36" s="599">
        <v>12</v>
      </c>
      <c r="I36" s="597" t="s">
        <v>299</v>
      </c>
      <c r="J36" s="595">
        <v>6.4320000000000004</v>
      </c>
      <c r="K36" s="598">
        <v>26.741</v>
      </c>
      <c r="L36" s="762">
        <f>SUM(J36:J45)</f>
        <v>181.29</v>
      </c>
      <c r="M36" s="765">
        <f t="shared" ref="M36" si="0">SUM(K36:K45)</f>
        <v>604.16200000000003</v>
      </c>
      <c r="N36" s="768">
        <f>L36-M36</f>
        <v>-422.87200000000007</v>
      </c>
      <c r="O36" s="792">
        <f>+M36/L36</f>
        <v>3.3325721220144522</v>
      </c>
      <c r="Q36" s="523"/>
    </row>
    <row r="37" spans="1:17" s="513" customFormat="1" ht="10.15" customHeight="1">
      <c r="A37" s="615"/>
      <c r="B37" s="524" t="s">
        <v>309</v>
      </c>
      <c r="C37" s="595">
        <v>3</v>
      </c>
      <c r="D37" s="596">
        <v>43511</v>
      </c>
      <c r="E37" s="597" t="s">
        <v>303</v>
      </c>
      <c r="F37" s="597" t="s">
        <v>310</v>
      </c>
      <c r="G37" s="598">
        <v>957800</v>
      </c>
      <c r="H37" s="599">
        <v>12</v>
      </c>
      <c r="I37" s="597" t="s">
        <v>300</v>
      </c>
      <c r="J37" s="595">
        <v>29.826000000000001</v>
      </c>
      <c r="K37" s="598">
        <v>78.600999999999999</v>
      </c>
      <c r="L37" s="763"/>
      <c r="M37" s="766"/>
      <c r="N37" s="769"/>
      <c r="O37" s="793"/>
      <c r="Q37" s="523"/>
    </row>
    <row r="38" spans="1:17" s="513" customFormat="1" ht="10.15" customHeight="1">
      <c r="A38" s="615"/>
      <c r="B38" s="522" t="s">
        <v>309</v>
      </c>
      <c r="C38" s="595">
        <v>3</v>
      </c>
      <c r="D38" s="596">
        <v>43511</v>
      </c>
      <c r="E38" s="597" t="s">
        <v>303</v>
      </c>
      <c r="F38" s="597" t="s">
        <v>311</v>
      </c>
      <c r="G38" s="598">
        <v>963943</v>
      </c>
      <c r="H38" s="599">
        <v>12</v>
      </c>
      <c r="I38" s="597" t="s">
        <v>299</v>
      </c>
      <c r="J38" s="595">
        <v>6.4320000000000004</v>
      </c>
      <c r="K38" s="598">
        <v>36.450000000000003</v>
      </c>
      <c r="L38" s="763"/>
      <c r="M38" s="766"/>
      <c r="N38" s="769"/>
      <c r="O38" s="793"/>
      <c r="Q38" s="523"/>
    </row>
    <row r="39" spans="1:17" s="513" customFormat="1" ht="10.15" customHeight="1">
      <c r="A39" s="615"/>
      <c r="B39" s="515" t="s">
        <v>309</v>
      </c>
      <c r="C39" s="595">
        <v>3</v>
      </c>
      <c r="D39" s="596">
        <v>43511</v>
      </c>
      <c r="E39" s="597" t="s">
        <v>303</v>
      </c>
      <c r="F39" s="597" t="s">
        <v>311</v>
      </c>
      <c r="G39" s="598">
        <v>963943</v>
      </c>
      <c r="H39" s="599">
        <v>12</v>
      </c>
      <c r="I39" s="597" t="s">
        <v>300</v>
      </c>
      <c r="J39" s="595">
        <v>29.826000000000001</v>
      </c>
      <c r="K39" s="598">
        <v>35.340000000000003</v>
      </c>
      <c r="L39" s="763"/>
      <c r="M39" s="766"/>
      <c r="N39" s="769"/>
      <c r="O39" s="793"/>
      <c r="Q39" s="523"/>
    </row>
    <row r="40" spans="1:17" s="513" customFormat="1" ht="10.15" customHeight="1">
      <c r="A40" s="615"/>
      <c r="B40" s="515" t="s">
        <v>309</v>
      </c>
      <c r="C40" s="595">
        <v>3</v>
      </c>
      <c r="D40" s="596">
        <v>43511</v>
      </c>
      <c r="E40" s="597" t="s">
        <v>303</v>
      </c>
      <c r="F40" s="597" t="s">
        <v>312</v>
      </c>
      <c r="G40" s="598">
        <v>967281</v>
      </c>
      <c r="H40" s="599">
        <v>74</v>
      </c>
      <c r="I40" s="597" t="s">
        <v>299</v>
      </c>
      <c r="J40" s="595">
        <v>6.4320000000000004</v>
      </c>
      <c r="K40" s="598">
        <v>4.9649999999999999</v>
      </c>
      <c r="L40" s="763"/>
      <c r="M40" s="766"/>
      <c r="N40" s="769"/>
      <c r="O40" s="793"/>
      <c r="Q40" s="523"/>
    </row>
    <row r="41" spans="1:17" s="513" customFormat="1" ht="10.15" customHeight="1">
      <c r="A41" s="615"/>
      <c r="B41" s="515" t="s">
        <v>309</v>
      </c>
      <c r="C41" s="595">
        <v>3</v>
      </c>
      <c r="D41" s="596">
        <v>43511</v>
      </c>
      <c r="E41" s="597" t="s">
        <v>303</v>
      </c>
      <c r="F41" s="597" t="s">
        <v>312</v>
      </c>
      <c r="G41" s="598">
        <v>967281</v>
      </c>
      <c r="H41" s="599">
        <v>74</v>
      </c>
      <c r="I41" s="597" t="s">
        <v>300</v>
      </c>
      <c r="J41" s="595">
        <v>29.826000000000001</v>
      </c>
      <c r="K41" s="598">
        <v>170.32</v>
      </c>
      <c r="L41" s="763"/>
      <c r="M41" s="766"/>
      <c r="N41" s="769"/>
      <c r="O41" s="793"/>
      <c r="Q41" s="523"/>
    </row>
    <row r="42" spans="1:17" s="513" customFormat="1" ht="10.15" customHeight="1">
      <c r="A42" s="615"/>
      <c r="B42" s="515" t="s">
        <v>309</v>
      </c>
      <c r="C42" s="595">
        <v>3</v>
      </c>
      <c r="D42" s="596">
        <v>43511</v>
      </c>
      <c r="E42" s="597" t="s">
        <v>303</v>
      </c>
      <c r="F42" s="597" t="s">
        <v>313</v>
      </c>
      <c r="G42" s="598">
        <v>904281</v>
      </c>
      <c r="H42" s="599">
        <v>74</v>
      </c>
      <c r="I42" s="597" t="s">
        <v>299</v>
      </c>
      <c r="J42" s="595">
        <v>6.4320000000000004</v>
      </c>
      <c r="K42" s="598">
        <v>0</v>
      </c>
      <c r="L42" s="763"/>
      <c r="M42" s="766"/>
      <c r="N42" s="769"/>
      <c r="O42" s="793"/>
      <c r="Q42" s="523"/>
    </row>
    <row r="43" spans="1:17" s="513" customFormat="1" ht="10.15" customHeight="1">
      <c r="A43" s="615"/>
      <c r="B43" s="524" t="s">
        <v>309</v>
      </c>
      <c r="C43" s="595">
        <v>3</v>
      </c>
      <c r="D43" s="596">
        <v>43511</v>
      </c>
      <c r="E43" s="597" t="s">
        <v>303</v>
      </c>
      <c r="F43" s="597" t="s">
        <v>313</v>
      </c>
      <c r="G43" s="598">
        <v>904281</v>
      </c>
      <c r="H43" s="599">
        <v>74</v>
      </c>
      <c r="I43" s="597" t="s">
        <v>300</v>
      </c>
      <c r="J43" s="595">
        <v>29.826000000000001</v>
      </c>
      <c r="K43" s="598">
        <v>0</v>
      </c>
      <c r="L43" s="763"/>
      <c r="M43" s="766"/>
      <c r="N43" s="769"/>
      <c r="O43" s="793"/>
      <c r="Q43" s="523"/>
    </row>
    <row r="44" spans="1:17" s="513" customFormat="1" ht="10.15" customHeight="1">
      <c r="A44" s="615"/>
      <c r="B44" s="522" t="s">
        <v>309</v>
      </c>
      <c r="C44" s="595">
        <v>3</v>
      </c>
      <c r="D44" s="596">
        <v>43511</v>
      </c>
      <c r="E44" s="597" t="s">
        <v>303</v>
      </c>
      <c r="F44" s="597" t="s">
        <v>314</v>
      </c>
      <c r="G44" s="598">
        <v>967342</v>
      </c>
      <c r="H44" s="599">
        <v>74</v>
      </c>
      <c r="I44" s="597" t="s">
        <v>299</v>
      </c>
      <c r="J44" s="595">
        <v>6.4320000000000004</v>
      </c>
      <c r="K44" s="598">
        <v>28.271000000000001</v>
      </c>
      <c r="L44" s="763"/>
      <c r="M44" s="766"/>
      <c r="N44" s="769"/>
      <c r="O44" s="793"/>
      <c r="Q44" s="523"/>
    </row>
    <row r="45" spans="1:17" s="513" customFormat="1" ht="10.15" customHeight="1">
      <c r="A45" s="615"/>
      <c r="B45" s="515" t="s">
        <v>309</v>
      </c>
      <c r="C45" s="595">
        <v>3</v>
      </c>
      <c r="D45" s="596">
        <v>43511</v>
      </c>
      <c r="E45" s="597" t="s">
        <v>303</v>
      </c>
      <c r="F45" s="597" t="s">
        <v>314</v>
      </c>
      <c r="G45" s="598">
        <v>967342</v>
      </c>
      <c r="H45" s="599">
        <v>74</v>
      </c>
      <c r="I45" s="597" t="s">
        <v>300</v>
      </c>
      <c r="J45" s="595">
        <v>29.826000000000001</v>
      </c>
      <c r="K45" s="598">
        <v>223.47399999999999</v>
      </c>
      <c r="L45" s="764"/>
      <c r="M45" s="767"/>
      <c r="N45" s="770"/>
      <c r="O45" s="794"/>
      <c r="Q45" s="523"/>
    </row>
    <row r="46" spans="1:17" s="513" customFormat="1" ht="10.15" customHeight="1">
      <c r="A46" s="615"/>
      <c r="B46" s="515" t="s">
        <v>309</v>
      </c>
      <c r="C46" s="600">
        <v>4</v>
      </c>
      <c r="D46" s="601">
        <v>43511</v>
      </c>
      <c r="E46" s="602" t="s">
        <v>303</v>
      </c>
      <c r="F46" s="602" t="s">
        <v>310</v>
      </c>
      <c r="G46" s="603">
        <v>957800</v>
      </c>
      <c r="H46" s="604">
        <v>12</v>
      </c>
      <c r="I46" s="602" t="s">
        <v>299</v>
      </c>
      <c r="J46" s="600">
        <v>2.64</v>
      </c>
      <c r="K46" s="603">
        <v>30.408999999999999</v>
      </c>
      <c r="L46" s="753">
        <f>SUM(J46:J55)</f>
        <v>58.010000000000005</v>
      </c>
      <c r="M46" s="756">
        <f t="shared" ref="M46" si="1">SUM(K46:K55)</f>
        <v>208.68499999999997</v>
      </c>
      <c r="N46" s="759">
        <f>L46-M46</f>
        <v>-150.67499999999995</v>
      </c>
      <c r="O46" s="795">
        <f>+M46/L46</f>
        <v>3.5973970005171516</v>
      </c>
      <c r="Q46" s="523"/>
    </row>
    <row r="47" spans="1:17" s="513" customFormat="1" ht="10.15" customHeight="1">
      <c r="A47" s="615"/>
      <c r="B47" s="515" t="s">
        <v>309</v>
      </c>
      <c r="C47" s="600">
        <v>4</v>
      </c>
      <c r="D47" s="601">
        <v>43511</v>
      </c>
      <c r="E47" s="602" t="s">
        <v>303</v>
      </c>
      <c r="F47" s="602" t="s">
        <v>310</v>
      </c>
      <c r="G47" s="603">
        <v>957800</v>
      </c>
      <c r="H47" s="604">
        <v>12</v>
      </c>
      <c r="I47" s="602" t="s">
        <v>300</v>
      </c>
      <c r="J47" s="600">
        <v>8.9619999999999997</v>
      </c>
      <c r="K47" s="603">
        <v>10.135999999999999</v>
      </c>
      <c r="L47" s="754"/>
      <c r="M47" s="757"/>
      <c r="N47" s="760"/>
      <c r="O47" s="796"/>
      <c r="Q47" s="523"/>
    </row>
    <row r="48" spans="1:17" s="513" customFormat="1" ht="10.15" customHeight="1">
      <c r="A48" s="615"/>
      <c r="B48" s="515" t="s">
        <v>309</v>
      </c>
      <c r="C48" s="600">
        <v>4</v>
      </c>
      <c r="D48" s="601">
        <v>43511</v>
      </c>
      <c r="E48" s="602" t="s">
        <v>303</v>
      </c>
      <c r="F48" s="602" t="s">
        <v>311</v>
      </c>
      <c r="G48" s="603">
        <v>963943</v>
      </c>
      <c r="H48" s="604">
        <v>12</v>
      </c>
      <c r="I48" s="602" t="s">
        <v>299</v>
      </c>
      <c r="J48" s="600">
        <v>2.64</v>
      </c>
      <c r="K48" s="603">
        <v>33.345999999999997</v>
      </c>
      <c r="L48" s="754"/>
      <c r="M48" s="757"/>
      <c r="N48" s="760"/>
      <c r="O48" s="796"/>
      <c r="Q48" s="523"/>
    </row>
    <row r="49" spans="1:17" s="513" customFormat="1" ht="10.15" customHeight="1">
      <c r="A49" s="615"/>
      <c r="B49" s="524" t="s">
        <v>309</v>
      </c>
      <c r="C49" s="600">
        <v>4</v>
      </c>
      <c r="D49" s="601">
        <v>43511</v>
      </c>
      <c r="E49" s="602" t="s">
        <v>303</v>
      </c>
      <c r="F49" s="602" t="s">
        <v>311</v>
      </c>
      <c r="G49" s="603">
        <v>963943</v>
      </c>
      <c r="H49" s="604">
        <v>12</v>
      </c>
      <c r="I49" s="602" t="s">
        <v>300</v>
      </c>
      <c r="J49" s="600">
        <v>8.9619999999999997</v>
      </c>
      <c r="K49" s="603">
        <v>2.129</v>
      </c>
      <c r="L49" s="754"/>
      <c r="M49" s="757"/>
      <c r="N49" s="760"/>
      <c r="O49" s="796"/>
      <c r="Q49" s="523"/>
    </row>
    <row r="50" spans="1:17" s="513" customFormat="1" ht="10.15" customHeight="1">
      <c r="A50" s="615"/>
      <c r="B50" s="522" t="s">
        <v>309</v>
      </c>
      <c r="C50" s="600">
        <v>4</v>
      </c>
      <c r="D50" s="601">
        <v>43511</v>
      </c>
      <c r="E50" s="602" t="s">
        <v>303</v>
      </c>
      <c r="F50" s="602" t="s">
        <v>312</v>
      </c>
      <c r="G50" s="603">
        <v>967281</v>
      </c>
      <c r="H50" s="604">
        <v>74</v>
      </c>
      <c r="I50" s="602" t="s">
        <v>299</v>
      </c>
      <c r="J50" s="600">
        <v>2.64</v>
      </c>
      <c r="K50" s="603">
        <v>22.286999999999999</v>
      </c>
      <c r="L50" s="754"/>
      <c r="M50" s="757"/>
      <c r="N50" s="760"/>
      <c r="O50" s="796"/>
      <c r="Q50" s="523"/>
    </row>
    <row r="51" spans="1:17" s="513" customFormat="1" ht="10.15" customHeight="1">
      <c r="A51" s="615"/>
      <c r="B51" s="515" t="s">
        <v>309</v>
      </c>
      <c r="C51" s="600">
        <v>4</v>
      </c>
      <c r="D51" s="601">
        <v>43511</v>
      </c>
      <c r="E51" s="602" t="s">
        <v>303</v>
      </c>
      <c r="F51" s="602" t="s">
        <v>312</v>
      </c>
      <c r="G51" s="603">
        <v>967281</v>
      </c>
      <c r="H51" s="604">
        <v>74</v>
      </c>
      <c r="I51" s="602" t="s">
        <v>300</v>
      </c>
      <c r="J51" s="600">
        <v>8.9619999999999997</v>
      </c>
      <c r="K51" s="603">
        <v>21.413</v>
      </c>
      <c r="L51" s="754"/>
      <c r="M51" s="757"/>
      <c r="N51" s="760"/>
      <c r="O51" s="796"/>
      <c r="Q51" s="523"/>
    </row>
    <row r="52" spans="1:17" s="513" customFormat="1" ht="10.15" customHeight="1">
      <c r="A52" s="615"/>
      <c r="B52" s="515" t="s">
        <v>309</v>
      </c>
      <c r="C52" s="600">
        <v>4</v>
      </c>
      <c r="D52" s="601">
        <v>43511</v>
      </c>
      <c r="E52" s="602" t="s">
        <v>303</v>
      </c>
      <c r="F52" s="602" t="s">
        <v>313</v>
      </c>
      <c r="G52" s="603">
        <v>904281</v>
      </c>
      <c r="H52" s="604">
        <v>74</v>
      </c>
      <c r="I52" s="602" t="s">
        <v>299</v>
      </c>
      <c r="J52" s="600">
        <v>2.64</v>
      </c>
      <c r="K52" s="603">
        <v>0</v>
      </c>
      <c r="L52" s="754"/>
      <c r="M52" s="757"/>
      <c r="N52" s="760"/>
      <c r="O52" s="796"/>
      <c r="Q52" s="523"/>
    </row>
    <row r="53" spans="1:17" s="513" customFormat="1" ht="10.15" customHeight="1">
      <c r="A53" s="615"/>
      <c r="B53" s="515" t="s">
        <v>309</v>
      </c>
      <c r="C53" s="600">
        <v>4</v>
      </c>
      <c r="D53" s="601">
        <v>43511</v>
      </c>
      <c r="E53" s="602" t="s">
        <v>303</v>
      </c>
      <c r="F53" s="602" t="s">
        <v>313</v>
      </c>
      <c r="G53" s="603">
        <v>904281</v>
      </c>
      <c r="H53" s="604">
        <v>74</v>
      </c>
      <c r="I53" s="602" t="s">
        <v>300</v>
      </c>
      <c r="J53" s="600">
        <v>8.9619999999999997</v>
      </c>
      <c r="K53" s="603">
        <v>0</v>
      </c>
      <c r="L53" s="754"/>
      <c r="M53" s="757"/>
      <c r="N53" s="760"/>
      <c r="O53" s="796"/>
      <c r="Q53" s="523"/>
    </row>
    <row r="54" spans="1:17" s="513" customFormat="1" ht="10.15" customHeight="1">
      <c r="A54" s="615"/>
      <c r="B54" s="515" t="s">
        <v>309</v>
      </c>
      <c r="C54" s="600">
        <v>4</v>
      </c>
      <c r="D54" s="601">
        <v>43511</v>
      </c>
      <c r="E54" s="602" t="s">
        <v>303</v>
      </c>
      <c r="F54" s="602" t="s">
        <v>314</v>
      </c>
      <c r="G54" s="603">
        <v>967342</v>
      </c>
      <c r="H54" s="604">
        <v>74</v>
      </c>
      <c r="I54" s="602" t="s">
        <v>299</v>
      </c>
      <c r="J54" s="600">
        <v>2.64</v>
      </c>
      <c r="K54" s="603">
        <v>44.68</v>
      </c>
      <c r="L54" s="754"/>
      <c r="M54" s="757"/>
      <c r="N54" s="760"/>
      <c r="O54" s="796"/>
      <c r="Q54" s="523"/>
    </row>
    <row r="55" spans="1:17" s="513" customFormat="1" ht="10.15" customHeight="1">
      <c r="A55" s="615"/>
      <c r="B55" s="524" t="s">
        <v>309</v>
      </c>
      <c r="C55" s="600">
        <v>4</v>
      </c>
      <c r="D55" s="601">
        <v>43511</v>
      </c>
      <c r="E55" s="602" t="s">
        <v>303</v>
      </c>
      <c r="F55" s="602" t="s">
        <v>314</v>
      </c>
      <c r="G55" s="603">
        <v>967342</v>
      </c>
      <c r="H55" s="604">
        <v>74</v>
      </c>
      <c r="I55" s="602" t="s">
        <v>300</v>
      </c>
      <c r="J55" s="600">
        <v>8.9619999999999997</v>
      </c>
      <c r="K55" s="603">
        <v>44.284999999999997</v>
      </c>
      <c r="L55" s="755"/>
      <c r="M55" s="758"/>
      <c r="N55" s="761"/>
      <c r="O55" s="797"/>
      <c r="Q55" s="523"/>
    </row>
    <row r="56" spans="1:17" s="513" customFormat="1" ht="10.15" customHeight="1">
      <c r="A56" s="615"/>
      <c r="B56" s="522" t="s">
        <v>309</v>
      </c>
      <c r="C56" s="595">
        <v>5</v>
      </c>
      <c r="D56" s="596">
        <v>43514</v>
      </c>
      <c r="E56" s="597" t="s">
        <v>303</v>
      </c>
      <c r="F56" s="597" t="s">
        <v>312</v>
      </c>
      <c r="G56" s="598">
        <v>967281</v>
      </c>
      <c r="H56" s="599">
        <v>74</v>
      </c>
      <c r="I56" s="597" t="s">
        <v>299</v>
      </c>
      <c r="J56" s="595">
        <v>3.3330000000000002</v>
      </c>
      <c r="K56" s="598">
        <v>0.879</v>
      </c>
      <c r="L56" s="762">
        <f>SUM(J56:J61)</f>
        <v>100</v>
      </c>
      <c r="M56" s="765">
        <f t="shared" ref="M56" si="2">SUM(K56:K61)</f>
        <v>470.23</v>
      </c>
      <c r="N56" s="768">
        <f>L56-M56</f>
        <v>-370.23</v>
      </c>
      <c r="O56" s="792">
        <f>+M56/L56</f>
        <v>4.7023000000000001</v>
      </c>
      <c r="Q56" s="523"/>
    </row>
    <row r="57" spans="1:17" s="513" customFormat="1" ht="10.15" customHeight="1">
      <c r="A57" s="615"/>
      <c r="B57" s="515" t="s">
        <v>309</v>
      </c>
      <c r="C57" s="595">
        <v>5</v>
      </c>
      <c r="D57" s="596">
        <v>43514</v>
      </c>
      <c r="E57" s="597" t="s">
        <v>303</v>
      </c>
      <c r="F57" s="597" t="s">
        <v>312</v>
      </c>
      <c r="G57" s="598">
        <v>967281</v>
      </c>
      <c r="H57" s="599">
        <v>74</v>
      </c>
      <c r="I57" s="597" t="s">
        <v>300</v>
      </c>
      <c r="J57" s="595">
        <v>30</v>
      </c>
      <c r="K57" s="598">
        <v>239.65100000000001</v>
      </c>
      <c r="L57" s="763"/>
      <c r="M57" s="766"/>
      <c r="N57" s="769"/>
      <c r="O57" s="793"/>
      <c r="Q57" s="523"/>
    </row>
    <row r="58" spans="1:17" s="513" customFormat="1" ht="10.15" customHeight="1">
      <c r="A58" s="615"/>
      <c r="B58" s="515" t="s">
        <v>309</v>
      </c>
      <c r="C58" s="595">
        <v>5</v>
      </c>
      <c r="D58" s="596">
        <v>43514</v>
      </c>
      <c r="E58" s="597" t="s">
        <v>303</v>
      </c>
      <c r="F58" s="597" t="s">
        <v>313</v>
      </c>
      <c r="G58" s="598">
        <v>904281</v>
      </c>
      <c r="H58" s="599">
        <v>74</v>
      </c>
      <c r="I58" s="597" t="s">
        <v>299</v>
      </c>
      <c r="J58" s="595">
        <v>3.3330000000000002</v>
      </c>
      <c r="K58" s="598">
        <v>0</v>
      </c>
      <c r="L58" s="763"/>
      <c r="M58" s="766"/>
      <c r="N58" s="769"/>
      <c r="O58" s="793"/>
      <c r="Q58" s="523"/>
    </row>
    <row r="59" spans="1:17" s="513" customFormat="1" ht="10.15" customHeight="1">
      <c r="A59" s="615"/>
      <c r="B59" s="515" t="s">
        <v>309</v>
      </c>
      <c r="C59" s="595">
        <v>5</v>
      </c>
      <c r="D59" s="596">
        <v>43514</v>
      </c>
      <c r="E59" s="597" t="s">
        <v>303</v>
      </c>
      <c r="F59" s="597" t="s">
        <v>313</v>
      </c>
      <c r="G59" s="598">
        <v>904281</v>
      </c>
      <c r="H59" s="599">
        <v>74</v>
      </c>
      <c r="I59" s="597" t="s">
        <v>300</v>
      </c>
      <c r="J59" s="595">
        <v>30</v>
      </c>
      <c r="K59" s="598">
        <v>0</v>
      </c>
      <c r="L59" s="763"/>
      <c r="M59" s="766"/>
      <c r="N59" s="769"/>
      <c r="O59" s="793"/>
      <c r="Q59" s="523"/>
    </row>
    <row r="60" spans="1:17" s="513" customFormat="1" ht="10.15" customHeight="1">
      <c r="A60" s="615"/>
      <c r="B60" s="515" t="s">
        <v>309</v>
      </c>
      <c r="C60" s="595">
        <v>5</v>
      </c>
      <c r="D60" s="596">
        <v>43514</v>
      </c>
      <c r="E60" s="597" t="s">
        <v>303</v>
      </c>
      <c r="F60" s="597" t="s">
        <v>314</v>
      </c>
      <c r="G60" s="598">
        <v>967342</v>
      </c>
      <c r="H60" s="599">
        <v>74</v>
      </c>
      <c r="I60" s="597" t="s">
        <v>299</v>
      </c>
      <c r="J60" s="595">
        <v>3.3340000000000001</v>
      </c>
      <c r="K60" s="598">
        <v>1.371</v>
      </c>
      <c r="L60" s="763"/>
      <c r="M60" s="766"/>
      <c r="N60" s="769"/>
      <c r="O60" s="793"/>
      <c r="Q60" s="523"/>
    </row>
    <row r="61" spans="1:17" s="513" customFormat="1" ht="10.15" customHeight="1">
      <c r="A61" s="615"/>
      <c r="B61" s="524" t="s">
        <v>309</v>
      </c>
      <c r="C61" s="595">
        <v>5</v>
      </c>
      <c r="D61" s="596">
        <v>43514</v>
      </c>
      <c r="E61" s="597" t="s">
        <v>303</v>
      </c>
      <c r="F61" s="597" t="s">
        <v>314</v>
      </c>
      <c r="G61" s="598">
        <v>967342</v>
      </c>
      <c r="H61" s="599">
        <v>74</v>
      </c>
      <c r="I61" s="597" t="s">
        <v>300</v>
      </c>
      <c r="J61" s="595">
        <v>30</v>
      </c>
      <c r="K61" s="598">
        <v>228.32900000000001</v>
      </c>
      <c r="L61" s="764"/>
      <c r="M61" s="767"/>
      <c r="N61" s="770"/>
      <c r="O61" s="794"/>
      <c r="Q61" s="523"/>
    </row>
    <row r="62" spans="1:17" s="513" customFormat="1" ht="10.15" customHeight="1">
      <c r="A62" s="615"/>
      <c r="B62" s="522" t="s">
        <v>309</v>
      </c>
      <c r="C62" s="600">
        <v>6</v>
      </c>
      <c r="D62" s="601">
        <v>43514</v>
      </c>
      <c r="E62" s="602" t="s">
        <v>303</v>
      </c>
      <c r="F62" s="602" t="s">
        <v>310</v>
      </c>
      <c r="G62" s="603">
        <v>957800</v>
      </c>
      <c r="H62" s="604">
        <v>12</v>
      </c>
      <c r="I62" s="602" t="s">
        <v>299</v>
      </c>
      <c r="J62" s="600">
        <v>5</v>
      </c>
      <c r="K62" s="603">
        <v>2.3420000000000001</v>
      </c>
      <c r="L62" s="753">
        <f>SUM(J62:J65)</f>
        <v>100</v>
      </c>
      <c r="M62" s="756">
        <f t="shared" ref="M62" si="3">SUM(K62:K65)</f>
        <v>302.78100000000001</v>
      </c>
      <c r="N62" s="759">
        <f>L62-M62</f>
        <v>-202.78100000000001</v>
      </c>
      <c r="O62" s="792">
        <f>+M62/L62</f>
        <v>3.0278100000000001</v>
      </c>
      <c r="Q62" s="523"/>
    </row>
    <row r="63" spans="1:17" s="513" customFormat="1" ht="10.15" customHeight="1">
      <c r="A63" s="615"/>
      <c r="B63" s="515" t="s">
        <v>309</v>
      </c>
      <c r="C63" s="600">
        <v>6</v>
      </c>
      <c r="D63" s="601">
        <v>43514</v>
      </c>
      <c r="E63" s="602" t="s">
        <v>303</v>
      </c>
      <c r="F63" s="602" t="s">
        <v>310</v>
      </c>
      <c r="G63" s="603">
        <v>957800</v>
      </c>
      <c r="H63" s="604">
        <v>12</v>
      </c>
      <c r="I63" s="602" t="s">
        <v>300</v>
      </c>
      <c r="J63" s="600">
        <v>45</v>
      </c>
      <c r="K63" s="603">
        <v>131.23099999999999</v>
      </c>
      <c r="L63" s="754"/>
      <c r="M63" s="757"/>
      <c r="N63" s="760"/>
      <c r="O63" s="793"/>
      <c r="Q63" s="523"/>
    </row>
    <row r="64" spans="1:17" s="513" customFormat="1" ht="10.15" customHeight="1">
      <c r="A64" s="615"/>
      <c r="B64" s="515" t="s">
        <v>309</v>
      </c>
      <c r="C64" s="600">
        <v>6</v>
      </c>
      <c r="D64" s="601">
        <v>43514</v>
      </c>
      <c r="E64" s="602" t="s">
        <v>303</v>
      </c>
      <c r="F64" s="602" t="s">
        <v>311</v>
      </c>
      <c r="G64" s="603">
        <v>963943</v>
      </c>
      <c r="H64" s="604">
        <v>12</v>
      </c>
      <c r="I64" s="602" t="s">
        <v>299</v>
      </c>
      <c r="J64" s="600">
        <v>5</v>
      </c>
      <c r="K64" s="603">
        <v>0</v>
      </c>
      <c r="L64" s="754"/>
      <c r="M64" s="757"/>
      <c r="N64" s="760"/>
      <c r="O64" s="793"/>
      <c r="Q64" s="523"/>
    </row>
    <row r="65" spans="1:17" s="513" customFormat="1" ht="10.15" customHeight="1">
      <c r="A65" s="615"/>
      <c r="B65" s="524" t="s">
        <v>309</v>
      </c>
      <c r="C65" s="600">
        <v>6</v>
      </c>
      <c r="D65" s="601">
        <v>43514</v>
      </c>
      <c r="E65" s="602" t="s">
        <v>303</v>
      </c>
      <c r="F65" s="602" t="s">
        <v>311</v>
      </c>
      <c r="G65" s="603">
        <v>963943</v>
      </c>
      <c r="H65" s="604">
        <v>12</v>
      </c>
      <c r="I65" s="602" t="s">
        <v>300</v>
      </c>
      <c r="J65" s="600">
        <v>45</v>
      </c>
      <c r="K65" s="603">
        <v>169.208</v>
      </c>
      <c r="L65" s="755"/>
      <c r="M65" s="758"/>
      <c r="N65" s="761"/>
      <c r="O65" s="794"/>
      <c r="Q65" s="523"/>
    </row>
    <row r="66" spans="1:17" s="513" customFormat="1" ht="10.15" customHeight="1">
      <c r="A66" s="615"/>
      <c r="B66" s="522" t="s">
        <v>309</v>
      </c>
      <c r="C66" s="595">
        <v>676</v>
      </c>
      <c r="D66" s="596">
        <v>43516</v>
      </c>
      <c r="E66" s="597" t="s">
        <v>304</v>
      </c>
      <c r="F66" s="597" t="s">
        <v>317</v>
      </c>
      <c r="G66" s="598">
        <v>966599</v>
      </c>
      <c r="H66" s="599">
        <v>56</v>
      </c>
      <c r="I66" s="597" t="s">
        <v>299</v>
      </c>
      <c r="J66" s="595">
        <v>11.612</v>
      </c>
      <c r="K66" s="598">
        <v>31.292999999999999</v>
      </c>
      <c r="L66" s="762">
        <f>SUM(J66:J83)</f>
        <v>304.935</v>
      </c>
      <c r="M66" s="765">
        <f>SUM(K66:K83)</f>
        <v>306.06999999999994</v>
      </c>
      <c r="N66" s="768">
        <f>L66-M66</f>
        <v>-1.1349999999999341</v>
      </c>
      <c r="O66" s="786">
        <f>+M66/L66</f>
        <v>1.0037221047108398</v>
      </c>
      <c r="Q66" s="523"/>
    </row>
    <row r="67" spans="1:17" s="513" customFormat="1" ht="10.15" customHeight="1">
      <c r="A67" s="615"/>
      <c r="B67" s="515" t="s">
        <v>309</v>
      </c>
      <c r="C67" s="595">
        <v>676</v>
      </c>
      <c r="D67" s="596">
        <v>43516</v>
      </c>
      <c r="E67" s="597" t="s">
        <v>304</v>
      </c>
      <c r="F67" s="597" t="s">
        <v>317</v>
      </c>
      <c r="G67" s="598">
        <v>966599</v>
      </c>
      <c r="H67" s="599">
        <v>56</v>
      </c>
      <c r="I67" s="597" t="s">
        <v>300</v>
      </c>
      <c r="J67" s="595">
        <v>22.268999999999998</v>
      </c>
      <c r="K67" s="598">
        <v>145.27699999999999</v>
      </c>
      <c r="L67" s="763"/>
      <c r="M67" s="766"/>
      <c r="N67" s="769"/>
      <c r="O67" s="787"/>
      <c r="Q67" s="523"/>
    </row>
    <row r="68" spans="1:17" s="513" customFormat="1" ht="10.15" customHeight="1">
      <c r="A68" s="615"/>
      <c r="B68" s="515" t="s">
        <v>309</v>
      </c>
      <c r="C68" s="595">
        <v>676</v>
      </c>
      <c r="D68" s="596">
        <v>43516</v>
      </c>
      <c r="E68" s="597" t="s">
        <v>304</v>
      </c>
      <c r="F68" s="597" t="s">
        <v>318</v>
      </c>
      <c r="G68" s="598">
        <v>961338</v>
      </c>
      <c r="H68" s="599">
        <v>56</v>
      </c>
      <c r="I68" s="597" t="s">
        <v>299</v>
      </c>
      <c r="J68" s="595">
        <v>11.612</v>
      </c>
      <c r="K68" s="598">
        <v>4.1020000000000003</v>
      </c>
      <c r="L68" s="763"/>
      <c r="M68" s="766"/>
      <c r="N68" s="769"/>
      <c r="O68" s="787"/>
      <c r="Q68" s="523"/>
    </row>
    <row r="69" spans="1:17" s="513" customFormat="1" ht="10.15" customHeight="1">
      <c r="A69" s="615"/>
      <c r="B69" s="524" t="s">
        <v>309</v>
      </c>
      <c r="C69" s="595">
        <v>676</v>
      </c>
      <c r="D69" s="596">
        <v>43516</v>
      </c>
      <c r="E69" s="597" t="s">
        <v>304</v>
      </c>
      <c r="F69" s="597" t="s">
        <v>318</v>
      </c>
      <c r="G69" s="598">
        <v>961338</v>
      </c>
      <c r="H69" s="599">
        <v>56</v>
      </c>
      <c r="I69" s="597" t="s">
        <v>300</v>
      </c>
      <c r="J69" s="595">
        <v>22.268999999999998</v>
      </c>
      <c r="K69" s="598">
        <v>27.452999999999999</v>
      </c>
      <c r="L69" s="763"/>
      <c r="M69" s="766"/>
      <c r="N69" s="769"/>
      <c r="O69" s="787"/>
      <c r="Q69" s="523"/>
    </row>
    <row r="70" spans="1:17" s="513" customFormat="1" ht="10.15" customHeight="1">
      <c r="A70" s="615"/>
      <c r="B70" s="522" t="s">
        <v>309</v>
      </c>
      <c r="C70" s="595">
        <v>676</v>
      </c>
      <c r="D70" s="596">
        <v>43516</v>
      </c>
      <c r="E70" s="597" t="s">
        <v>304</v>
      </c>
      <c r="F70" s="597" t="s">
        <v>319</v>
      </c>
      <c r="G70" s="598">
        <v>962289</v>
      </c>
      <c r="H70" s="599">
        <v>56</v>
      </c>
      <c r="I70" s="597" t="s">
        <v>299</v>
      </c>
      <c r="J70" s="595">
        <v>11.612</v>
      </c>
      <c r="K70" s="598">
        <v>0</v>
      </c>
      <c r="L70" s="763"/>
      <c r="M70" s="766"/>
      <c r="N70" s="769"/>
      <c r="O70" s="787"/>
      <c r="Q70" s="523"/>
    </row>
    <row r="71" spans="1:17" s="513" customFormat="1" ht="10.15" customHeight="1">
      <c r="A71" s="615"/>
      <c r="B71" s="515" t="s">
        <v>309</v>
      </c>
      <c r="C71" s="595">
        <v>676</v>
      </c>
      <c r="D71" s="596">
        <v>43516</v>
      </c>
      <c r="E71" s="597" t="s">
        <v>304</v>
      </c>
      <c r="F71" s="597" t="s">
        <v>319</v>
      </c>
      <c r="G71" s="598">
        <v>962289</v>
      </c>
      <c r="H71" s="599">
        <v>56</v>
      </c>
      <c r="I71" s="597" t="s">
        <v>300</v>
      </c>
      <c r="J71" s="595">
        <v>22.268999999999998</v>
      </c>
      <c r="K71" s="598">
        <v>0</v>
      </c>
      <c r="L71" s="763"/>
      <c r="M71" s="766"/>
      <c r="N71" s="769"/>
      <c r="O71" s="787"/>
      <c r="Q71" s="523"/>
    </row>
    <row r="72" spans="1:17" s="513" customFormat="1" ht="10.15" customHeight="1">
      <c r="A72" s="615"/>
      <c r="B72" s="515" t="s">
        <v>309</v>
      </c>
      <c r="C72" s="595">
        <v>676</v>
      </c>
      <c r="D72" s="596">
        <v>43516</v>
      </c>
      <c r="E72" s="597" t="s">
        <v>304</v>
      </c>
      <c r="F72" s="597" t="s">
        <v>320</v>
      </c>
      <c r="G72" s="598">
        <v>964913</v>
      </c>
      <c r="H72" s="599">
        <v>56</v>
      </c>
      <c r="I72" s="597" t="s">
        <v>299</v>
      </c>
      <c r="J72" s="595">
        <v>11.612</v>
      </c>
      <c r="K72" s="598">
        <v>0</v>
      </c>
      <c r="L72" s="763"/>
      <c r="M72" s="766"/>
      <c r="N72" s="769"/>
      <c r="O72" s="787"/>
      <c r="Q72" s="523"/>
    </row>
    <row r="73" spans="1:17" s="513" customFormat="1" ht="10.15" customHeight="1">
      <c r="A73" s="615"/>
      <c r="B73" s="524" t="s">
        <v>309</v>
      </c>
      <c r="C73" s="595">
        <v>676</v>
      </c>
      <c r="D73" s="596">
        <v>43516</v>
      </c>
      <c r="E73" s="597" t="s">
        <v>304</v>
      </c>
      <c r="F73" s="597" t="s">
        <v>320</v>
      </c>
      <c r="G73" s="598">
        <v>964913</v>
      </c>
      <c r="H73" s="599">
        <v>56</v>
      </c>
      <c r="I73" s="597" t="s">
        <v>300</v>
      </c>
      <c r="J73" s="595">
        <v>22.268999999999998</v>
      </c>
      <c r="K73" s="598">
        <v>0</v>
      </c>
      <c r="L73" s="763"/>
      <c r="M73" s="766"/>
      <c r="N73" s="769"/>
      <c r="O73" s="787"/>
      <c r="Q73" s="523"/>
    </row>
    <row r="74" spans="1:17" s="513" customFormat="1" ht="10.15" customHeight="1">
      <c r="A74" s="615"/>
      <c r="B74" s="522" t="s">
        <v>309</v>
      </c>
      <c r="C74" s="595">
        <v>676</v>
      </c>
      <c r="D74" s="596">
        <v>43516</v>
      </c>
      <c r="E74" s="597" t="s">
        <v>304</v>
      </c>
      <c r="F74" s="597" t="s">
        <v>321</v>
      </c>
      <c r="G74" s="598">
        <v>966994</v>
      </c>
      <c r="H74" s="599">
        <v>56</v>
      </c>
      <c r="I74" s="597" t="s">
        <v>299</v>
      </c>
      <c r="J74" s="595">
        <v>11.612</v>
      </c>
      <c r="K74" s="598">
        <v>0</v>
      </c>
      <c r="L74" s="763"/>
      <c r="M74" s="766"/>
      <c r="N74" s="769"/>
      <c r="O74" s="787"/>
      <c r="Q74" s="523"/>
    </row>
    <row r="75" spans="1:17" s="513" customFormat="1" ht="10.15" customHeight="1">
      <c r="A75" s="615"/>
      <c r="B75" s="515" t="s">
        <v>309</v>
      </c>
      <c r="C75" s="595">
        <v>676</v>
      </c>
      <c r="D75" s="596">
        <v>43516</v>
      </c>
      <c r="E75" s="597" t="s">
        <v>304</v>
      </c>
      <c r="F75" s="597" t="s">
        <v>321</v>
      </c>
      <c r="G75" s="598">
        <v>966994</v>
      </c>
      <c r="H75" s="599">
        <v>56</v>
      </c>
      <c r="I75" s="597" t="s">
        <v>300</v>
      </c>
      <c r="J75" s="595">
        <v>22.268999999999998</v>
      </c>
      <c r="K75" s="598">
        <v>0</v>
      </c>
      <c r="L75" s="763"/>
      <c r="M75" s="766"/>
      <c r="N75" s="769"/>
      <c r="O75" s="787"/>
      <c r="Q75" s="523"/>
    </row>
    <row r="76" spans="1:17" s="513" customFormat="1" ht="10.15" customHeight="1">
      <c r="A76" s="615"/>
      <c r="B76" s="515" t="s">
        <v>309</v>
      </c>
      <c r="C76" s="595">
        <v>676</v>
      </c>
      <c r="D76" s="596">
        <v>43516</v>
      </c>
      <c r="E76" s="597" t="s">
        <v>304</v>
      </c>
      <c r="F76" s="597" t="s">
        <v>322</v>
      </c>
      <c r="G76" s="598">
        <v>964576</v>
      </c>
      <c r="H76" s="599">
        <v>56</v>
      </c>
      <c r="I76" s="597" t="s">
        <v>299</v>
      </c>
      <c r="J76" s="595">
        <v>11.612</v>
      </c>
      <c r="K76" s="598">
        <v>15.76</v>
      </c>
      <c r="L76" s="763"/>
      <c r="M76" s="766"/>
      <c r="N76" s="769"/>
      <c r="O76" s="787"/>
      <c r="Q76" s="523"/>
    </row>
    <row r="77" spans="1:17" s="513" customFormat="1" ht="10.15" customHeight="1">
      <c r="A77" s="615"/>
      <c r="B77" s="524" t="s">
        <v>309</v>
      </c>
      <c r="C77" s="595">
        <v>676</v>
      </c>
      <c r="D77" s="596">
        <v>43516</v>
      </c>
      <c r="E77" s="597" t="s">
        <v>304</v>
      </c>
      <c r="F77" s="597" t="s">
        <v>322</v>
      </c>
      <c r="G77" s="598">
        <v>964576</v>
      </c>
      <c r="H77" s="599">
        <v>56</v>
      </c>
      <c r="I77" s="597" t="s">
        <v>300</v>
      </c>
      <c r="J77" s="595">
        <v>22.268999999999998</v>
      </c>
      <c r="K77" s="598">
        <v>47.265000000000001</v>
      </c>
      <c r="L77" s="763"/>
      <c r="M77" s="766"/>
      <c r="N77" s="769"/>
      <c r="O77" s="787"/>
      <c r="Q77" s="523"/>
    </row>
    <row r="78" spans="1:17" s="513" customFormat="1" ht="10.15" customHeight="1">
      <c r="A78" s="615"/>
      <c r="B78" s="522" t="s">
        <v>309</v>
      </c>
      <c r="C78" s="595">
        <v>676</v>
      </c>
      <c r="D78" s="596">
        <v>43516</v>
      </c>
      <c r="E78" s="597" t="s">
        <v>304</v>
      </c>
      <c r="F78" s="597" t="s">
        <v>323</v>
      </c>
      <c r="G78" s="598">
        <v>966995</v>
      </c>
      <c r="H78" s="599">
        <v>56</v>
      </c>
      <c r="I78" s="597" t="s">
        <v>299</v>
      </c>
      <c r="J78" s="595">
        <v>11.612</v>
      </c>
      <c r="K78" s="598">
        <v>0</v>
      </c>
      <c r="L78" s="763"/>
      <c r="M78" s="766"/>
      <c r="N78" s="769"/>
      <c r="O78" s="787"/>
      <c r="Q78" s="523"/>
    </row>
    <row r="79" spans="1:17" s="513" customFormat="1" ht="10.15" customHeight="1">
      <c r="A79" s="615"/>
      <c r="B79" s="515" t="s">
        <v>309</v>
      </c>
      <c r="C79" s="595">
        <v>676</v>
      </c>
      <c r="D79" s="596">
        <v>43516</v>
      </c>
      <c r="E79" s="597" t="s">
        <v>304</v>
      </c>
      <c r="F79" s="597" t="s">
        <v>323</v>
      </c>
      <c r="G79" s="598">
        <v>966995</v>
      </c>
      <c r="H79" s="599">
        <v>56</v>
      </c>
      <c r="I79" s="597" t="s">
        <v>300</v>
      </c>
      <c r="J79" s="595">
        <v>22.268999999999998</v>
      </c>
      <c r="K79" s="598">
        <v>0</v>
      </c>
      <c r="L79" s="763"/>
      <c r="M79" s="766"/>
      <c r="N79" s="769"/>
      <c r="O79" s="787"/>
      <c r="Q79" s="523"/>
    </row>
    <row r="80" spans="1:17" s="513" customFormat="1" ht="10.15" customHeight="1">
      <c r="A80" s="615"/>
      <c r="B80" s="515" t="s">
        <v>309</v>
      </c>
      <c r="C80" s="595">
        <v>676</v>
      </c>
      <c r="D80" s="596">
        <v>43516</v>
      </c>
      <c r="E80" s="597" t="s">
        <v>304</v>
      </c>
      <c r="F80" s="597" t="s">
        <v>324</v>
      </c>
      <c r="G80" s="598">
        <v>953902</v>
      </c>
      <c r="H80" s="599">
        <v>56</v>
      </c>
      <c r="I80" s="597" t="s">
        <v>299</v>
      </c>
      <c r="J80" s="595">
        <v>11.612</v>
      </c>
      <c r="K80" s="598">
        <v>0</v>
      </c>
      <c r="L80" s="763"/>
      <c r="M80" s="766"/>
      <c r="N80" s="769"/>
      <c r="O80" s="787"/>
      <c r="Q80" s="523"/>
    </row>
    <row r="81" spans="1:17" s="513" customFormat="1" ht="10.15" customHeight="1">
      <c r="A81" s="615"/>
      <c r="B81" s="524" t="s">
        <v>309</v>
      </c>
      <c r="C81" s="595">
        <v>676</v>
      </c>
      <c r="D81" s="596">
        <v>43516</v>
      </c>
      <c r="E81" s="597" t="s">
        <v>304</v>
      </c>
      <c r="F81" s="597" t="s">
        <v>324</v>
      </c>
      <c r="G81" s="598">
        <v>953902</v>
      </c>
      <c r="H81" s="599">
        <v>56</v>
      </c>
      <c r="I81" s="597" t="s">
        <v>300</v>
      </c>
      <c r="J81" s="595">
        <v>22.268999999999998</v>
      </c>
      <c r="K81" s="598">
        <v>0</v>
      </c>
      <c r="L81" s="763"/>
      <c r="M81" s="766"/>
      <c r="N81" s="769"/>
      <c r="O81" s="787"/>
      <c r="Q81" s="523"/>
    </row>
    <row r="82" spans="1:17" s="513" customFormat="1" ht="10.15" customHeight="1">
      <c r="A82" s="615"/>
      <c r="B82" s="515" t="s">
        <v>309</v>
      </c>
      <c r="C82" s="595">
        <v>676</v>
      </c>
      <c r="D82" s="596">
        <v>43516</v>
      </c>
      <c r="E82" s="597" t="s">
        <v>304</v>
      </c>
      <c r="F82" s="597" t="s">
        <v>325</v>
      </c>
      <c r="G82" s="598">
        <v>966633</v>
      </c>
      <c r="H82" s="599">
        <v>56</v>
      </c>
      <c r="I82" s="597" t="s">
        <v>299</v>
      </c>
      <c r="J82" s="595">
        <v>11.615</v>
      </c>
      <c r="K82" s="598">
        <v>1.746</v>
      </c>
      <c r="L82" s="763"/>
      <c r="M82" s="766"/>
      <c r="N82" s="769"/>
      <c r="O82" s="787"/>
      <c r="Q82" s="523"/>
    </row>
    <row r="83" spans="1:17" s="513" customFormat="1" ht="10.15" customHeight="1">
      <c r="A83" s="615"/>
      <c r="B83" s="515" t="s">
        <v>309</v>
      </c>
      <c r="C83" s="595">
        <v>676</v>
      </c>
      <c r="D83" s="596">
        <v>43516</v>
      </c>
      <c r="E83" s="597" t="s">
        <v>304</v>
      </c>
      <c r="F83" s="597" t="s">
        <v>325</v>
      </c>
      <c r="G83" s="598">
        <v>966633</v>
      </c>
      <c r="H83" s="599">
        <v>56</v>
      </c>
      <c r="I83" s="597" t="s">
        <v>300</v>
      </c>
      <c r="J83" s="595">
        <v>22.271999999999998</v>
      </c>
      <c r="K83" s="598">
        <v>33.173999999999999</v>
      </c>
      <c r="L83" s="764"/>
      <c r="M83" s="767"/>
      <c r="N83" s="770"/>
      <c r="O83" s="788"/>
      <c r="Q83" s="523"/>
    </row>
    <row r="84" spans="1:17" s="513" customFormat="1" ht="10.15" customHeight="1">
      <c r="A84" s="615"/>
      <c r="B84" s="515" t="s">
        <v>309</v>
      </c>
      <c r="C84" s="600">
        <v>677</v>
      </c>
      <c r="D84" s="601">
        <v>43516</v>
      </c>
      <c r="E84" s="602" t="s">
        <v>304</v>
      </c>
      <c r="F84" s="602" t="s">
        <v>326</v>
      </c>
      <c r="G84" s="603">
        <v>924618</v>
      </c>
      <c r="H84" s="604">
        <v>57</v>
      </c>
      <c r="I84" s="602" t="s">
        <v>299</v>
      </c>
      <c r="J84" s="600">
        <v>0</v>
      </c>
      <c r="K84" s="603">
        <v>0</v>
      </c>
      <c r="L84" s="734">
        <f>SUM(J84:J97)</f>
        <v>199.833</v>
      </c>
      <c r="M84" s="737">
        <f t="shared" ref="M84" si="4">SUM(K84:K97)</f>
        <v>186.20999999999998</v>
      </c>
      <c r="N84" s="771">
        <f>L84-M84</f>
        <v>13.623000000000019</v>
      </c>
      <c r="O84" s="798">
        <f>+M84/L84</f>
        <v>0.93182807644383048</v>
      </c>
      <c r="Q84" s="523"/>
    </row>
    <row r="85" spans="1:17" s="513" customFormat="1" ht="10.15" customHeight="1">
      <c r="A85" s="615"/>
      <c r="B85" s="515" t="s">
        <v>309</v>
      </c>
      <c r="C85" s="600">
        <v>677</v>
      </c>
      <c r="D85" s="601">
        <v>43516</v>
      </c>
      <c r="E85" s="602" t="s">
        <v>304</v>
      </c>
      <c r="F85" s="602" t="s">
        <v>326</v>
      </c>
      <c r="G85" s="603">
        <v>924618</v>
      </c>
      <c r="H85" s="604">
        <v>57</v>
      </c>
      <c r="I85" s="602" t="s">
        <v>300</v>
      </c>
      <c r="J85" s="600">
        <v>28.547000000000001</v>
      </c>
      <c r="K85" s="603">
        <v>0</v>
      </c>
      <c r="L85" s="735"/>
      <c r="M85" s="738"/>
      <c r="N85" s="772"/>
      <c r="O85" s="799"/>
      <c r="Q85" s="523"/>
    </row>
    <row r="86" spans="1:17" s="513" customFormat="1" ht="10.15" customHeight="1">
      <c r="A86" s="615"/>
      <c r="B86" s="515" t="s">
        <v>309</v>
      </c>
      <c r="C86" s="600">
        <v>677</v>
      </c>
      <c r="D86" s="601">
        <v>43516</v>
      </c>
      <c r="E86" s="602" t="s">
        <v>304</v>
      </c>
      <c r="F86" s="602" t="s">
        <v>327</v>
      </c>
      <c r="G86" s="603">
        <v>957798</v>
      </c>
      <c r="H86" s="604">
        <v>57</v>
      </c>
      <c r="I86" s="602" t="s">
        <v>299</v>
      </c>
      <c r="J86" s="600">
        <v>0</v>
      </c>
      <c r="K86" s="603">
        <v>0</v>
      </c>
      <c r="L86" s="735"/>
      <c r="M86" s="738"/>
      <c r="N86" s="772"/>
      <c r="O86" s="799"/>
      <c r="Q86" s="523"/>
    </row>
    <row r="87" spans="1:17" s="513" customFormat="1" ht="10.15" customHeight="1">
      <c r="A87" s="615"/>
      <c r="B87" s="515" t="s">
        <v>309</v>
      </c>
      <c r="C87" s="600">
        <v>677</v>
      </c>
      <c r="D87" s="601">
        <v>43516</v>
      </c>
      <c r="E87" s="602" t="s">
        <v>304</v>
      </c>
      <c r="F87" s="602" t="s">
        <v>327</v>
      </c>
      <c r="G87" s="603">
        <v>957798</v>
      </c>
      <c r="H87" s="604">
        <v>57</v>
      </c>
      <c r="I87" s="602" t="s">
        <v>300</v>
      </c>
      <c r="J87" s="600">
        <v>28.547000000000001</v>
      </c>
      <c r="K87" s="603">
        <v>0</v>
      </c>
      <c r="L87" s="735"/>
      <c r="M87" s="738"/>
      <c r="N87" s="772"/>
      <c r="O87" s="799"/>
      <c r="Q87" s="523"/>
    </row>
    <row r="88" spans="1:17" s="513" customFormat="1" ht="10.15" customHeight="1">
      <c r="A88" s="615"/>
      <c r="B88" s="522" t="s">
        <v>309</v>
      </c>
      <c r="C88" s="600">
        <v>677</v>
      </c>
      <c r="D88" s="601">
        <v>43516</v>
      </c>
      <c r="E88" s="602" t="s">
        <v>304</v>
      </c>
      <c r="F88" s="602" t="s">
        <v>328</v>
      </c>
      <c r="G88" s="603">
        <v>957816</v>
      </c>
      <c r="H88" s="604">
        <v>57</v>
      </c>
      <c r="I88" s="602" t="s">
        <v>299</v>
      </c>
      <c r="J88" s="600">
        <v>0</v>
      </c>
      <c r="K88" s="603">
        <v>0</v>
      </c>
      <c r="L88" s="735"/>
      <c r="M88" s="738"/>
      <c r="N88" s="772"/>
      <c r="O88" s="799"/>
      <c r="Q88" s="523"/>
    </row>
    <row r="89" spans="1:17" s="513" customFormat="1" ht="10.15" customHeight="1">
      <c r="A89" s="615"/>
      <c r="B89" s="515" t="s">
        <v>309</v>
      </c>
      <c r="C89" s="600">
        <v>677</v>
      </c>
      <c r="D89" s="601">
        <v>43516</v>
      </c>
      <c r="E89" s="602" t="s">
        <v>304</v>
      </c>
      <c r="F89" s="602" t="s">
        <v>328</v>
      </c>
      <c r="G89" s="603">
        <v>957816</v>
      </c>
      <c r="H89" s="604">
        <v>57</v>
      </c>
      <c r="I89" s="602" t="s">
        <v>300</v>
      </c>
      <c r="J89" s="600">
        <v>28.547000000000001</v>
      </c>
      <c r="K89" s="603">
        <v>0</v>
      </c>
      <c r="L89" s="735"/>
      <c r="M89" s="738"/>
      <c r="N89" s="772"/>
      <c r="O89" s="799"/>
      <c r="Q89" s="523"/>
    </row>
    <row r="90" spans="1:17" s="513" customFormat="1" ht="10.15" customHeight="1">
      <c r="A90" s="615"/>
      <c r="B90" s="515" t="s">
        <v>309</v>
      </c>
      <c r="C90" s="600">
        <v>677</v>
      </c>
      <c r="D90" s="601">
        <v>43516</v>
      </c>
      <c r="E90" s="602" t="s">
        <v>304</v>
      </c>
      <c r="F90" s="602" t="s">
        <v>329</v>
      </c>
      <c r="G90" s="603">
        <v>963685</v>
      </c>
      <c r="H90" s="604">
        <v>57</v>
      </c>
      <c r="I90" s="602" t="s">
        <v>299</v>
      </c>
      <c r="J90" s="600">
        <v>0</v>
      </c>
      <c r="K90" s="603">
        <v>0</v>
      </c>
      <c r="L90" s="735"/>
      <c r="M90" s="738"/>
      <c r="N90" s="772"/>
      <c r="O90" s="799"/>
      <c r="Q90" s="523"/>
    </row>
    <row r="91" spans="1:17" s="513" customFormat="1" ht="10.15" customHeight="1">
      <c r="A91" s="615"/>
      <c r="B91" s="524" t="s">
        <v>309</v>
      </c>
      <c r="C91" s="600">
        <v>677</v>
      </c>
      <c r="D91" s="601">
        <v>43516</v>
      </c>
      <c r="E91" s="602" t="s">
        <v>304</v>
      </c>
      <c r="F91" s="602" t="s">
        <v>329</v>
      </c>
      <c r="G91" s="603">
        <v>963685</v>
      </c>
      <c r="H91" s="604">
        <v>57</v>
      </c>
      <c r="I91" s="602" t="s">
        <v>300</v>
      </c>
      <c r="J91" s="600">
        <v>28.547000000000001</v>
      </c>
      <c r="K91" s="603">
        <v>149.47499999999999</v>
      </c>
      <c r="L91" s="735"/>
      <c r="M91" s="738"/>
      <c r="N91" s="772"/>
      <c r="O91" s="799"/>
      <c r="Q91" s="523"/>
    </row>
    <row r="92" spans="1:17" s="513" customFormat="1" ht="10.15" customHeight="1">
      <c r="A92" s="615"/>
      <c r="B92" s="515" t="s">
        <v>309</v>
      </c>
      <c r="C92" s="600">
        <v>677</v>
      </c>
      <c r="D92" s="601">
        <v>43516</v>
      </c>
      <c r="E92" s="602" t="s">
        <v>304</v>
      </c>
      <c r="F92" s="602" t="s">
        <v>330</v>
      </c>
      <c r="G92" s="603">
        <v>965073</v>
      </c>
      <c r="H92" s="604">
        <v>57</v>
      </c>
      <c r="I92" s="602" t="s">
        <v>299</v>
      </c>
      <c r="J92" s="600">
        <v>0</v>
      </c>
      <c r="K92" s="603">
        <v>0</v>
      </c>
      <c r="L92" s="735"/>
      <c r="M92" s="738"/>
      <c r="N92" s="772"/>
      <c r="O92" s="799"/>
      <c r="Q92" s="523"/>
    </row>
    <row r="93" spans="1:17" s="513" customFormat="1" ht="10.15" customHeight="1">
      <c r="A93" s="615"/>
      <c r="B93" s="515" t="s">
        <v>309</v>
      </c>
      <c r="C93" s="600">
        <v>677</v>
      </c>
      <c r="D93" s="601">
        <v>43516</v>
      </c>
      <c r="E93" s="602" t="s">
        <v>304</v>
      </c>
      <c r="F93" s="602" t="s">
        <v>330</v>
      </c>
      <c r="G93" s="603">
        <v>965073</v>
      </c>
      <c r="H93" s="604">
        <v>57</v>
      </c>
      <c r="I93" s="602" t="s">
        <v>300</v>
      </c>
      <c r="J93" s="600">
        <v>28.547000000000001</v>
      </c>
      <c r="K93" s="603">
        <v>0</v>
      </c>
      <c r="L93" s="735"/>
      <c r="M93" s="738"/>
      <c r="N93" s="772"/>
      <c r="O93" s="799"/>
      <c r="Q93" s="523"/>
    </row>
    <row r="94" spans="1:17" s="513" customFormat="1" ht="10.15" customHeight="1">
      <c r="A94" s="615"/>
      <c r="B94" s="515" t="s">
        <v>309</v>
      </c>
      <c r="C94" s="600">
        <v>677</v>
      </c>
      <c r="D94" s="601">
        <v>43516</v>
      </c>
      <c r="E94" s="602" t="s">
        <v>304</v>
      </c>
      <c r="F94" s="602" t="s">
        <v>331</v>
      </c>
      <c r="G94" s="603">
        <v>965344</v>
      </c>
      <c r="H94" s="604">
        <v>57</v>
      </c>
      <c r="I94" s="602" t="s">
        <v>299</v>
      </c>
      <c r="J94" s="600">
        <v>0</v>
      </c>
      <c r="K94" s="603">
        <v>0</v>
      </c>
      <c r="L94" s="735"/>
      <c r="M94" s="738"/>
      <c r="N94" s="772"/>
      <c r="O94" s="799"/>
      <c r="Q94" s="523"/>
    </row>
    <row r="95" spans="1:17" s="513" customFormat="1" ht="10.15" customHeight="1">
      <c r="A95" s="615"/>
      <c r="B95" s="515" t="s">
        <v>309</v>
      </c>
      <c r="C95" s="600">
        <v>677</v>
      </c>
      <c r="D95" s="601">
        <v>43516</v>
      </c>
      <c r="E95" s="602" t="s">
        <v>304</v>
      </c>
      <c r="F95" s="602" t="s">
        <v>331</v>
      </c>
      <c r="G95" s="603">
        <v>965344</v>
      </c>
      <c r="H95" s="604">
        <v>57</v>
      </c>
      <c r="I95" s="602" t="s">
        <v>300</v>
      </c>
      <c r="J95" s="600">
        <v>28.547000000000001</v>
      </c>
      <c r="K95" s="603">
        <v>36.734999999999999</v>
      </c>
      <c r="L95" s="735"/>
      <c r="M95" s="738"/>
      <c r="N95" s="772"/>
      <c r="O95" s="799"/>
      <c r="Q95" s="523"/>
    </row>
    <row r="96" spans="1:17" s="513" customFormat="1" ht="10.15" customHeight="1">
      <c r="A96" s="615"/>
      <c r="B96" s="515" t="s">
        <v>309</v>
      </c>
      <c r="C96" s="600">
        <v>677</v>
      </c>
      <c r="D96" s="601">
        <v>43516</v>
      </c>
      <c r="E96" s="602" t="s">
        <v>304</v>
      </c>
      <c r="F96" s="602" t="s">
        <v>332</v>
      </c>
      <c r="G96" s="603">
        <v>967145</v>
      </c>
      <c r="H96" s="604">
        <v>57</v>
      </c>
      <c r="I96" s="602" t="s">
        <v>299</v>
      </c>
      <c r="J96" s="600">
        <v>0</v>
      </c>
      <c r="K96" s="603">
        <v>0</v>
      </c>
      <c r="L96" s="735"/>
      <c r="M96" s="738"/>
      <c r="N96" s="772"/>
      <c r="O96" s="799"/>
      <c r="Q96" s="523"/>
    </row>
    <row r="97" spans="1:17" s="513" customFormat="1" ht="10.15" customHeight="1">
      <c r="A97" s="615"/>
      <c r="B97" s="515" t="s">
        <v>309</v>
      </c>
      <c r="C97" s="600">
        <v>677</v>
      </c>
      <c r="D97" s="601">
        <v>43516</v>
      </c>
      <c r="E97" s="602" t="s">
        <v>304</v>
      </c>
      <c r="F97" s="602" t="s">
        <v>332</v>
      </c>
      <c r="G97" s="603">
        <v>967145</v>
      </c>
      <c r="H97" s="604">
        <v>57</v>
      </c>
      <c r="I97" s="602" t="s">
        <v>300</v>
      </c>
      <c r="J97" s="600">
        <v>28.550999999999998</v>
      </c>
      <c r="K97" s="603">
        <v>0</v>
      </c>
      <c r="L97" s="736"/>
      <c r="M97" s="739"/>
      <c r="N97" s="773"/>
      <c r="O97" s="800"/>
      <c r="Q97" s="523"/>
    </row>
    <row r="98" spans="1:17" s="513" customFormat="1" ht="10.15" customHeight="1">
      <c r="A98" s="615"/>
      <c r="B98" s="522" t="s">
        <v>309</v>
      </c>
      <c r="C98" s="595">
        <v>9</v>
      </c>
      <c r="D98" s="596">
        <v>43517</v>
      </c>
      <c r="E98" s="597" t="s">
        <v>303</v>
      </c>
      <c r="F98" s="597" t="s">
        <v>310</v>
      </c>
      <c r="G98" s="598">
        <v>957800</v>
      </c>
      <c r="H98" s="599">
        <v>12</v>
      </c>
      <c r="I98" s="597" t="s">
        <v>299</v>
      </c>
      <c r="J98" s="595">
        <v>29.5</v>
      </c>
      <c r="K98" s="598">
        <v>0</v>
      </c>
      <c r="L98" s="725">
        <f>SUM(J98:J101)</f>
        <v>264</v>
      </c>
      <c r="M98" s="728">
        <f t="shared" ref="M98" si="5">SUM(K98:K101)</f>
        <v>83.912000000000006</v>
      </c>
      <c r="N98" s="731">
        <f>L98-M98</f>
        <v>180.08799999999999</v>
      </c>
      <c r="O98" s="801">
        <f>+M98/L98</f>
        <v>0.31784848484848488</v>
      </c>
      <c r="Q98" s="523"/>
    </row>
    <row r="99" spans="1:17" s="513" customFormat="1" ht="10.15" customHeight="1">
      <c r="A99" s="615"/>
      <c r="B99" s="515" t="s">
        <v>309</v>
      </c>
      <c r="C99" s="595">
        <v>9</v>
      </c>
      <c r="D99" s="596">
        <v>43517</v>
      </c>
      <c r="E99" s="597" t="s">
        <v>303</v>
      </c>
      <c r="F99" s="597" t="s">
        <v>310</v>
      </c>
      <c r="G99" s="598">
        <v>957800</v>
      </c>
      <c r="H99" s="599">
        <v>12</v>
      </c>
      <c r="I99" s="597" t="s">
        <v>300</v>
      </c>
      <c r="J99" s="595">
        <v>102.5</v>
      </c>
      <c r="K99" s="598">
        <v>41.557000000000002</v>
      </c>
      <c r="L99" s="726"/>
      <c r="M99" s="729"/>
      <c r="N99" s="732"/>
      <c r="O99" s="802"/>
      <c r="Q99" s="523"/>
    </row>
    <row r="100" spans="1:17" s="513" customFormat="1" ht="10.15" customHeight="1">
      <c r="A100" s="615"/>
      <c r="B100" s="515" t="s">
        <v>309</v>
      </c>
      <c r="C100" s="595">
        <v>9</v>
      </c>
      <c r="D100" s="596">
        <v>43517</v>
      </c>
      <c r="E100" s="597" t="s">
        <v>303</v>
      </c>
      <c r="F100" s="597" t="s">
        <v>311</v>
      </c>
      <c r="G100" s="598">
        <v>963943</v>
      </c>
      <c r="H100" s="599">
        <v>12</v>
      </c>
      <c r="I100" s="597" t="s">
        <v>299</v>
      </c>
      <c r="J100" s="595">
        <v>29.5</v>
      </c>
      <c r="K100" s="598">
        <v>0</v>
      </c>
      <c r="L100" s="726"/>
      <c r="M100" s="729"/>
      <c r="N100" s="732"/>
      <c r="O100" s="802"/>
      <c r="Q100" s="523"/>
    </row>
    <row r="101" spans="1:17" s="513" customFormat="1" ht="10.15" customHeight="1">
      <c r="A101" s="615"/>
      <c r="B101" s="515" t="s">
        <v>309</v>
      </c>
      <c r="C101" s="595">
        <v>9</v>
      </c>
      <c r="D101" s="596">
        <v>43517</v>
      </c>
      <c r="E101" s="597" t="s">
        <v>303</v>
      </c>
      <c r="F101" s="597" t="s">
        <v>311</v>
      </c>
      <c r="G101" s="598">
        <v>963943</v>
      </c>
      <c r="H101" s="599">
        <v>12</v>
      </c>
      <c r="I101" s="597" t="s">
        <v>300</v>
      </c>
      <c r="J101" s="595">
        <v>102.5</v>
      </c>
      <c r="K101" s="598">
        <v>42.354999999999997</v>
      </c>
      <c r="L101" s="727"/>
      <c r="M101" s="730"/>
      <c r="N101" s="733"/>
      <c r="O101" s="803"/>
      <c r="Q101" s="523"/>
    </row>
    <row r="102" spans="1:17" s="513" customFormat="1" ht="10.15" customHeight="1">
      <c r="A102" s="615"/>
      <c r="B102" s="515" t="s">
        <v>309</v>
      </c>
      <c r="C102" s="600">
        <v>774</v>
      </c>
      <c r="D102" s="601">
        <v>43523</v>
      </c>
      <c r="E102" s="602" t="s">
        <v>303</v>
      </c>
      <c r="F102" s="602" t="s">
        <v>333</v>
      </c>
      <c r="G102" s="603">
        <v>923199</v>
      </c>
      <c r="H102" s="604">
        <v>42</v>
      </c>
      <c r="I102" s="602" t="s">
        <v>299</v>
      </c>
      <c r="J102" s="600">
        <v>0</v>
      </c>
      <c r="K102" s="603">
        <v>0</v>
      </c>
      <c r="L102" s="734">
        <f>SUM(J102:J107)</f>
        <v>300</v>
      </c>
      <c r="M102" s="737">
        <f t="shared" ref="M102" si="6">SUM(K102:K107)</f>
        <v>300</v>
      </c>
      <c r="N102" s="771">
        <f>L102-M102</f>
        <v>0</v>
      </c>
      <c r="O102" s="798">
        <f>+M102/L102</f>
        <v>1</v>
      </c>
      <c r="Q102" s="523"/>
    </row>
    <row r="103" spans="1:17" s="513" customFormat="1" ht="10.15" customHeight="1">
      <c r="A103" s="615"/>
      <c r="B103" s="515" t="s">
        <v>309</v>
      </c>
      <c r="C103" s="600">
        <v>774</v>
      </c>
      <c r="D103" s="601">
        <v>43523</v>
      </c>
      <c r="E103" s="602" t="s">
        <v>303</v>
      </c>
      <c r="F103" s="602" t="s">
        <v>333</v>
      </c>
      <c r="G103" s="603">
        <v>923199</v>
      </c>
      <c r="H103" s="604">
        <v>42</v>
      </c>
      <c r="I103" s="602" t="s">
        <v>300</v>
      </c>
      <c r="J103" s="600">
        <v>100</v>
      </c>
      <c r="K103" s="603">
        <v>100</v>
      </c>
      <c r="L103" s="735"/>
      <c r="M103" s="738"/>
      <c r="N103" s="772"/>
      <c r="O103" s="799"/>
      <c r="Q103" s="523"/>
    </row>
    <row r="104" spans="1:17" s="513" customFormat="1" ht="10.15" customHeight="1">
      <c r="A104" s="615"/>
      <c r="B104" s="515" t="s">
        <v>309</v>
      </c>
      <c r="C104" s="600">
        <v>774</v>
      </c>
      <c r="D104" s="601">
        <v>43523</v>
      </c>
      <c r="E104" s="602" t="s">
        <v>303</v>
      </c>
      <c r="F104" s="602" t="s">
        <v>334</v>
      </c>
      <c r="G104" s="603">
        <v>966875</v>
      </c>
      <c r="H104" s="604">
        <v>42</v>
      </c>
      <c r="I104" s="602" t="s">
        <v>299</v>
      </c>
      <c r="J104" s="600">
        <v>0</v>
      </c>
      <c r="K104" s="603">
        <v>0</v>
      </c>
      <c r="L104" s="735"/>
      <c r="M104" s="738"/>
      <c r="N104" s="772"/>
      <c r="O104" s="799"/>
      <c r="Q104" s="523"/>
    </row>
    <row r="105" spans="1:17" s="513" customFormat="1" ht="10.15" customHeight="1">
      <c r="A105" s="615"/>
      <c r="B105" s="515" t="s">
        <v>309</v>
      </c>
      <c r="C105" s="600">
        <v>774</v>
      </c>
      <c r="D105" s="601">
        <v>43523</v>
      </c>
      <c r="E105" s="602" t="s">
        <v>303</v>
      </c>
      <c r="F105" s="602" t="s">
        <v>334</v>
      </c>
      <c r="G105" s="603">
        <v>966875</v>
      </c>
      <c r="H105" s="604">
        <v>42</v>
      </c>
      <c r="I105" s="602" t="s">
        <v>300</v>
      </c>
      <c r="J105" s="600">
        <v>100</v>
      </c>
      <c r="K105" s="603">
        <v>100</v>
      </c>
      <c r="L105" s="735"/>
      <c r="M105" s="738"/>
      <c r="N105" s="772"/>
      <c r="O105" s="799"/>
      <c r="Q105" s="523"/>
    </row>
    <row r="106" spans="1:17" s="513" customFormat="1" ht="10.15" customHeight="1">
      <c r="A106" s="615"/>
      <c r="B106" s="515" t="s">
        <v>309</v>
      </c>
      <c r="C106" s="600">
        <v>774</v>
      </c>
      <c r="D106" s="601">
        <v>43523</v>
      </c>
      <c r="E106" s="602" t="s">
        <v>303</v>
      </c>
      <c r="F106" s="602" t="s">
        <v>335</v>
      </c>
      <c r="G106" s="603">
        <v>964068</v>
      </c>
      <c r="H106" s="604">
        <v>42</v>
      </c>
      <c r="I106" s="602" t="s">
        <v>299</v>
      </c>
      <c r="J106" s="600">
        <v>0</v>
      </c>
      <c r="K106" s="603">
        <v>0</v>
      </c>
      <c r="L106" s="735"/>
      <c r="M106" s="738"/>
      <c r="N106" s="772"/>
      <c r="O106" s="799"/>
      <c r="Q106" s="523"/>
    </row>
    <row r="107" spans="1:17" s="513" customFormat="1" ht="10.15" customHeight="1">
      <c r="A107" s="615"/>
      <c r="B107" s="524" t="s">
        <v>309</v>
      </c>
      <c r="C107" s="600">
        <v>774</v>
      </c>
      <c r="D107" s="601">
        <v>43523</v>
      </c>
      <c r="E107" s="602" t="s">
        <v>303</v>
      </c>
      <c r="F107" s="602" t="s">
        <v>335</v>
      </c>
      <c r="G107" s="603">
        <v>964068</v>
      </c>
      <c r="H107" s="604">
        <v>42</v>
      </c>
      <c r="I107" s="602" t="s">
        <v>300</v>
      </c>
      <c r="J107" s="600">
        <v>100</v>
      </c>
      <c r="K107" s="603">
        <v>100</v>
      </c>
      <c r="L107" s="736"/>
      <c r="M107" s="739"/>
      <c r="N107" s="773"/>
      <c r="O107" s="800"/>
      <c r="Q107" s="523"/>
    </row>
    <row r="108" spans="1:17" s="513" customFormat="1" ht="10.15" customHeight="1">
      <c r="A108" s="615"/>
      <c r="B108" s="522" t="s">
        <v>309</v>
      </c>
      <c r="C108" s="595">
        <v>26</v>
      </c>
      <c r="D108" s="596">
        <v>43537</v>
      </c>
      <c r="E108" s="597" t="s">
        <v>303</v>
      </c>
      <c r="F108" s="597" t="s">
        <v>312</v>
      </c>
      <c r="G108" s="598">
        <v>967281</v>
      </c>
      <c r="H108" s="599">
        <v>74</v>
      </c>
      <c r="I108" s="597" t="s">
        <v>299</v>
      </c>
      <c r="J108" s="595">
        <v>3.6666666666666665</v>
      </c>
      <c r="K108" s="598">
        <v>12.205</v>
      </c>
      <c r="L108" s="725">
        <f>SUM(J108:J113)</f>
        <v>32</v>
      </c>
      <c r="M108" s="728">
        <f t="shared" ref="M108" si="7">SUM(K108:K113)</f>
        <v>222.70499999999998</v>
      </c>
      <c r="N108" s="731">
        <f>L108-M108</f>
        <v>-190.70499999999998</v>
      </c>
      <c r="O108" s="807">
        <f>+M108/L108</f>
        <v>6.9595312499999995</v>
      </c>
      <c r="Q108" s="523"/>
    </row>
    <row r="109" spans="1:17" s="513" customFormat="1" ht="10.15" customHeight="1">
      <c r="A109" s="615"/>
      <c r="B109" s="515" t="s">
        <v>309</v>
      </c>
      <c r="C109" s="595">
        <v>26</v>
      </c>
      <c r="D109" s="596">
        <v>43537</v>
      </c>
      <c r="E109" s="597" t="s">
        <v>303</v>
      </c>
      <c r="F109" s="597" t="s">
        <v>312</v>
      </c>
      <c r="G109" s="598">
        <v>967281</v>
      </c>
      <c r="H109" s="599">
        <v>74</v>
      </c>
      <c r="I109" s="597" t="s">
        <v>300</v>
      </c>
      <c r="J109" s="595">
        <v>7</v>
      </c>
      <c r="K109" s="598">
        <v>31.385000000000002</v>
      </c>
      <c r="L109" s="726"/>
      <c r="M109" s="729"/>
      <c r="N109" s="732"/>
      <c r="O109" s="808"/>
      <c r="Q109" s="523"/>
    </row>
    <row r="110" spans="1:17" s="513" customFormat="1" ht="10.15" customHeight="1">
      <c r="A110" s="615"/>
      <c r="B110" s="515" t="s">
        <v>309</v>
      </c>
      <c r="C110" s="595">
        <v>26</v>
      </c>
      <c r="D110" s="596">
        <v>43537</v>
      </c>
      <c r="E110" s="597" t="s">
        <v>303</v>
      </c>
      <c r="F110" s="597" t="s">
        <v>313</v>
      </c>
      <c r="G110" s="598">
        <v>904281</v>
      </c>
      <c r="H110" s="599">
        <v>74</v>
      </c>
      <c r="I110" s="597" t="s">
        <v>299</v>
      </c>
      <c r="J110" s="595">
        <v>3.6666666666666665</v>
      </c>
      <c r="K110" s="598">
        <v>23.751999999999999</v>
      </c>
      <c r="L110" s="726"/>
      <c r="M110" s="729"/>
      <c r="N110" s="732"/>
      <c r="O110" s="808"/>
      <c r="Q110" s="523"/>
    </row>
    <row r="111" spans="1:17" s="513" customFormat="1" ht="10.15" customHeight="1">
      <c r="A111" s="615"/>
      <c r="B111" s="515" t="s">
        <v>309</v>
      </c>
      <c r="C111" s="595">
        <v>26</v>
      </c>
      <c r="D111" s="596">
        <v>43537</v>
      </c>
      <c r="E111" s="597" t="s">
        <v>303</v>
      </c>
      <c r="F111" s="597" t="s">
        <v>313</v>
      </c>
      <c r="G111" s="598">
        <v>904281</v>
      </c>
      <c r="H111" s="599">
        <v>74</v>
      </c>
      <c r="I111" s="597" t="s">
        <v>300</v>
      </c>
      <c r="J111" s="595">
        <v>7</v>
      </c>
      <c r="K111" s="598">
        <v>67.322999999999993</v>
      </c>
      <c r="L111" s="726"/>
      <c r="M111" s="729"/>
      <c r="N111" s="732"/>
      <c r="O111" s="808"/>
      <c r="Q111" s="523"/>
    </row>
    <row r="112" spans="1:17" s="513" customFormat="1" ht="10.15" customHeight="1">
      <c r="A112" s="615"/>
      <c r="B112" s="515" t="s">
        <v>309</v>
      </c>
      <c r="C112" s="595">
        <v>26</v>
      </c>
      <c r="D112" s="596">
        <v>43537</v>
      </c>
      <c r="E112" s="597" t="s">
        <v>303</v>
      </c>
      <c r="F112" s="597" t="s">
        <v>314</v>
      </c>
      <c r="G112" s="598">
        <v>967342</v>
      </c>
      <c r="H112" s="599">
        <v>74</v>
      </c>
      <c r="I112" s="597" t="s">
        <v>299</v>
      </c>
      <c r="J112" s="595">
        <v>3.6666666666666665</v>
      </c>
      <c r="K112" s="598">
        <v>24.423999999999999</v>
      </c>
      <c r="L112" s="726"/>
      <c r="M112" s="729"/>
      <c r="N112" s="732"/>
      <c r="O112" s="808"/>
      <c r="Q112" s="523"/>
    </row>
    <row r="113" spans="1:17" s="513" customFormat="1" ht="10.15" customHeight="1">
      <c r="A113" s="615"/>
      <c r="B113" s="515" t="s">
        <v>309</v>
      </c>
      <c r="C113" s="595">
        <v>26</v>
      </c>
      <c r="D113" s="596">
        <v>43537</v>
      </c>
      <c r="E113" s="597" t="s">
        <v>303</v>
      </c>
      <c r="F113" s="597" t="s">
        <v>314</v>
      </c>
      <c r="G113" s="598">
        <v>967342</v>
      </c>
      <c r="H113" s="599">
        <v>74</v>
      </c>
      <c r="I113" s="597" t="s">
        <v>300</v>
      </c>
      <c r="J113" s="595">
        <v>7</v>
      </c>
      <c r="K113" s="598">
        <v>63.616</v>
      </c>
      <c r="L113" s="727"/>
      <c r="M113" s="730"/>
      <c r="N113" s="733"/>
      <c r="O113" s="809"/>
      <c r="Q113" s="523"/>
    </row>
    <row r="114" spans="1:17" s="513" customFormat="1" ht="10.15" customHeight="1">
      <c r="A114" s="615"/>
      <c r="B114" s="515" t="s">
        <v>309</v>
      </c>
      <c r="C114" s="600">
        <v>27</v>
      </c>
      <c r="D114" s="601">
        <v>43537</v>
      </c>
      <c r="E114" s="602" t="s">
        <v>303</v>
      </c>
      <c r="F114" s="602" t="s">
        <v>312</v>
      </c>
      <c r="G114" s="603">
        <v>967281</v>
      </c>
      <c r="H114" s="604">
        <v>74</v>
      </c>
      <c r="I114" s="602" t="s">
        <v>299</v>
      </c>
      <c r="J114" s="600">
        <v>2.6666666666666665</v>
      </c>
      <c r="K114" s="603">
        <v>42.524000000000001</v>
      </c>
      <c r="L114" s="734">
        <f>SUM(J114:J119)</f>
        <v>26</v>
      </c>
      <c r="M114" s="737">
        <f t="shared" ref="M114" si="8">SUM(K114:K119)</f>
        <v>351.923</v>
      </c>
      <c r="N114" s="771">
        <f>L114-M114</f>
        <v>-325.923</v>
      </c>
      <c r="O114" s="810">
        <f>+M114/L114</f>
        <v>13.535500000000001</v>
      </c>
      <c r="Q114" s="523"/>
    </row>
    <row r="115" spans="1:17" s="513" customFormat="1" ht="10.15" customHeight="1">
      <c r="A115" s="615"/>
      <c r="B115" s="515" t="s">
        <v>309</v>
      </c>
      <c r="C115" s="600">
        <v>27</v>
      </c>
      <c r="D115" s="601">
        <v>43537</v>
      </c>
      <c r="E115" s="602" t="s">
        <v>303</v>
      </c>
      <c r="F115" s="602" t="s">
        <v>312</v>
      </c>
      <c r="G115" s="603">
        <v>967281</v>
      </c>
      <c r="H115" s="604">
        <v>74</v>
      </c>
      <c r="I115" s="602" t="s">
        <v>300</v>
      </c>
      <c r="J115" s="600">
        <v>6</v>
      </c>
      <c r="K115" s="603">
        <v>77.396000000000001</v>
      </c>
      <c r="L115" s="735"/>
      <c r="M115" s="738"/>
      <c r="N115" s="772"/>
      <c r="O115" s="811"/>
      <c r="Q115" s="523"/>
    </row>
    <row r="116" spans="1:17" s="513" customFormat="1" ht="10.15" customHeight="1">
      <c r="A116" s="615"/>
      <c r="B116" s="515" t="s">
        <v>309</v>
      </c>
      <c r="C116" s="600">
        <v>27</v>
      </c>
      <c r="D116" s="601">
        <v>43537</v>
      </c>
      <c r="E116" s="602" t="s">
        <v>303</v>
      </c>
      <c r="F116" s="602" t="s">
        <v>313</v>
      </c>
      <c r="G116" s="603">
        <v>904281</v>
      </c>
      <c r="H116" s="604">
        <v>74</v>
      </c>
      <c r="I116" s="602" t="s">
        <v>299</v>
      </c>
      <c r="J116" s="600">
        <v>2.6666666666666665</v>
      </c>
      <c r="K116" s="603">
        <v>19.681000000000001</v>
      </c>
      <c r="L116" s="735"/>
      <c r="M116" s="738"/>
      <c r="N116" s="772"/>
      <c r="O116" s="811"/>
      <c r="Q116" s="523"/>
    </row>
    <row r="117" spans="1:17" s="513" customFormat="1" ht="10.15" customHeight="1">
      <c r="A117" s="615"/>
      <c r="B117" s="524" t="s">
        <v>309</v>
      </c>
      <c r="C117" s="600">
        <v>27</v>
      </c>
      <c r="D117" s="601">
        <v>43537</v>
      </c>
      <c r="E117" s="602" t="s">
        <v>303</v>
      </c>
      <c r="F117" s="602" t="s">
        <v>313</v>
      </c>
      <c r="G117" s="603">
        <v>904281</v>
      </c>
      <c r="H117" s="604">
        <v>74</v>
      </c>
      <c r="I117" s="602" t="s">
        <v>300</v>
      </c>
      <c r="J117" s="600">
        <v>6</v>
      </c>
      <c r="K117" s="603">
        <v>86.543999999999997</v>
      </c>
      <c r="L117" s="735"/>
      <c r="M117" s="738"/>
      <c r="N117" s="772"/>
      <c r="O117" s="811"/>
      <c r="Q117" s="523"/>
    </row>
    <row r="118" spans="1:17" s="513" customFormat="1" ht="10.15" customHeight="1">
      <c r="A118" s="615"/>
      <c r="B118" s="522" t="s">
        <v>309</v>
      </c>
      <c r="C118" s="600">
        <v>27</v>
      </c>
      <c r="D118" s="601">
        <v>43537</v>
      </c>
      <c r="E118" s="602" t="s">
        <v>303</v>
      </c>
      <c r="F118" s="602" t="s">
        <v>314</v>
      </c>
      <c r="G118" s="603">
        <v>967342</v>
      </c>
      <c r="H118" s="604">
        <v>74</v>
      </c>
      <c r="I118" s="602" t="s">
        <v>299</v>
      </c>
      <c r="J118" s="600">
        <v>2.6666666666666665</v>
      </c>
      <c r="K118" s="603">
        <v>18.315999999999999</v>
      </c>
      <c r="L118" s="735"/>
      <c r="M118" s="738"/>
      <c r="N118" s="772"/>
      <c r="O118" s="811"/>
      <c r="Q118" s="523"/>
    </row>
    <row r="119" spans="1:17" s="513" customFormat="1" ht="10.15" customHeight="1">
      <c r="A119" s="615"/>
      <c r="B119" s="515" t="s">
        <v>309</v>
      </c>
      <c r="C119" s="600">
        <v>27</v>
      </c>
      <c r="D119" s="601">
        <v>43537</v>
      </c>
      <c r="E119" s="602" t="s">
        <v>303</v>
      </c>
      <c r="F119" s="602" t="s">
        <v>314</v>
      </c>
      <c r="G119" s="603">
        <v>967342</v>
      </c>
      <c r="H119" s="604">
        <v>74</v>
      </c>
      <c r="I119" s="602" t="s">
        <v>300</v>
      </c>
      <c r="J119" s="600">
        <v>6</v>
      </c>
      <c r="K119" s="603">
        <v>107.462</v>
      </c>
      <c r="L119" s="736"/>
      <c r="M119" s="739"/>
      <c r="N119" s="773"/>
      <c r="O119" s="812"/>
      <c r="Q119" s="523"/>
    </row>
    <row r="120" spans="1:17" s="513" customFormat="1" ht="10.15" customHeight="1">
      <c r="A120" s="615"/>
      <c r="B120" s="515" t="s">
        <v>309</v>
      </c>
      <c r="C120" s="595">
        <v>28</v>
      </c>
      <c r="D120" s="596">
        <v>43537</v>
      </c>
      <c r="E120" s="597" t="s">
        <v>303</v>
      </c>
      <c r="F120" s="597" t="s">
        <v>312</v>
      </c>
      <c r="G120" s="598">
        <v>967281</v>
      </c>
      <c r="H120" s="599">
        <v>74</v>
      </c>
      <c r="I120" s="597" t="s">
        <v>299</v>
      </c>
      <c r="J120" s="595">
        <v>4</v>
      </c>
      <c r="K120" s="598">
        <v>10.055</v>
      </c>
      <c r="L120" s="725">
        <f>SUM(J120:J125)</f>
        <v>37.000000000000007</v>
      </c>
      <c r="M120" s="728">
        <f t="shared" ref="M120" si="9">SUM(K120:K125)</f>
        <v>204.626</v>
      </c>
      <c r="N120" s="731">
        <f>L120-M120</f>
        <v>-167.626</v>
      </c>
      <c r="O120" s="807">
        <f>+M120/L120</f>
        <v>5.5304324324324314</v>
      </c>
      <c r="Q120" s="523"/>
    </row>
    <row r="121" spans="1:17" s="513" customFormat="1" ht="10.15" customHeight="1">
      <c r="A121" s="615"/>
      <c r="B121" s="515" t="s">
        <v>309</v>
      </c>
      <c r="C121" s="595">
        <v>28</v>
      </c>
      <c r="D121" s="596">
        <v>43537</v>
      </c>
      <c r="E121" s="597" t="s">
        <v>303</v>
      </c>
      <c r="F121" s="597" t="s">
        <v>312</v>
      </c>
      <c r="G121" s="598">
        <v>967281</v>
      </c>
      <c r="H121" s="599">
        <v>74</v>
      </c>
      <c r="I121" s="597" t="s">
        <v>300</v>
      </c>
      <c r="J121" s="595">
        <v>8.3333333333333339</v>
      </c>
      <c r="K121" s="598">
        <v>77.38</v>
      </c>
      <c r="L121" s="726"/>
      <c r="M121" s="729"/>
      <c r="N121" s="732"/>
      <c r="O121" s="808"/>
      <c r="Q121" s="523"/>
    </row>
    <row r="122" spans="1:17" s="513" customFormat="1" ht="10.15" customHeight="1">
      <c r="A122" s="615"/>
      <c r="B122" s="515" t="s">
        <v>309</v>
      </c>
      <c r="C122" s="595">
        <v>28</v>
      </c>
      <c r="D122" s="596">
        <v>43537</v>
      </c>
      <c r="E122" s="597" t="s">
        <v>303</v>
      </c>
      <c r="F122" s="597" t="s">
        <v>313</v>
      </c>
      <c r="G122" s="598">
        <v>904281</v>
      </c>
      <c r="H122" s="599">
        <v>74</v>
      </c>
      <c r="I122" s="597" t="s">
        <v>299</v>
      </c>
      <c r="J122" s="595">
        <v>4</v>
      </c>
      <c r="K122" s="598">
        <v>0</v>
      </c>
      <c r="L122" s="726"/>
      <c r="M122" s="729"/>
      <c r="N122" s="732"/>
      <c r="O122" s="808"/>
      <c r="Q122" s="523"/>
    </row>
    <row r="123" spans="1:17" s="513" customFormat="1" ht="10.15" customHeight="1">
      <c r="A123" s="615"/>
      <c r="B123" s="524" t="s">
        <v>309</v>
      </c>
      <c r="C123" s="595">
        <v>28</v>
      </c>
      <c r="D123" s="596">
        <v>43537</v>
      </c>
      <c r="E123" s="597" t="s">
        <v>303</v>
      </c>
      <c r="F123" s="597" t="s">
        <v>313</v>
      </c>
      <c r="G123" s="598">
        <v>904281</v>
      </c>
      <c r="H123" s="599">
        <v>74</v>
      </c>
      <c r="I123" s="597" t="s">
        <v>300</v>
      </c>
      <c r="J123" s="595">
        <v>8.3333333333333339</v>
      </c>
      <c r="K123" s="598">
        <v>0</v>
      </c>
      <c r="L123" s="726"/>
      <c r="M123" s="729"/>
      <c r="N123" s="732"/>
      <c r="O123" s="808"/>
      <c r="Q123" s="523"/>
    </row>
    <row r="124" spans="1:17" s="513" customFormat="1" ht="10.15" customHeight="1">
      <c r="A124" s="615"/>
      <c r="B124" s="522" t="s">
        <v>309</v>
      </c>
      <c r="C124" s="595">
        <v>28</v>
      </c>
      <c r="D124" s="596">
        <v>43537</v>
      </c>
      <c r="E124" s="597" t="s">
        <v>303</v>
      </c>
      <c r="F124" s="597" t="s">
        <v>314</v>
      </c>
      <c r="G124" s="598">
        <v>967342</v>
      </c>
      <c r="H124" s="599">
        <v>74</v>
      </c>
      <c r="I124" s="597" t="s">
        <v>299</v>
      </c>
      <c r="J124" s="595">
        <v>4</v>
      </c>
      <c r="K124" s="598">
        <v>25.437999999999999</v>
      </c>
      <c r="L124" s="726"/>
      <c r="M124" s="729"/>
      <c r="N124" s="732"/>
      <c r="O124" s="808"/>
      <c r="Q124" s="523"/>
    </row>
    <row r="125" spans="1:17" s="513" customFormat="1" ht="10.15" customHeight="1">
      <c r="A125" s="615"/>
      <c r="B125" s="515" t="s">
        <v>309</v>
      </c>
      <c r="C125" s="595">
        <v>28</v>
      </c>
      <c r="D125" s="596">
        <v>43537</v>
      </c>
      <c r="E125" s="597" t="s">
        <v>303</v>
      </c>
      <c r="F125" s="597" t="s">
        <v>314</v>
      </c>
      <c r="G125" s="598">
        <v>967342</v>
      </c>
      <c r="H125" s="599">
        <v>74</v>
      </c>
      <c r="I125" s="597" t="s">
        <v>300</v>
      </c>
      <c r="J125" s="595">
        <v>8.3333333333333339</v>
      </c>
      <c r="K125" s="598">
        <v>91.753</v>
      </c>
      <c r="L125" s="727"/>
      <c r="M125" s="730"/>
      <c r="N125" s="733"/>
      <c r="O125" s="809"/>
      <c r="Q125" s="523"/>
    </row>
    <row r="126" spans="1:17" s="513" customFormat="1" ht="10.15" customHeight="1">
      <c r="A126" s="615"/>
      <c r="B126" s="515" t="s">
        <v>309</v>
      </c>
      <c r="C126" s="600">
        <v>29</v>
      </c>
      <c r="D126" s="601">
        <v>43537</v>
      </c>
      <c r="E126" s="602" t="s">
        <v>303</v>
      </c>
      <c r="F126" s="602" t="s">
        <v>312</v>
      </c>
      <c r="G126" s="603">
        <v>967281</v>
      </c>
      <c r="H126" s="604">
        <v>74</v>
      </c>
      <c r="I126" s="602" t="s">
        <v>299</v>
      </c>
      <c r="J126" s="600">
        <v>3</v>
      </c>
      <c r="K126" s="603">
        <v>71.222999999999999</v>
      </c>
      <c r="L126" s="734">
        <f>SUM(J126:J131)</f>
        <v>24.999999999999996</v>
      </c>
      <c r="M126" s="737">
        <f t="shared" ref="M126" si="10">SUM(K126:K131)</f>
        <v>539.58400000000006</v>
      </c>
      <c r="N126" s="771">
        <f>L126-M126</f>
        <v>-514.58400000000006</v>
      </c>
      <c r="O126" s="810">
        <f>+M126/L126</f>
        <v>21.583360000000006</v>
      </c>
      <c r="Q126" s="523"/>
    </row>
    <row r="127" spans="1:17" s="513" customFormat="1" ht="10.15" customHeight="1">
      <c r="A127" s="615"/>
      <c r="B127" s="515" t="s">
        <v>309</v>
      </c>
      <c r="C127" s="600">
        <v>29</v>
      </c>
      <c r="D127" s="601">
        <v>43537</v>
      </c>
      <c r="E127" s="602" t="s">
        <v>303</v>
      </c>
      <c r="F127" s="602" t="s">
        <v>312</v>
      </c>
      <c r="G127" s="603">
        <v>967281</v>
      </c>
      <c r="H127" s="604">
        <v>74</v>
      </c>
      <c r="I127" s="602" t="s">
        <v>300</v>
      </c>
      <c r="J127" s="600">
        <v>5.333333333333333</v>
      </c>
      <c r="K127" s="603">
        <v>145.11099999999999</v>
      </c>
      <c r="L127" s="735"/>
      <c r="M127" s="738"/>
      <c r="N127" s="772"/>
      <c r="O127" s="811"/>
      <c r="Q127" s="523"/>
    </row>
    <row r="128" spans="1:17" s="513" customFormat="1" ht="10.15" customHeight="1">
      <c r="A128" s="615"/>
      <c r="B128" s="515" t="s">
        <v>309</v>
      </c>
      <c r="C128" s="600">
        <v>29</v>
      </c>
      <c r="D128" s="601">
        <v>43537</v>
      </c>
      <c r="E128" s="602" t="s">
        <v>303</v>
      </c>
      <c r="F128" s="602" t="s">
        <v>313</v>
      </c>
      <c r="G128" s="603">
        <v>904281</v>
      </c>
      <c r="H128" s="604">
        <v>74</v>
      </c>
      <c r="I128" s="602" t="s">
        <v>299</v>
      </c>
      <c r="J128" s="600">
        <v>3</v>
      </c>
      <c r="K128" s="603">
        <v>7.742</v>
      </c>
      <c r="L128" s="735"/>
      <c r="M128" s="738"/>
      <c r="N128" s="772"/>
      <c r="O128" s="811"/>
      <c r="Q128" s="523"/>
    </row>
    <row r="129" spans="1:17" s="513" customFormat="1" ht="10.15" customHeight="1">
      <c r="A129" s="615"/>
      <c r="B129" s="515" t="s">
        <v>309</v>
      </c>
      <c r="C129" s="600">
        <v>29</v>
      </c>
      <c r="D129" s="601">
        <v>43537</v>
      </c>
      <c r="E129" s="602" t="s">
        <v>303</v>
      </c>
      <c r="F129" s="602" t="s">
        <v>313</v>
      </c>
      <c r="G129" s="603">
        <v>904281</v>
      </c>
      <c r="H129" s="604">
        <v>74</v>
      </c>
      <c r="I129" s="602" t="s">
        <v>300</v>
      </c>
      <c r="J129" s="600">
        <v>5.333333333333333</v>
      </c>
      <c r="K129" s="603">
        <v>56.777999999999999</v>
      </c>
      <c r="L129" s="735"/>
      <c r="M129" s="738"/>
      <c r="N129" s="772"/>
      <c r="O129" s="811"/>
      <c r="Q129" s="523"/>
    </row>
    <row r="130" spans="1:17" s="513" customFormat="1" ht="10.15" customHeight="1">
      <c r="A130" s="615"/>
      <c r="B130" s="515" t="s">
        <v>309</v>
      </c>
      <c r="C130" s="600">
        <v>29</v>
      </c>
      <c r="D130" s="601">
        <v>43537</v>
      </c>
      <c r="E130" s="602" t="s">
        <v>303</v>
      </c>
      <c r="F130" s="602" t="s">
        <v>314</v>
      </c>
      <c r="G130" s="603">
        <v>967342</v>
      </c>
      <c r="H130" s="604">
        <v>74</v>
      </c>
      <c r="I130" s="602" t="s">
        <v>299</v>
      </c>
      <c r="J130" s="600">
        <v>3</v>
      </c>
      <c r="K130" s="603">
        <v>56.326000000000001</v>
      </c>
      <c r="L130" s="735"/>
      <c r="M130" s="738"/>
      <c r="N130" s="772"/>
      <c r="O130" s="811"/>
      <c r="Q130" s="523"/>
    </row>
    <row r="131" spans="1:17" s="513" customFormat="1" ht="10.15" customHeight="1">
      <c r="A131" s="615"/>
      <c r="B131" s="515" t="s">
        <v>309</v>
      </c>
      <c r="C131" s="600">
        <v>29</v>
      </c>
      <c r="D131" s="601">
        <v>43537</v>
      </c>
      <c r="E131" s="602" t="s">
        <v>303</v>
      </c>
      <c r="F131" s="602" t="s">
        <v>314</v>
      </c>
      <c r="G131" s="603">
        <v>967342</v>
      </c>
      <c r="H131" s="604">
        <v>74</v>
      </c>
      <c r="I131" s="602" t="s">
        <v>300</v>
      </c>
      <c r="J131" s="600">
        <v>5.333333333333333</v>
      </c>
      <c r="K131" s="603">
        <v>202.404</v>
      </c>
      <c r="L131" s="736"/>
      <c r="M131" s="739"/>
      <c r="N131" s="773"/>
      <c r="O131" s="812"/>
      <c r="Q131" s="523"/>
    </row>
    <row r="132" spans="1:17" s="513" customFormat="1" ht="10.15" customHeight="1">
      <c r="A132" s="615"/>
      <c r="B132" s="515" t="s">
        <v>309</v>
      </c>
      <c r="C132" s="595">
        <v>30</v>
      </c>
      <c r="D132" s="596">
        <v>43537</v>
      </c>
      <c r="E132" s="597" t="s">
        <v>303</v>
      </c>
      <c r="F132" s="597" t="s">
        <v>310</v>
      </c>
      <c r="G132" s="598">
        <v>957800</v>
      </c>
      <c r="H132" s="599">
        <v>12</v>
      </c>
      <c r="I132" s="597" t="s">
        <v>299</v>
      </c>
      <c r="J132" s="595">
        <v>6.5</v>
      </c>
      <c r="K132" s="598">
        <v>14.404999999999999</v>
      </c>
      <c r="L132" s="725">
        <f>SUM(J132:J135)</f>
        <v>40</v>
      </c>
      <c r="M132" s="728">
        <f t="shared" ref="M132" si="11">SUM(K132:K135)</f>
        <v>87.534999999999997</v>
      </c>
      <c r="N132" s="731">
        <f>L132-M132</f>
        <v>-47.534999999999997</v>
      </c>
      <c r="O132" s="722">
        <f>+M132/L132</f>
        <v>2.1883749999999997</v>
      </c>
      <c r="Q132" s="523"/>
    </row>
    <row r="133" spans="1:17" s="513" customFormat="1" ht="10.15" customHeight="1">
      <c r="A133" s="615"/>
      <c r="B133" s="524" t="s">
        <v>309</v>
      </c>
      <c r="C133" s="595">
        <v>30</v>
      </c>
      <c r="D133" s="596">
        <v>43537</v>
      </c>
      <c r="E133" s="597" t="s">
        <v>303</v>
      </c>
      <c r="F133" s="597" t="s">
        <v>310</v>
      </c>
      <c r="G133" s="598">
        <v>957800</v>
      </c>
      <c r="H133" s="599">
        <v>12</v>
      </c>
      <c r="I133" s="597" t="s">
        <v>300</v>
      </c>
      <c r="J133" s="595">
        <v>13.5</v>
      </c>
      <c r="K133" s="598">
        <v>30.16</v>
      </c>
      <c r="L133" s="726"/>
      <c r="M133" s="729"/>
      <c r="N133" s="732"/>
      <c r="O133" s="723"/>
      <c r="Q133" s="523"/>
    </row>
    <row r="134" spans="1:17" s="513" customFormat="1" ht="10.15" customHeight="1">
      <c r="A134" s="615"/>
      <c r="B134" s="515" t="s">
        <v>309</v>
      </c>
      <c r="C134" s="595">
        <v>30</v>
      </c>
      <c r="D134" s="596">
        <v>43537</v>
      </c>
      <c r="E134" s="597" t="s">
        <v>303</v>
      </c>
      <c r="F134" s="597" t="s">
        <v>311</v>
      </c>
      <c r="G134" s="598">
        <v>963943</v>
      </c>
      <c r="H134" s="599">
        <v>12</v>
      </c>
      <c r="I134" s="597" t="s">
        <v>299</v>
      </c>
      <c r="J134" s="595">
        <v>6.5</v>
      </c>
      <c r="K134" s="598">
        <v>6.016</v>
      </c>
      <c r="L134" s="726"/>
      <c r="M134" s="729"/>
      <c r="N134" s="732"/>
      <c r="O134" s="723"/>
      <c r="Q134" s="523"/>
    </row>
    <row r="135" spans="1:17" s="513" customFormat="1" ht="10.15" customHeight="1">
      <c r="A135" s="615"/>
      <c r="B135" s="515" t="s">
        <v>309</v>
      </c>
      <c r="C135" s="595">
        <v>30</v>
      </c>
      <c r="D135" s="596">
        <v>43537</v>
      </c>
      <c r="E135" s="597" t="s">
        <v>303</v>
      </c>
      <c r="F135" s="597" t="s">
        <v>311</v>
      </c>
      <c r="G135" s="598">
        <v>963943</v>
      </c>
      <c r="H135" s="599">
        <v>12</v>
      </c>
      <c r="I135" s="597" t="s">
        <v>300</v>
      </c>
      <c r="J135" s="595">
        <v>13.5</v>
      </c>
      <c r="K135" s="598">
        <v>36.954000000000001</v>
      </c>
      <c r="L135" s="727"/>
      <c r="M135" s="730"/>
      <c r="N135" s="733"/>
      <c r="O135" s="724"/>
      <c r="Q135" s="523"/>
    </row>
    <row r="136" spans="1:17" s="513" customFormat="1" ht="10.15" customHeight="1">
      <c r="A136" s="615"/>
      <c r="B136" s="515" t="s">
        <v>309</v>
      </c>
      <c r="C136" s="600">
        <v>31</v>
      </c>
      <c r="D136" s="601">
        <v>43537</v>
      </c>
      <c r="E136" s="602" t="s">
        <v>303</v>
      </c>
      <c r="F136" s="602" t="s">
        <v>310</v>
      </c>
      <c r="G136" s="603">
        <v>957800</v>
      </c>
      <c r="H136" s="604">
        <v>12</v>
      </c>
      <c r="I136" s="602" t="s">
        <v>299</v>
      </c>
      <c r="J136" s="600">
        <v>5</v>
      </c>
      <c r="K136" s="603">
        <v>25.640999999999998</v>
      </c>
      <c r="L136" s="734">
        <f>SUM(J136:J139)</f>
        <v>39</v>
      </c>
      <c r="M136" s="737">
        <f t="shared" ref="M136" si="12">SUM(K136:K139)</f>
        <v>83.16</v>
      </c>
      <c r="N136" s="771">
        <f>L136-M136</f>
        <v>-44.16</v>
      </c>
      <c r="O136" s="813">
        <f>+M136/L136</f>
        <v>2.132307692307692</v>
      </c>
      <c r="Q136" s="523"/>
    </row>
    <row r="137" spans="1:17" s="513" customFormat="1" ht="10.15" customHeight="1">
      <c r="A137" s="615"/>
      <c r="B137" s="515" t="s">
        <v>309</v>
      </c>
      <c r="C137" s="600">
        <v>31</v>
      </c>
      <c r="D137" s="601">
        <v>43537</v>
      </c>
      <c r="E137" s="602" t="s">
        <v>303</v>
      </c>
      <c r="F137" s="602" t="s">
        <v>310</v>
      </c>
      <c r="G137" s="603">
        <v>957800</v>
      </c>
      <c r="H137" s="604">
        <v>12</v>
      </c>
      <c r="I137" s="602" t="s">
        <v>300</v>
      </c>
      <c r="J137" s="600">
        <v>14.5</v>
      </c>
      <c r="K137" s="603">
        <v>17.818999999999999</v>
      </c>
      <c r="L137" s="735"/>
      <c r="M137" s="738"/>
      <c r="N137" s="772"/>
      <c r="O137" s="814"/>
      <c r="Q137" s="523"/>
    </row>
    <row r="138" spans="1:17" s="513" customFormat="1" ht="10.15" customHeight="1">
      <c r="A138" s="615"/>
      <c r="B138" s="515" t="s">
        <v>309</v>
      </c>
      <c r="C138" s="600">
        <v>31</v>
      </c>
      <c r="D138" s="601">
        <v>43537</v>
      </c>
      <c r="E138" s="602" t="s">
        <v>303</v>
      </c>
      <c r="F138" s="602" t="s">
        <v>311</v>
      </c>
      <c r="G138" s="603">
        <v>963943</v>
      </c>
      <c r="H138" s="604">
        <v>12</v>
      </c>
      <c r="I138" s="602" t="s">
        <v>299</v>
      </c>
      <c r="J138" s="600">
        <v>5</v>
      </c>
      <c r="K138" s="603">
        <v>28.981000000000002</v>
      </c>
      <c r="L138" s="735"/>
      <c r="M138" s="738"/>
      <c r="N138" s="772"/>
      <c r="O138" s="814"/>
      <c r="Q138" s="523"/>
    </row>
    <row r="139" spans="1:17" s="513" customFormat="1" ht="10.15" customHeight="1">
      <c r="A139" s="615"/>
      <c r="B139" s="524" t="s">
        <v>309</v>
      </c>
      <c r="C139" s="600">
        <v>31</v>
      </c>
      <c r="D139" s="601">
        <v>43537</v>
      </c>
      <c r="E139" s="602" t="s">
        <v>303</v>
      </c>
      <c r="F139" s="602" t="s">
        <v>311</v>
      </c>
      <c r="G139" s="603">
        <v>963943</v>
      </c>
      <c r="H139" s="604">
        <v>12</v>
      </c>
      <c r="I139" s="602" t="s">
        <v>300</v>
      </c>
      <c r="J139" s="600">
        <v>14.5</v>
      </c>
      <c r="K139" s="603">
        <v>10.718999999999999</v>
      </c>
      <c r="L139" s="736"/>
      <c r="M139" s="739"/>
      <c r="N139" s="773"/>
      <c r="O139" s="815"/>
      <c r="Q139" s="523"/>
    </row>
    <row r="140" spans="1:17" s="513" customFormat="1" ht="10.15" customHeight="1">
      <c r="A140" s="615"/>
      <c r="B140" s="515" t="s">
        <v>309</v>
      </c>
      <c r="C140" s="595">
        <v>32</v>
      </c>
      <c r="D140" s="596">
        <v>43537</v>
      </c>
      <c r="E140" s="597" t="s">
        <v>303</v>
      </c>
      <c r="F140" s="597" t="s">
        <v>310</v>
      </c>
      <c r="G140" s="598">
        <v>957800</v>
      </c>
      <c r="H140" s="599">
        <v>12</v>
      </c>
      <c r="I140" s="597" t="s">
        <v>299</v>
      </c>
      <c r="J140" s="595">
        <v>3</v>
      </c>
      <c r="K140" s="598">
        <v>5.0670000000000002</v>
      </c>
      <c r="L140" s="725">
        <f>SUM(J140:J143)</f>
        <v>24</v>
      </c>
      <c r="M140" s="728">
        <f t="shared" ref="M140" si="13">SUM(K140:K143)</f>
        <v>107.08599999999998</v>
      </c>
      <c r="N140" s="731">
        <f>L140-M140</f>
        <v>-83.085999999999984</v>
      </c>
      <c r="O140" s="722">
        <f>+M140/L140</f>
        <v>4.4619166666666663</v>
      </c>
      <c r="Q140" s="523"/>
    </row>
    <row r="141" spans="1:17" s="513" customFormat="1" ht="10.15" customHeight="1">
      <c r="A141" s="615"/>
      <c r="B141" s="515" t="s">
        <v>309</v>
      </c>
      <c r="C141" s="595">
        <v>32</v>
      </c>
      <c r="D141" s="596">
        <v>43537</v>
      </c>
      <c r="E141" s="597" t="s">
        <v>303</v>
      </c>
      <c r="F141" s="597" t="s">
        <v>310</v>
      </c>
      <c r="G141" s="598">
        <v>957800</v>
      </c>
      <c r="H141" s="599">
        <v>12</v>
      </c>
      <c r="I141" s="597" t="s">
        <v>300</v>
      </c>
      <c r="J141" s="595">
        <v>9</v>
      </c>
      <c r="K141" s="598">
        <v>32.509</v>
      </c>
      <c r="L141" s="726"/>
      <c r="M141" s="729"/>
      <c r="N141" s="732"/>
      <c r="O141" s="723"/>
      <c r="Q141" s="523"/>
    </row>
    <row r="142" spans="1:17" s="513" customFormat="1" ht="10.15" customHeight="1">
      <c r="A142" s="615"/>
      <c r="B142" s="515" t="s">
        <v>309</v>
      </c>
      <c r="C142" s="595">
        <v>32</v>
      </c>
      <c r="D142" s="596">
        <v>43537</v>
      </c>
      <c r="E142" s="597" t="s">
        <v>303</v>
      </c>
      <c r="F142" s="597" t="s">
        <v>311</v>
      </c>
      <c r="G142" s="598">
        <v>963943</v>
      </c>
      <c r="H142" s="599">
        <v>12</v>
      </c>
      <c r="I142" s="597" t="s">
        <v>299</v>
      </c>
      <c r="J142" s="595">
        <v>3</v>
      </c>
      <c r="K142" s="598">
        <v>35.881</v>
      </c>
      <c r="L142" s="726"/>
      <c r="M142" s="729"/>
      <c r="N142" s="732"/>
      <c r="O142" s="723"/>
      <c r="Q142" s="523"/>
    </row>
    <row r="143" spans="1:17" s="513" customFormat="1" ht="10.15" customHeight="1">
      <c r="A143" s="615"/>
      <c r="B143" s="515" t="s">
        <v>309</v>
      </c>
      <c r="C143" s="595">
        <v>32</v>
      </c>
      <c r="D143" s="596">
        <v>43537</v>
      </c>
      <c r="E143" s="597" t="s">
        <v>303</v>
      </c>
      <c r="F143" s="597" t="s">
        <v>311</v>
      </c>
      <c r="G143" s="598">
        <v>963943</v>
      </c>
      <c r="H143" s="599">
        <v>12</v>
      </c>
      <c r="I143" s="597" t="s">
        <v>300</v>
      </c>
      <c r="J143" s="595">
        <v>9</v>
      </c>
      <c r="K143" s="598">
        <v>33.628999999999998</v>
      </c>
      <c r="L143" s="727"/>
      <c r="M143" s="730"/>
      <c r="N143" s="733"/>
      <c r="O143" s="724"/>
      <c r="Q143" s="523"/>
    </row>
    <row r="144" spans="1:17" s="513" customFormat="1" ht="10.15" customHeight="1">
      <c r="A144" s="615"/>
      <c r="B144" s="515" t="s">
        <v>309</v>
      </c>
      <c r="C144" s="600">
        <v>33</v>
      </c>
      <c r="D144" s="601">
        <v>43537</v>
      </c>
      <c r="E144" s="602" t="s">
        <v>303</v>
      </c>
      <c r="F144" s="602" t="s">
        <v>310</v>
      </c>
      <c r="G144" s="603">
        <v>957800</v>
      </c>
      <c r="H144" s="604">
        <v>12</v>
      </c>
      <c r="I144" s="602" t="s">
        <v>299</v>
      </c>
      <c r="J144" s="600">
        <v>5</v>
      </c>
      <c r="K144" s="603">
        <v>5.0650000000000004</v>
      </c>
      <c r="L144" s="734">
        <f>SUM(J144:J147)</f>
        <v>32</v>
      </c>
      <c r="M144" s="737">
        <f t="shared" ref="M144" si="14">SUM(K144:K147)</f>
        <v>84.305000000000007</v>
      </c>
      <c r="N144" s="771">
        <f>L144-M144</f>
        <v>-52.305000000000007</v>
      </c>
      <c r="O144" s="813">
        <f>+M144/L144</f>
        <v>2.6345312500000002</v>
      </c>
      <c r="Q144" s="523"/>
    </row>
    <row r="145" spans="1:17" s="513" customFormat="1" ht="10.15" customHeight="1">
      <c r="A145" s="615"/>
      <c r="B145" s="524" t="s">
        <v>309</v>
      </c>
      <c r="C145" s="600">
        <v>33</v>
      </c>
      <c r="D145" s="601">
        <v>43537</v>
      </c>
      <c r="E145" s="602" t="s">
        <v>303</v>
      </c>
      <c r="F145" s="602" t="s">
        <v>310</v>
      </c>
      <c r="G145" s="603">
        <v>957800</v>
      </c>
      <c r="H145" s="604">
        <v>12</v>
      </c>
      <c r="I145" s="602" t="s">
        <v>300</v>
      </c>
      <c r="J145" s="600">
        <v>11</v>
      </c>
      <c r="K145" s="603">
        <v>37.145000000000003</v>
      </c>
      <c r="L145" s="735"/>
      <c r="M145" s="738"/>
      <c r="N145" s="772"/>
      <c r="O145" s="814"/>
      <c r="Q145" s="523"/>
    </row>
    <row r="146" spans="1:17" s="513" customFormat="1" ht="10.15" customHeight="1">
      <c r="A146" s="615"/>
      <c r="B146" s="515" t="s">
        <v>309</v>
      </c>
      <c r="C146" s="600">
        <v>33</v>
      </c>
      <c r="D146" s="601">
        <v>43537</v>
      </c>
      <c r="E146" s="602" t="s">
        <v>303</v>
      </c>
      <c r="F146" s="602" t="s">
        <v>311</v>
      </c>
      <c r="G146" s="603">
        <v>963943</v>
      </c>
      <c r="H146" s="604">
        <v>12</v>
      </c>
      <c r="I146" s="602" t="s">
        <v>299</v>
      </c>
      <c r="J146" s="600">
        <v>5</v>
      </c>
      <c r="K146" s="603">
        <v>7.577</v>
      </c>
      <c r="L146" s="735"/>
      <c r="M146" s="738"/>
      <c r="N146" s="772"/>
      <c r="O146" s="814"/>
      <c r="Q146" s="523"/>
    </row>
    <row r="147" spans="1:17" s="513" customFormat="1" ht="10.15" customHeight="1">
      <c r="A147" s="615"/>
      <c r="B147" s="515" t="s">
        <v>309</v>
      </c>
      <c r="C147" s="600">
        <v>33</v>
      </c>
      <c r="D147" s="601">
        <v>43537</v>
      </c>
      <c r="E147" s="602" t="s">
        <v>303</v>
      </c>
      <c r="F147" s="602" t="s">
        <v>311</v>
      </c>
      <c r="G147" s="603">
        <v>963943</v>
      </c>
      <c r="H147" s="604">
        <v>12</v>
      </c>
      <c r="I147" s="602" t="s">
        <v>300</v>
      </c>
      <c r="J147" s="600">
        <v>11</v>
      </c>
      <c r="K147" s="603">
        <v>34.518000000000001</v>
      </c>
      <c r="L147" s="736"/>
      <c r="M147" s="739"/>
      <c r="N147" s="773"/>
      <c r="O147" s="815"/>
      <c r="Q147" s="523"/>
    </row>
    <row r="148" spans="1:17" s="513" customFormat="1" ht="10.15" customHeight="1">
      <c r="A148" s="615"/>
      <c r="B148" s="515" t="s">
        <v>309</v>
      </c>
      <c r="C148" s="595">
        <v>34</v>
      </c>
      <c r="D148" s="596">
        <v>43537</v>
      </c>
      <c r="E148" s="597" t="s">
        <v>303</v>
      </c>
      <c r="F148" s="597" t="s">
        <v>310</v>
      </c>
      <c r="G148" s="598">
        <v>957800</v>
      </c>
      <c r="H148" s="599">
        <v>12</v>
      </c>
      <c r="I148" s="597" t="s">
        <v>299</v>
      </c>
      <c r="J148" s="595">
        <v>2.5</v>
      </c>
      <c r="K148" s="598">
        <v>24.436</v>
      </c>
      <c r="L148" s="725">
        <f>SUM(J148:J151)</f>
        <v>15</v>
      </c>
      <c r="M148" s="728">
        <f>SUM(K148:K151)</f>
        <v>628.899</v>
      </c>
      <c r="N148" s="731">
        <f>L148-M148</f>
        <v>-613.899</v>
      </c>
      <c r="O148" s="722">
        <f>+M148/L148</f>
        <v>41.926600000000001</v>
      </c>
      <c r="Q148" s="523"/>
    </row>
    <row r="149" spans="1:17" s="513" customFormat="1" ht="10.15" customHeight="1">
      <c r="A149" s="615"/>
      <c r="B149" s="515" t="s">
        <v>309</v>
      </c>
      <c r="C149" s="595">
        <v>34</v>
      </c>
      <c r="D149" s="596">
        <v>43537</v>
      </c>
      <c r="E149" s="597" t="s">
        <v>303</v>
      </c>
      <c r="F149" s="597" t="s">
        <v>310</v>
      </c>
      <c r="G149" s="598">
        <v>957800</v>
      </c>
      <c r="H149" s="599">
        <v>12</v>
      </c>
      <c r="I149" s="597" t="s">
        <v>300</v>
      </c>
      <c r="J149" s="595">
        <v>5</v>
      </c>
      <c r="K149" s="598">
        <v>201.108</v>
      </c>
      <c r="L149" s="726"/>
      <c r="M149" s="729"/>
      <c r="N149" s="732"/>
      <c r="O149" s="723"/>
      <c r="Q149" s="523"/>
    </row>
    <row r="150" spans="1:17" s="513" customFormat="1" ht="10.15" customHeight="1">
      <c r="A150" s="615"/>
      <c r="B150" s="515" t="s">
        <v>309</v>
      </c>
      <c r="C150" s="595">
        <v>34</v>
      </c>
      <c r="D150" s="596">
        <v>43537</v>
      </c>
      <c r="E150" s="597" t="s">
        <v>303</v>
      </c>
      <c r="F150" s="597" t="s">
        <v>311</v>
      </c>
      <c r="G150" s="598">
        <v>963943</v>
      </c>
      <c r="H150" s="599">
        <v>12</v>
      </c>
      <c r="I150" s="597" t="s">
        <v>299</v>
      </c>
      <c r="J150" s="595">
        <v>2.5</v>
      </c>
      <c r="K150" s="598">
        <v>84.561999999999998</v>
      </c>
      <c r="L150" s="726"/>
      <c r="M150" s="729"/>
      <c r="N150" s="732"/>
      <c r="O150" s="723"/>
      <c r="Q150" s="523"/>
    </row>
    <row r="151" spans="1:17" s="513" customFormat="1" ht="10.15" customHeight="1">
      <c r="A151" s="615"/>
      <c r="B151" s="524" t="s">
        <v>309</v>
      </c>
      <c r="C151" s="595">
        <v>34</v>
      </c>
      <c r="D151" s="596">
        <v>43537</v>
      </c>
      <c r="E151" s="597" t="s">
        <v>303</v>
      </c>
      <c r="F151" s="597" t="s">
        <v>311</v>
      </c>
      <c r="G151" s="598">
        <v>963943</v>
      </c>
      <c r="H151" s="599">
        <v>12</v>
      </c>
      <c r="I151" s="597" t="s">
        <v>300</v>
      </c>
      <c r="J151" s="595">
        <v>5</v>
      </c>
      <c r="K151" s="598">
        <v>318.79300000000001</v>
      </c>
      <c r="L151" s="727"/>
      <c r="M151" s="730"/>
      <c r="N151" s="733"/>
      <c r="O151" s="724"/>
      <c r="Q151" s="523"/>
    </row>
    <row r="152" spans="1:17" s="513" customFormat="1" ht="10.15" customHeight="1">
      <c r="A152" s="615"/>
      <c r="B152" s="515" t="s">
        <v>309</v>
      </c>
      <c r="C152" s="600">
        <v>35</v>
      </c>
      <c r="D152" s="601">
        <v>43549</v>
      </c>
      <c r="E152" s="602" t="s">
        <v>303</v>
      </c>
      <c r="F152" s="602" t="s">
        <v>312</v>
      </c>
      <c r="G152" s="603">
        <v>967281</v>
      </c>
      <c r="H152" s="604">
        <v>74</v>
      </c>
      <c r="I152" s="602" t="s">
        <v>299</v>
      </c>
      <c r="J152" s="600">
        <v>0.66700000000000004</v>
      </c>
      <c r="K152" s="603">
        <v>0</v>
      </c>
      <c r="L152" s="734">
        <f>SUM(J152:J157)</f>
        <v>9</v>
      </c>
      <c r="M152" s="737">
        <f t="shared" ref="M152" si="15">SUM(K152:K157)</f>
        <v>28.425000000000001</v>
      </c>
      <c r="N152" s="771">
        <f>L152-M152</f>
        <v>-19.425000000000001</v>
      </c>
      <c r="O152" s="816">
        <f>+M152/L152</f>
        <v>3.1583333333333332</v>
      </c>
      <c r="Q152" s="523"/>
    </row>
    <row r="153" spans="1:17" s="513" customFormat="1" ht="10.15" customHeight="1">
      <c r="A153" s="615"/>
      <c r="B153" s="515" t="s">
        <v>309</v>
      </c>
      <c r="C153" s="600">
        <v>35</v>
      </c>
      <c r="D153" s="601">
        <v>43549</v>
      </c>
      <c r="E153" s="602" t="s">
        <v>303</v>
      </c>
      <c r="F153" s="602" t="s">
        <v>312</v>
      </c>
      <c r="G153" s="603">
        <v>967281</v>
      </c>
      <c r="H153" s="604">
        <v>74</v>
      </c>
      <c r="I153" s="602" t="s">
        <v>300</v>
      </c>
      <c r="J153" s="600">
        <v>2.3330000000000002</v>
      </c>
      <c r="K153" s="603">
        <v>0</v>
      </c>
      <c r="L153" s="735"/>
      <c r="M153" s="738"/>
      <c r="N153" s="772"/>
      <c r="O153" s="817"/>
      <c r="Q153" s="523"/>
    </row>
    <row r="154" spans="1:17" s="513" customFormat="1" ht="10.15" customHeight="1">
      <c r="A154" s="615"/>
      <c r="B154" s="515" t="s">
        <v>309</v>
      </c>
      <c r="C154" s="600">
        <v>35</v>
      </c>
      <c r="D154" s="601">
        <v>43549</v>
      </c>
      <c r="E154" s="602" t="s">
        <v>303</v>
      </c>
      <c r="F154" s="602" t="s">
        <v>313</v>
      </c>
      <c r="G154" s="603">
        <v>904281</v>
      </c>
      <c r="H154" s="604">
        <v>74</v>
      </c>
      <c r="I154" s="602" t="s">
        <v>299</v>
      </c>
      <c r="J154" s="600">
        <v>0.66700000000000004</v>
      </c>
      <c r="K154" s="603">
        <v>25.582000000000001</v>
      </c>
      <c r="L154" s="735"/>
      <c r="M154" s="738"/>
      <c r="N154" s="772"/>
      <c r="O154" s="817"/>
      <c r="Q154" s="523"/>
    </row>
    <row r="155" spans="1:17" s="513" customFormat="1" ht="10.15" customHeight="1">
      <c r="A155" s="615"/>
      <c r="B155" s="515" t="s">
        <v>309</v>
      </c>
      <c r="C155" s="600">
        <v>35</v>
      </c>
      <c r="D155" s="601">
        <v>43549</v>
      </c>
      <c r="E155" s="602" t="s">
        <v>303</v>
      </c>
      <c r="F155" s="602" t="s">
        <v>313</v>
      </c>
      <c r="G155" s="603">
        <v>904281</v>
      </c>
      <c r="H155" s="604">
        <v>74</v>
      </c>
      <c r="I155" s="602" t="s">
        <v>300</v>
      </c>
      <c r="J155" s="600">
        <v>2.3330000000000002</v>
      </c>
      <c r="K155" s="603">
        <v>2.843</v>
      </c>
      <c r="L155" s="735"/>
      <c r="M155" s="738"/>
      <c r="N155" s="772"/>
      <c r="O155" s="817"/>
      <c r="Q155" s="523"/>
    </row>
    <row r="156" spans="1:17" s="513" customFormat="1" ht="10.15" customHeight="1">
      <c r="A156" s="615"/>
      <c r="B156" s="515" t="s">
        <v>309</v>
      </c>
      <c r="C156" s="600">
        <v>35</v>
      </c>
      <c r="D156" s="601">
        <v>43549</v>
      </c>
      <c r="E156" s="602" t="s">
        <v>303</v>
      </c>
      <c r="F156" s="602" t="s">
        <v>314</v>
      </c>
      <c r="G156" s="603">
        <v>967342</v>
      </c>
      <c r="H156" s="604">
        <v>74</v>
      </c>
      <c r="I156" s="602" t="s">
        <v>299</v>
      </c>
      <c r="J156" s="600">
        <v>0.66600000000000004</v>
      </c>
      <c r="K156" s="603">
        <v>0</v>
      </c>
      <c r="L156" s="735"/>
      <c r="M156" s="738"/>
      <c r="N156" s="772"/>
      <c r="O156" s="817"/>
      <c r="Q156" s="523"/>
    </row>
    <row r="157" spans="1:17" s="513" customFormat="1" ht="10.15" customHeight="1">
      <c r="A157" s="615"/>
      <c r="B157" s="524" t="s">
        <v>309</v>
      </c>
      <c r="C157" s="600">
        <v>35</v>
      </c>
      <c r="D157" s="601">
        <v>43549</v>
      </c>
      <c r="E157" s="602" t="s">
        <v>303</v>
      </c>
      <c r="F157" s="602" t="s">
        <v>314</v>
      </c>
      <c r="G157" s="603">
        <v>967342</v>
      </c>
      <c r="H157" s="604">
        <v>74</v>
      </c>
      <c r="I157" s="602" t="s">
        <v>300</v>
      </c>
      <c r="J157" s="600">
        <v>2.3340000000000001</v>
      </c>
      <c r="K157" s="603">
        <v>0</v>
      </c>
      <c r="L157" s="736"/>
      <c r="M157" s="739"/>
      <c r="N157" s="773"/>
      <c r="O157" s="818"/>
      <c r="Q157" s="523"/>
    </row>
    <row r="158" spans="1:17" s="513" customFormat="1" ht="10.15" customHeight="1">
      <c r="A158" s="615"/>
      <c r="B158" s="515" t="s">
        <v>309</v>
      </c>
      <c r="C158" s="595">
        <v>39</v>
      </c>
      <c r="D158" s="596">
        <v>43551</v>
      </c>
      <c r="E158" s="597" t="s">
        <v>303</v>
      </c>
      <c r="F158" s="597" t="s">
        <v>315</v>
      </c>
      <c r="G158" s="598">
        <v>924603</v>
      </c>
      <c r="H158" s="599">
        <v>12</v>
      </c>
      <c r="I158" s="597" t="s">
        <v>299</v>
      </c>
      <c r="J158" s="595">
        <v>0.5</v>
      </c>
      <c r="K158" s="598">
        <v>0</v>
      </c>
      <c r="L158" s="725">
        <f>SUM(J158:J161)</f>
        <v>50</v>
      </c>
      <c r="M158" s="728">
        <f t="shared" ref="M158" si="16">SUM(K158:K161)</f>
        <v>48.195</v>
      </c>
      <c r="N158" s="731">
        <f>L158-M158</f>
        <v>1.8049999999999997</v>
      </c>
      <c r="O158" s="722">
        <f>+M158/L158</f>
        <v>0.96389999999999998</v>
      </c>
      <c r="Q158" s="523"/>
    </row>
    <row r="159" spans="1:17" s="513" customFormat="1" ht="10.15" customHeight="1">
      <c r="A159" s="615"/>
      <c r="B159" s="515" t="s">
        <v>309</v>
      </c>
      <c r="C159" s="595">
        <v>39</v>
      </c>
      <c r="D159" s="596">
        <v>43551</v>
      </c>
      <c r="E159" s="597" t="s">
        <v>303</v>
      </c>
      <c r="F159" s="597" t="s">
        <v>315</v>
      </c>
      <c r="G159" s="598">
        <v>924603</v>
      </c>
      <c r="H159" s="599">
        <v>12</v>
      </c>
      <c r="I159" s="597" t="s">
        <v>300</v>
      </c>
      <c r="J159" s="595">
        <v>24.5</v>
      </c>
      <c r="K159" s="598">
        <v>0</v>
      </c>
      <c r="L159" s="726"/>
      <c r="M159" s="729"/>
      <c r="N159" s="732"/>
      <c r="O159" s="723"/>
      <c r="Q159" s="523"/>
    </row>
    <row r="160" spans="1:17" s="513" customFormat="1" ht="10.15" customHeight="1">
      <c r="A160" s="615"/>
      <c r="B160" s="515" t="s">
        <v>309</v>
      </c>
      <c r="C160" s="595">
        <v>39</v>
      </c>
      <c r="D160" s="596">
        <v>43551</v>
      </c>
      <c r="E160" s="597" t="s">
        <v>303</v>
      </c>
      <c r="F160" s="597" t="s">
        <v>316</v>
      </c>
      <c r="G160" s="598">
        <v>910836</v>
      </c>
      <c r="H160" s="599">
        <v>12</v>
      </c>
      <c r="I160" s="597" t="s">
        <v>299</v>
      </c>
      <c r="J160" s="595">
        <v>0.5</v>
      </c>
      <c r="K160" s="598">
        <v>13.292999999999999</v>
      </c>
      <c r="L160" s="726"/>
      <c r="M160" s="729"/>
      <c r="N160" s="732"/>
      <c r="O160" s="723"/>
      <c r="Q160" s="523"/>
    </row>
    <row r="161" spans="1:17" s="513" customFormat="1" ht="10.15" customHeight="1">
      <c r="A161" s="615"/>
      <c r="B161" s="515" t="s">
        <v>309</v>
      </c>
      <c r="C161" s="595">
        <v>39</v>
      </c>
      <c r="D161" s="596">
        <v>43551</v>
      </c>
      <c r="E161" s="597" t="s">
        <v>303</v>
      </c>
      <c r="F161" s="597" t="s">
        <v>316</v>
      </c>
      <c r="G161" s="598">
        <v>910836</v>
      </c>
      <c r="H161" s="599">
        <v>12</v>
      </c>
      <c r="I161" s="597" t="s">
        <v>300</v>
      </c>
      <c r="J161" s="595">
        <v>24.5</v>
      </c>
      <c r="K161" s="598">
        <v>34.902000000000001</v>
      </c>
      <c r="L161" s="727"/>
      <c r="M161" s="730"/>
      <c r="N161" s="733"/>
      <c r="O161" s="724"/>
      <c r="Q161" s="523"/>
    </row>
    <row r="162" spans="1:17" s="513" customFormat="1" ht="10.15" customHeight="1">
      <c r="A162" s="615"/>
      <c r="B162" s="515" t="s">
        <v>309</v>
      </c>
      <c r="C162" s="600">
        <v>1189</v>
      </c>
      <c r="D162" s="601">
        <v>43553</v>
      </c>
      <c r="E162" s="602" t="s">
        <v>304</v>
      </c>
      <c r="F162" s="602" t="s">
        <v>336</v>
      </c>
      <c r="G162" s="603">
        <v>960538</v>
      </c>
      <c r="H162" s="604">
        <v>73</v>
      </c>
      <c r="I162" s="602" t="s">
        <v>299</v>
      </c>
      <c r="J162" s="600">
        <v>0</v>
      </c>
      <c r="K162" s="603">
        <v>0</v>
      </c>
      <c r="L162" s="734">
        <f>SUM(J162:J167)</f>
        <v>1634.723</v>
      </c>
      <c r="M162" s="737">
        <f t="shared" ref="M162" si="17">SUM(K162:K167)</f>
        <v>1552.6480000000001</v>
      </c>
      <c r="N162" s="771">
        <f>L162-M162</f>
        <v>82.074999999999818</v>
      </c>
      <c r="O162" s="798">
        <f>+M162/L162</f>
        <v>0.94979271717593761</v>
      </c>
      <c r="Q162" s="523"/>
    </row>
    <row r="163" spans="1:17" s="513" customFormat="1" ht="10.15" customHeight="1">
      <c r="A163" s="615"/>
      <c r="B163" s="524" t="s">
        <v>309</v>
      </c>
      <c r="C163" s="600">
        <v>1189</v>
      </c>
      <c r="D163" s="601">
        <v>43553</v>
      </c>
      <c r="E163" s="602" t="s">
        <v>304</v>
      </c>
      <c r="F163" s="602" t="s">
        <v>336</v>
      </c>
      <c r="G163" s="603">
        <v>960538</v>
      </c>
      <c r="H163" s="604">
        <v>73</v>
      </c>
      <c r="I163" s="602" t="s">
        <v>300</v>
      </c>
      <c r="J163" s="600">
        <v>544.90700000000004</v>
      </c>
      <c r="K163" s="603">
        <v>724.00599999999997</v>
      </c>
      <c r="L163" s="735"/>
      <c r="M163" s="738"/>
      <c r="N163" s="772"/>
      <c r="O163" s="799"/>
      <c r="Q163" s="523"/>
    </row>
    <row r="164" spans="1:17" s="513" customFormat="1" ht="10.15" customHeight="1">
      <c r="A164" s="615"/>
      <c r="B164" s="515" t="s">
        <v>309</v>
      </c>
      <c r="C164" s="600">
        <v>1189</v>
      </c>
      <c r="D164" s="601">
        <v>43553</v>
      </c>
      <c r="E164" s="602" t="s">
        <v>304</v>
      </c>
      <c r="F164" s="602" t="s">
        <v>337</v>
      </c>
      <c r="G164" s="603">
        <v>952061</v>
      </c>
      <c r="H164" s="604">
        <v>73</v>
      </c>
      <c r="I164" s="602" t="s">
        <v>299</v>
      </c>
      <c r="J164" s="600">
        <v>0</v>
      </c>
      <c r="K164" s="603">
        <v>0</v>
      </c>
      <c r="L164" s="735"/>
      <c r="M164" s="738"/>
      <c r="N164" s="772"/>
      <c r="O164" s="799"/>
      <c r="Q164" s="523"/>
    </row>
    <row r="165" spans="1:17" s="513" customFormat="1" ht="10.15" customHeight="1">
      <c r="A165" s="615"/>
      <c r="B165" s="515" t="s">
        <v>309</v>
      </c>
      <c r="C165" s="600">
        <v>1189</v>
      </c>
      <c r="D165" s="601">
        <v>43553</v>
      </c>
      <c r="E165" s="602" t="s">
        <v>304</v>
      </c>
      <c r="F165" s="602" t="s">
        <v>337</v>
      </c>
      <c r="G165" s="603">
        <v>952061</v>
      </c>
      <c r="H165" s="604">
        <v>73</v>
      </c>
      <c r="I165" s="602" t="s">
        <v>300</v>
      </c>
      <c r="J165" s="600">
        <v>544.90700000000004</v>
      </c>
      <c r="K165" s="603">
        <v>283.91800000000001</v>
      </c>
      <c r="L165" s="735"/>
      <c r="M165" s="738"/>
      <c r="N165" s="772"/>
      <c r="O165" s="799"/>
      <c r="Q165" s="523"/>
    </row>
    <row r="166" spans="1:17" s="513" customFormat="1" ht="10.15" customHeight="1">
      <c r="A166" s="615"/>
      <c r="B166" s="515" t="s">
        <v>309</v>
      </c>
      <c r="C166" s="600">
        <v>1189</v>
      </c>
      <c r="D166" s="601">
        <v>43553</v>
      </c>
      <c r="E166" s="602" t="s">
        <v>304</v>
      </c>
      <c r="F166" s="602" t="s">
        <v>338</v>
      </c>
      <c r="G166" s="603">
        <v>966170</v>
      </c>
      <c r="H166" s="604">
        <v>73</v>
      </c>
      <c r="I166" s="602" t="s">
        <v>299</v>
      </c>
      <c r="J166" s="600">
        <v>0</v>
      </c>
      <c r="K166" s="603">
        <v>0</v>
      </c>
      <c r="L166" s="735"/>
      <c r="M166" s="738"/>
      <c r="N166" s="772"/>
      <c r="O166" s="799"/>
      <c r="Q166" s="523"/>
    </row>
    <row r="167" spans="1:17" s="513" customFormat="1" ht="10.15" customHeight="1">
      <c r="A167" s="615"/>
      <c r="B167" s="515" t="s">
        <v>309</v>
      </c>
      <c r="C167" s="600">
        <v>1189</v>
      </c>
      <c r="D167" s="601">
        <v>43553</v>
      </c>
      <c r="E167" s="602" t="s">
        <v>304</v>
      </c>
      <c r="F167" s="602" t="s">
        <v>338</v>
      </c>
      <c r="G167" s="603">
        <v>966170</v>
      </c>
      <c r="H167" s="604">
        <v>73</v>
      </c>
      <c r="I167" s="602" t="s">
        <v>300</v>
      </c>
      <c r="J167" s="600">
        <v>544.90899999999999</v>
      </c>
      <c r="K167" s="603">
        <v>544.72400000000005</v>
      </c>
      <c r="L167" s="736"/>
      <c r="M167" s="739"/>
      <c r="N167" s="773"/>
      <c r="O167" s="800"/>
      <c r="Q167" s="523"/>
    </row>
    <row r="168" spans="1:17" s="513" customFormat="1" ht="10.15" customHeight="1">
      <c r="A168" s="615"/>
      <c r="B168" s="515" t="s">
        <v>309</v>
      </c>
      <c r="C168" s="595">
        <v>42</v>
      </c>
      <c r="D168" s="596">
        <v>43559</v>
      </c>
      <c r="E168" s="597" t="s">
        <v>303</v>
      </c>
      <c r="F168" s="597" t="s">
        <v>312</v>
      </c>
      <c r="G168" s="598">
        <v>967281</v>
      </c>
      <c r="H168" s="599">
        <v>74</v>
      </c>
      <c r="I168" s="597" t="s">
        <v>299</v>
      </c>
      <c r="J168" s="595">
        <v>0.3</v>
      </c>
      <c r="K168" s="598">
        <v>0</v>
      </c>
      <c r="L168" s="725">
        <f>SUM(J168:J173)</f>
        <v>4.18</v>
      </c>
      <c r="M168" s="728">
        <f t="shared" ref="M168" si="18">SUM(K168:K173)</f>
        <v>0</v>
      </c>
      <c r="N168" s="731">
        <f>L168-M168</f>
        <v>4.18</v>
      </c>
      <c r="O168" s="722">
        <f>+M168/L168</f>
        <v>0</v>
      </c>
      <c r="Q168" s="523"/>
    </row>
    <row r="169" spans="1:17" s="513" customFormat="1" ht="10.15" customHeight="1">
      <c r="A169" s="615"/>
      <c r="B169" s="524" t="s">
        <v>309</v>
      </c>
      <c r="C169" s="595">
        <v>42</v>
      </c>
      <c r="D169" s="596">
        <v>43559</v>
      </c>
      <c r="E169" s="597" t="s">
        <v>303</v>
      </c>
      <c r="F169" s="597" t="s">
        <v>312</v>
      </c>
      <c r="G169" s="598">
        <v>967281</v>
      </c>
      <c r="H169" s="599">
        <v>74</v>
      </c>
      <c r="I169" s="597" t="s">
        <v>300</v>
      </c>
      <c r="J169" s="595">
        <v>1</v>
      </c>
      <c r="K169" s="598">
        <v>0</v>
      </c>
      <c r="L169" s="726"/>
      <c r="M169" s="729"/>
      <c r="N169" s="732"/>
      <c r="O169" s="723"/>
      <c r="Q169" s="523"/>
    </row>
    <row r="170" spans="1:17" s="513" customFormat="1" ht="10.15" customHeight="1">
      <c r="A170" s="615"/>
      <c r="B170" s="525" t="s">
        <v>309</v>
      </c>
      <c r="C170" s="595">
        <v>42</v>
      </c>
      <c r="D170" s="596">
        <v>43559</v>
      </c>
      <c r="E170" s="597" t="s">
        <v>303</v>
      </c>
      <c r="F170" s="597" t="s">
        <v>313</v>
      </c>
      <c r="G170" s="598">
        <v>904281</v>
      </c>
      <c r="H170" s="599">
        <v>74</v>
      </c>
      <c r="I170" s="597" t="s">
        <v>299</v>
      </c>
      <c r="J170" s="595">
        <v>0.3</v>
      </c>
      <c r="K170" s="598">
        <v>0</v>
      </c>
      <c r="L170" s="726"/>
      <c r="M170" s="729"/>
      <c r="N170" s="732"/>
      <c r="O170" s="723"/>
      <c r="Q170" s="523"/>
    </row>
    <row r="171" spans="1:17" s="513" customFormat="1" ht="10.15" customHeight="1">
      <c r="A171" s="615"/>
      <c r="B171" s="525" t="s">
        <v>309</v>
      </c>
      <c r="C171" s="595">
        <v>42</v>
      </c>
      <c r="D171" s="596">
        <v>43559</v>
      </c>
      <c r="E171" s="597" t="s">
        <v>303</v>
      </c>
      <c r="F171" s="597" t="s">
        <v>313</v>
      </c>
      <c r="G171" s="598">
        <v>904281</v>
      </c>
      <c r="H171" s="599">
        <v>74</v>
      </c>
      <c r="I171" s="597" t="s">
        <v>300</v>
      </c>
      <c r="J171" s="595">
        <v>1</v>
      </c>
      <c r="K171" s="598">
        <v>0</v>
      </c>
      <c r="L171" s="726"/>
      <c r="M171" s="729"/>
      <c r="N171" s="732"/>
      <c r="O171" s="723"/>
      <c r="Q171" s="523"/>
    </row>
    <row r="172" spans="1:17" s="513" customFormat="1" ht="10.15" customHeight="1">
      <c r="A172" s="615"/>
      <c r="B172" s="525" t="s">
        <v>309</v>
      </c>
      <c r="C172" s="595">
        <v>42</v>
      </c>
      <c r="D172" s="596">
        <v>43559</v>
      </c>
      <c r="E172" s="597" t="s">
        <v>303</v>
      </c>
      <c r="F172" s="597" t="s">
        <v>314</v>
      </c>
      <c r="G172" s="598">
        <v>967342</v>
      </c>
      <c r="H172" s="599">
        <v>74</v>
      </c>
      <c r="I172" s="597" t="s">
        <v>299</v>
      </c>
      <c r="J172" s="595">
        <v>0.38</v>
      </c>
      <c r="K172" s="598">
        <v>0</v>
      </c>
      <c r="L172" s="726"/>
      <c r="M172" s="729"/>
      <c r="N172" s="732"/>
      <c r="O172" s="723"/>
      <c r="Q172" s="523"/>
    </row>
    <row r="173" spans="1:17" s="513" customFormat="1" ht="10.15" customHeight="1">
      <c r="A173" s="615"/>
      <c r="B173" s="525" t="s">
        <v>309</v>
      </c>
      <c r="C173" s="595">
        <v>42</v>
      </c>
      <c r="D173" s="596">
        <v>43559</v>
      </c>
      <c r="E173" s="597" t="s">
        <v>303</v>
      </c>
      <c r="F173" s="597" t="s">
        <v>314</v>
      </c>
      <c r="G173" s="598">
        <v>967342</v>
      </c>
      <c r="H173" s="599">
        <v>74</v>
      </c>
      <c r="I173" s="597" t="s">
        <v>300</v>
      </c>
      <c r="J173" s="595">
        <v>1.2</v>
      </c>
      <c r="K173" s="598">
        <v>0</v>
      </c>
      <c r="L173" s="727"/>
      <c r="M173" s="730"/>
      <c r="N173" s="733"/>
      <c r="O173" s="724"/>
      <c r="Q173" s="523"/>
    </row>
    <row r="174" spans="1:17" s="513" customFormat="1" ht="10.15" customHeight="1">
      <c r="A174" s="615"/>
      <c r="B174" s="525" t="s">
        <v>309</v>
      </c>
      <c r="C174" s="600">
        <v>43</v>
      </c>
      <c r="D174" s="601">
        <v>43560</v>
      </c>
      <c r="E174" s="602" t="s">
        <v>303</v>
      </c>
      <c r="F174" s="602" t="s">
        <v>310</v>
      </c>
      <c r="G174" s="603">
        <v>957800</v>
      </c>
      <c r="H174" s="604">
        <v>12</v>
      </c>
      <c r="I174" s="602" t="s">
        <v>299</v>
      </c>
      <c r="J174" s="600">
        <v>0.1</v>
      </c>
      <c r="K174" s="603">
        <v>20.448</v>
      </c>
      <c r="L174" s="734">
        <f>SUM(J174:J183)</f>
        <v>49.500000000000007</v>
      </c>
      <c r="M174" s="737">
        <f t="shared" ref="M174" si="19">SUM(K174:K183)</f>
        <v>469.40000000000003</v>
      </c>
      <c r="N174" s="771">
        <f>L174-M174</f>
        <v>-419.90000000000003</v>
      </c>
      <c r="O174" s="719">
        <f>+M174/L174</f>
        <v>9.4828282828282813</v>
      </c>
      <c r="Q174" s="523"/>
    </row>
    <row r="175" spans="1:17" s="513" customFormat="1" ht="10.15" customHeight="1">
      <c r="A175" s="615"/>
      <c r="B175" s="525" t="s">
        <v>309</v>
      </c>
      <c r="C175" s="600">
        <v>43</v>
      </c>
      <c r="D175" s="601">
        <v>43560</v>
      </c>
      <c r="E175" s="602" t="s">
        <v>303</v>
      </c>
      <c r="F175" s="602" t="s">
        <v>310</v>
      </c>
      <c r="G175" s="603">
        <v>957800</v>
      </c>
      <c r="H175" s="604">
        <v>12</v>
      </c>
      <c r="I175" s="602" t="s">
        <v>300</v>
      </c>
      <c r="J175" s="600">
        <v>9</v>
      </c>
      <c r="K175" s="603">
        <v>49.671999999999997</v>
      </c>
      <c r="L175" s="735"/>
      <c r="M175" s="738"/>
      <c r="N175" s="772"/>
      <c r="O175" s="720"/>
      <c r="Q175" s="523"/>
    </row>
    <row r="176" spans="1:17" s="513" customFormat="1" ht="10.15" customHeight="1">
      <c r="A176" s="615"/>
      <c r="B176" s="525" t="s">
        <v>309</v>
      </c>
      <c r="C176" s="600">
        <v>43</v>
      </c>
      <c r="D176" s="601">
        <v>43560</v>
      </c>
      <c r="E176" s="602" t="s">
        <v>303</v>
      </c>
      <c r="F176" s="602" t="s">
        <v>311</v>
      </c>
      <c r="G176" s="603">
        <v>963943</v>
      </c>
      <c r="H176" s="604">
        <v>12</v>
      </c>
      <c r="I176" s="602" t="s">
        <v>299</v>
      </c>
      <c r="J176" s="600">
        <v>0.1</v>
      </c>
      <c r="K176" s="603">
        <v>33.587000000000003</v>
      </c>
      <c r="L176" s="735"/>
      <c r="M176" s="738"/>
      <c r="N176" s="772"/>
      <c r="O176" s="720"/>
      <c r="Q176" s="523"/>
    </row>
    <row r="177" spans="1:17" s="513" customFormat="1" ht="10.15" customHeight="1">
      <c r="A177" s="615"/>
      <c r="B177" s="525" t="s">
        <v>309</v>
      </c>
      <c r="C177" s="600">
        <v>43</v>
      </c>
      <c r="D177" s="601">
        <v>43560</v>
      </c>
      <c r="E177" s="602" t="s">
        <v>303</v>
      </c>
      <c r="F177" s="602" t="s">
        <v>311</v>
      </c>
      <c r="G177" s="603">
        <v>963943</v>
      </c>
      <c r="H177" s="604">
        <v>12</v>
      </c>
      <c r="I177" s="602" t="s">
        <v>300</v>
      </c>
      <c r="J177" s="600">
        <v>10</v>
      </c>
      <c r="K177" s="603">
        <v>51.417999999999999</v>
      </c>
      <c r="L177" s="735"/>
      <c r="M177" s="738"/>
      <c r="N177" s="772"/>
      <c r="O177" s="720"/>
      <c r="Q177" s="523"/>
    </row>
    <row r="178" spans="1:17" s="513" customFormat="1" ht="10.15" customHeight="1">
      <c r="A178" s="615"/>
      <c r="B178" s="525" t="s">
        <v>309</v>
      </c>
      <c r="C178" s="600">
        <v>43</v>
      </c>
      <c r="D178" s="601">
        <v>43560</v>
      </c>
      <c r="E178" s="602" t="s">
        <v>303</v>
      </c>
      <c r="F178" s="602" t="s">
        <v>312</v>
      </c>
      <c r="G178" s="603">
        <v>967281</v>
      </c>
      <c r="H178" s="604">
        <v>74</v>
      </c>
      <c r="I178" s="602" t="s">
        <v>299</v>
      </c>
      <c r="J178" s="600">
        <v>0.1</v>
      </c>
      <c r="K178" s="603">
        <v>27.547000000000001</v>
      </c>
      <c r="L178" s="735"/>
      <c r="M178" s="738"/>
      <c r="N178" s="772"/>
      <c r="O178" s="720"/>
      <c r="Q178" s="523"/>
    </row>
    <row r="179" spans="1:17" s="513" customFormat="1" ht="10.15" customHeight="1">
      <c r="A179" s="615"/>
      <c r="B179" s="525" t="s">
        <v>309</v>
      </c>
      <c r="C179" s="600">
        <v>43</v>
      </c>
      <c r="D179" s="601">
        <v>43560</v>
      </c>
      <c r="E179" s="602" t="s">
        <v>303</v>
      </c>
      <c r="F179" s="602" t="s">
        <v>312</v>
      </c>
      <c r="G179" s="603">
        <v>967281</v>
      </c>
      <c r="H179" s="604">
        <v>74</v>
      </c>
      <c r="I179" s="602" t="s">
        <v>300</v>
      </c>
      <c r="J179" s="600">
        <v>10</v>
      </c>
      <c r="K179" s="603">
        <v>58.488</v>
      </c>
      <c r="L179" s="735"/>
      <c r="M179" s="738"/>
      <c r="N179" s="772"/>
      <c r="O179" s="720"/>
      <c r="Q179" s="523"/>
    </row>
    <row r="180" spans="1:17" s="513" customFormat="1" ht="10.15" customHeight="1">
      <c r="A180" s="615"/>
      <c r="B180" s="525" t="s">
        <v>309</v>
      </c>
      <c r="C180" s="600">
        <v>43</v>
      </c>
      <c r="D180" s="601">
        <v>43560</v>
      </c>
      <c r="E180" s="602" t="s">
        <v>303</v>
      </c>
      <c r="F180" s="602" t="s">
        <v>313</v>
      </c>
      <c r="G180" s="603">
        <v>904281</v>
      </c>
      <c r="H180" s="604">
        <v>74</v>
      </c>
      <c r="I180" s="602" t="s">
        <v>299</v>
      </c>
      <c r="J180" s="600">
        <v>0.1</v>
      </c>
      <c r="K180" s="603">
        <v>20.082000000000001</v>
      </c>
      <c r="L180" s="735"/>
      <c r="M180" s="738"/>
      <c r="N180" s="772"/>
      <c r="O180" s="720"/>
      <c r="Q180" s="523"/>
    </row>
    <row r="181" spans="1:17" s="513" customFormat="1" ht="10.15" customHeight="1">
      <c r="A181" s="615"/>
      <c r="B181" s="525" t="s">
        <v>309</v>
      </c>
      <c r="C181" s="600">
        <v>43</v>
      </c>
      <c r="D181" s="601">
        <v>43560</v>
      </c>
      <c r="E181" s="602" t="s">
        <v>303</v>
      </c>
      <c r="F181" s="602" t="s">
        <v>313</v>
      </c>
      <c r="G181" s="603">
        <v>904281</v>
      </c>
      <c r="H181" s="604">
        <v>74</v>
      </c>
      <c r="I181" s="602" t="s">
        <v>300</v>
      </c>
      <c r="J181" s="600">
        <v>10</v>
      </c>
      <c r="K181" s="603">
        <v>39.593000000000004</v>
      </c>
      <c r="L181" s="735"/>
      <c r="M181" s="738"/>
      <c r="N181" s="772"/>
      <c r="O181" s="720"/>
      <c r="Q181" s="523"/>
    </row>
    <row r="182" spans="1:17" s="513" customFormat="1" ht="10.15" customHeight="1">
      <c r="A182" s="615"/>
      <c r="B182" s="525" t="s">
        <v>309</v>
      </c>
      <c r="C182" s="600">
        <v>43</v>
      </c>
      <c r="D182" s="601">
        <v>43560</v>
      </c>
      <c r="E182" s="602" t="s">
        <v>303</v>
      </c>
      <c r="F182" s="602" t="s">
        <v>314</v>
      </c>
      <c r="G182" s="603">
        <v>967342</v>
      </c>
      <c r="H182" s="604">
        <v>74</v>
      </c>
      <c r="I182" s="602" t="s">
        <v>299</v>
      </c>
      <c r="J182" s="600">
        <v>0.1</v>
      </c>
      <c r="K182" s="603">
        <v>29.875</v>
      </c>
      <c r="L182" s="735"/>
      <c r="M182" s="738"/>
      <c r="N182" s="772"/>
      <c r="O182" s="720"/>
      <c r="Q182" s="523"/>
    </row>
    <row r="183" spans="1:17" s="513" customFormat="1" ht="10.15" customHeight="1">
      <c r="A183" s="615"/>
      <c r="B183" s="525" t="s">
        <v>309</v>
      </c>
      <c r="C183" s="600">
        <v>43</v>
      </c>
      <c r="D183" s="601">
        <v>43560</v>
      </c>
      <c r="E183" s="602" t="s">
        <v>303</v>
      </c>
      <c r="F183" s="602" t="s">
        <v>314</v>
      </c>
      <c r="G183" s="603">
        <v>967342</v>
      </c>
      <c r="H183" s="604">
        <v>74</v>
      </c>
      <c r="I183" s="602" t="s">
        <v>300</v>
      </c>
      <c r="J183" s="600">
        <v>10</v>
      </c>
      <c r="K183" s="603">
        <v>138.69</v>
      </c>
      <c r="L183" s="736"/>
      <c r="M183" s="739"/>
      <c r="N183" s="773"/>
      <c r="O183" s="721"/>
      <c r="Q183" s="523"/>
    </row>
    <row r="184" spans="1:17" s="513" customFormat="1" ht="10.15" customHeight="1">
      <c r="A184" s="615"/>
      <c r="B184" s="525" t="s">
        <v>309</v>
      </c>
      <c r="C184" s="595">
        <v>45</v>
      </c>
      <c r="D184" s="596">
        <v>43565</v>
      </c>
      <c r="E184" s="597" t="s">
        <v>303</v>
      </c>
      <c r="F184" s="597" t="s">
        <v>310</v>
      </c>
      <c r="G184" s="598">
        <v>957800</v>
      </c>
      <c r="H184" s="599">
        <v>12</v>
      </c>
      <c r="I184" s="597" t="s">
        <v>299</v>
      </c>
      <c r="J184" s="595">
        <v>0.1</v>
      </c>
      <c r="K184" s="598">
        <v>0</v>
      </c>
      <c r="L184" s="725">
        <f>SUM(J184:J193)</f>
        <v>20.5</v>
      </c>
      <c r="M184" s="728">
        <f t="shared" ref="M184" si="20">SUM(K184:K193)</f>
        <v>303.83699999999999</v>
      </c>
      <c r="N184" s="731">
        <f>L184-M184</f>
        <v>-283.33699999999999</v>
      </c>
      <c r="O184" s="804">
        <f>+M184/L184</f>
        <v>14.82131707317073</v>
      </c>
      <c r="Q184" s="523"/>
    </row>
    <row r="185" spans="1:17" s="513" customFormat="1" ht="10.15" customHeight="1">
      <c r="A185" s="615"/>
      <c r="B185" s="525" t="s">
        <v>309</v>
      </c>
      <c r="C185" s="595">
        <v>45</v>
      </c>
      <c r="D185" s="596">
        <v>43565</v>
      </c>
      <c r="E185" s="597" t="s">
        <v>303</v>
      </c>
      <c r="F185" s="597" t="s">
        <v>310</v>
      </c>
      <c r="G185" s="598">
        <v>957800</v>
      </c>
      <c r="H185" s="599">
        <v>12</v>
      </c>
      <c r="I185" s="597" t="s">
        <v>300</v>
      </c>
      <c r="J185" s="595">
        <v>4</v>
      </c>
      <c r="K185" s="598">
        <v>65.816000000000003</v>
      </c>
      <c r="L185" s="726"/>
      <c r="M185" s="729"/>
      <c r="N185" s="732"/>
      <c r="O185" s="805"/>
      <c r="Q185" s="523"/>
    </row>
    <row r="186" spans="1:17" s="513" customFormat="1" ht="10.15" customHeight="1">
      <c r="A186" s="615"/>
      <c r="B186" s="525" t="s">
        <v>309</v>
      </c>
      <c r="C186" s="595">
        <v>45</v>
      </c>
      <c r="D186" s="596">
        <v>43565</v>
      </c>
      <c r="E186" s="597" t="s">
        <v>303</v>
      </c>
      <c r="F186" s="597" t="s">
        <v>311</v>
      </c>
      <c r="G186" s="598">
        <v>963943</v>
      </c>
      <c r="H186" s="599">
        <v>12</v>
      </c>
      <c r="I186" s="597" t="s">
        <v>299</v>
      </c>
      <c r="J186" s="595">
        <v>0.1</v>
      </c>
      <c r="K186" s="598">
        <v>0</v>
      </c>
      <c r="L186" s="726"/>
      <c r="M186" s="729"/>
      <c r="N186" s="732"/>
      <c r="O186" s="805"/>
      <c r="Q186" s="523"/>
    </row>
    <row r="187" spans="1:17" s="513" customFormat="1" ht="10.15" customHeight="1">
      <c r="A187" s="615"/>
      <c r="B187" s="525" t="s">
        <v>309</v>
      </c>
      <c r="C187" s="595">
        <v>45</v>
      </c>
      <c r="D187" s="596">
        <v>43565</v>
      </c>
      <c r="E187" s="597" t="s">
        <v>303</v>
      </c>
      <c r="F187" s="597" t="s">
        <v>311</v>
      </c>
      <c r="G187" s="598">
        <v>963943</v>
      </c>
      <c r="H187" s="599">
        <v>12</v>
      </c>
      <c r="I187" s="597" t="s">
        <v>300</v>
      </c>
      <c r="J187" s="595">
        <v>4</v>
      </c>
      <c r="K187" s="598">
        <v>59.603000000000002</v>
      </c>
      <c r="L187" s="726"/>
      <c r="M187" s="729"/>
      <c r="N187" s="732"/>
      <c r="O187" s="805"/>
      <c r="Q187" s="523"/>
    </row>
    <row r="188" spans="1:17" s="513" customFormat="1" ht="10.15" customHeight="1">
      <c r="A188" s="615"/>
      <c r="B188" s="525" t="s">
        <v>309</v>
      </c>
      <c r="C188" s="595">
        <v>45</v>
      </c>
      <c r="D188" s="596">
        <v>43565</v>
      </c>
      <c r="E188" s="597" t="s">
        <v>303</v>
      </c>
      <c r="F188" s="597" t="s">
        <v>312</v>
      </c>
      <c r="G188" s="598">
        <v>967281</v>
      </c>
      <c r="H188" s="599">
        <v>74</v>
      </c>
      <c r="I188" s="597" t="s">
        <v>299</v>
      </c>
      <c r="J188" s="595">
        <v>0.1</v>
      </c>
      <c r="K188" s="598">
        <v>0</v>
      </c>
      <c r="L188" s="726"/>
      <c r="M188" s="729"/>
      <c r="N188" s="732"/>
      <c r="O188" s="805"/>
      <c r="Q188" s="523"/>
    </row>
    <row r="189" spans="1:17" s="513" customFormat="1" ht="10.15" customHeight="1">
      <c r="A189" s="615"/>
      <c r="B189" s="525" t="s">
        <v>309</v>
      </c>
      <c r="C189" s="595">
        <v>45</v>
      </c>
      <c r="D189" s="596">
        <v>43565</v>
      </c>
      <c r="E189" s="597" t="s">
        <v>303</v>
      </c>
      <c r="F189" s="597" t="s">
        <v>312</v>
      </c>
      <c r="G189" s="598">
        <v>967281</v>
      </c>
      <c r="H189" s="599">
        <v>74</v>
      </c>
      <c r="I189" s="597" t="s">
        <v>300</v>
      </c>
      <c r="J189" s="595">
        <v>4</v>
      </c>
      <c r="K189" s="598">
        <v>77.703999999999994</v>
      </c>
      <c r="L189" s="726"/>
      <c r="M189" s="729"/>
      <c r="N189" s="732"/>
      <c r="O189" s="805"/>
      <c r="Q189" s="523"/>
    </row>
    <row r="190" spans="1:17" s="513" customFormat="1" ht="10.15" customHeight="1">
      <c r="A190" s="615"/>
      <c r="B190" s="525" t="s">
        <v>309</v>
      </c>
      <c r="C190" s="595">
        <v>45</v>
      </c>
      <c r="D190" s="596">
        <v>43565</v>
      </c>
      <c r="E190" s="597" t="s">
        <v>303</v>
      </c>
      <c r="F190" s="597" t="s">
        <v>313</v>
      </c>
      <c r="G190" s="598">
        <v>904281</v>
      </c>
      <c r="H190" s="599">
        <v>74</v>
      </c>
      <c r="I190" s="597" t="s">
        <v>299</v>
      </c>
      <c r="J190" s="595">
        <v>0.1</v>
      </c>
      <c r="K190" s="598">
        <v>0</v>
      </c>
      <c r="L190" s="726"/>
      <c r="M190" s="729"/>
      <c r="N190" s="732"/>
      <c r="O190" s="805"/>
      <c r="Q190" s="523"/>
    </row>
    <row r="191" spans="1:17" s="513" customFormat="1" ht="10.15" customHeight="1">
      <c r="A191" s="615"/>
      <c r="B191" s="525" t="s">
        <v>309</v>
      </c>
      <c r="C191" s="595">
        <v>45</v>
      </c>
      <c r="D191" s="596">
        <v>43565</v>
      </c>
      <c r="E191" s="597" t="s">
        <v>303</v>
      </c>
      <c r="F191" s="597" t="s">
        <v>313</v>
      </c>
      <c r="G191" s="598">
        <v>904281</v>
      </c>
      <c r="H191" s="599">
        <v>74</v>
      </c>
      <c r="I191" s="597" t="s">
        <v>300</v>
      </c>
      <c r="J191" s="595">
        <v>4</v>
      </c>
      <c r="K191" s="598">
        <v>0</v>
      </c>
      <c r="L191" s="726"/>
      <c r="M191" s="729"/>
      <c r="N191" s="732"/>
      <c r="O191" s="805"/>
      <c r="Q191" s="523"/>
    </row>
    <row r="192" spans="1:17" s="513" customFormat="1" ht="10.15" customHeight="1">
      <c r="A192" s="615"/>
      <c r="B192" s="525" t="s">
        <v>309</v>
      </c>
      <c r="C192" s="595">
        <v>45</v>
      </c>
      <c r="D192" s="596">
        <v>43565</v>
      </c>
      <c r="E192" s="597" t="s">
        <v>303</v>
      </c>
      <c r="F192" s="597" t="s">
        <v>314</v>
      </c>
      <c r="G192" s="598">
        <v>967342</v>
      </c>
      <c r="H192" s="599">
        <v>74</v>
      </c>
      <c r="I192" s="597" t="s">
        <v>299</v>
      </c>
      <c r="J192" s="595">
        <v>0.1</v>
      </c>
      <c r="K192" s="598">
        <v>0</v>
      </c>
      <c r="L192" s="726"/>
      <c r="M192" s="729"/>
      <c r="N192" s="732"/>
      <c r="O192" s="805"/>
      <c r="Q192" s="523"/>
    </row>
    <row r="193" spans="1:17" s="513" customFormat="1" ht="10.15" customHeight="1">
      <c r="A193" s="615"/>
      <c r="B193" s="525" t="s">
        <v>309</v>
      </c>
      <c r="C193" s="595">
        <v>45</v>
      </c>
      <c r="D193" s="596">
        <v>43565</v>
      </c>
      <c r="E193" s="597" t="s">
        <v>303</v>
      </c>
      <c r="F193" s="597" t="s">
        <v>314</v>
      </c>
      <c r="G193" s="598">
        <v>967342</v>
      </c>
      <c r="H193" s="599">
        <v>74</v>
      </c>
      <c r="I193" s="597" t="s">
        <v>300</v>
      </c>
      <c r="J193" s="595">
        <v>4</v>
      </c>
      <c r="K193" s="598">
        <v>100.714</v>
      </c>
      <c r="L193" s="727"/>
      <c r="M193" s="730"/>
      <c r="N193" s="733"/>
      <c r="O193" s="806"/>
      <c r="Q193" s="523"/>
    </row>
    <row r="194" spans="1:17" s="513" customFormat="1" ht="10.15" customHeight="1">
      <c r="A194" s="615"/>
      <c r="B194" s="525" t="s">
        <v>309</v>
      </c>
      <c r="C194" s="600">
        <v>46</v>
      </c>
      <c r="D194" s="601">
        <v>43565</v>
      </c>
      <c r="E194" s="602" t="s">
        <v>303</v>
      </c>
      <c r="F194" s="602" t="s">
        <v>312</v>
      </c>
      <c r="G194" s="603">
        <v>967281</v>
      </c>
      <c r="H194" s="604">
        <v>74</v>
      </c>
      <c r="I194" s="602" t="s">
        <v>299</v>
      </c>
      <c r="J194" s="600">
        <v>0.3</v>
      </c>
      <c r="K194" s="603">
        <v>3.32</v>
      </c>
      <c r="L194" s="734">
        <f>SUM(J194:J199)</f>
        <v>4.9000000000000004</v>
      </c>
      <c r="M194" s="737">
        <f t="shared" ref="M194" si="21">SUM(K194:K199)</f>
        <v>4.9000000000000004</v>
      </c>
      <c r="N194" s="771">
        <f>L194-M194</f>
        <v>0</v>
      </c>
      <c r="O194" s="807">
        <f>+M194/L194</f>
        <v>1</v>
      </c>
      <c r="Q194" s="523"/>
    </row>
    <row r="195" spans="1:17" s="513" customFormat="1" ht="10.15" customHeight="1">
      <c r="A195" s="615"/>
      <c r="B195" s="525" t="s">
        <v>309</v>
      </c>
      <c r="C195" s="600">
        <v>46</v>
      </c>
      <c r="D195" s="601">
        <v>43565</v>
      </c>
      <c r="E195" s="602" t="s">
        <v>303</v>
      </c>
      <c r="F195" s="602" t="s">
        <v>312</v>
      </c>
      <c r="G195" s="603">
        <v>967281</v>
      </c>
      <c r="H195" s="604">
        <v>74</v>
      </c>
      <c r="I195" s="602" t="s">
        <v>300</v>
      </c>
      <c r="J195" s="600">
        <v>1.2</v>
      </c>
      <c r="K195" s="603">
        <v>1.58</v>
      </c>
      <c r="L195" s="735"/>
      <c r="M195" s="738"/>
      <c r="N195" s="772"/>
      <c r="O195" s="808"/>
      <c r="Q195" s="523"/>
    </row>
    <row r="196" spans="1:17" s="513" customFormat="1" ht="10.15" customHeight="1">
      <c r="A196" s="615"/>
      <c r="B196" s="525" t="s">
        <v>309</v>
      </c>
      <c r="C196" s="600">
        <v>46</v>
      </c>
      <c r="D196" s="601">
        <v>43565</v>
      </c>
      <c r="E196" s="602" t="s">
        <v>303</v>
      </c>
      <c r="F196" s="602" t="s">
        <v>313</v>
      </c>
      <c r="G196" s="603">
        <v>904281</v>
      </c>
      <c r="H196" s="604">
        <v>74</v>
      </c>
      <c r="I196" s="602" t="s">
        <v>299</v>
      </c>
      <c r="J196" s="600">
        <v>0.3</v>
      </c>
      <c r="K196" s="603">
        <v>0</v>
      </c>
      <c r="L196" s="735"/>
      <c r="M196" s="738"/>
      <c r="N196" s="772"/>
      <c r="O196" s="808"/>
      <c r="Q196" s="523"/>
    </row>
    <row r="197" spans="1:17" s="513" customFormat="1" ht="10.15" customHeight="1">
      <c r="A197" s="615"/>
      <c r="B197" s="525" t="s">
        <v>309</v>
      </c>
      <c r="C197" s="600">
        <v>46</v>
      </c>
      <c r="D197" s="601">
        <v>43565</v>
      </c>
      <c r="E197" s="602" t="s">
        <v>303</v>
      </c>
      <c r="F197" s="602" t="s">
        <v>313</v>
      </c>
      <c r="G197" s="603">
        <v>904281</v>
      </c>
      <c r="H197" s="604">
        <v>74</v>
      </c>
      <c r="I197" s="602" t="s">
        <v>300</v>
      </c>
      <c r="J197" s="600">
        <v>1.2</v>
      </c>
      <c r="K197" s="603">
        <v>0</v>
      </c>
      <c r="L197" s="735"/>
      <c r="M197" s="738"/>
      <c r="N197" s="772"/>
      <c r="O197" s="808"/>
      <c r="Q197" s="523"/>
    </row>
    <row r="198" spans="1:17" s="513" customFormat="1" ht="10.15" customHeight="1">
      <c r="A198" s="615"/>
      <c r="B198" s="525" t="s">
        <v>309</v>
      </c>
      <c r="C198" s="600">
        <v>46</v>
      </c>
      <c r="D198" s="601">
        <v>43565</v>
      </c>
      <c r="E198" s="602" t="s">
        <v>303</v>
      </c>
      <c r="F198" s="602" t="s">
        <v>314</v>
      </c>
      <c r="G198" s="603">
        <v>967342</v>
      </c>
      <c r="H198" s="604">
        <v>74</v>
      </c>
      <c r="I198" s="602" t="s">
        <v>299</v>
      </c>
      <c r="J198" s="600">
        <v>0.5</v>
      </c>
      <c r="K198" s="603">
        <v>0</v>
      </c>
      <c r="L198" s="735"/>
      <c r="M198" s="738"/>
      <c r="N198" s="772"/>
      <c r="O198" s="808"/>
      <c r="Q198" s="523"/>
    </row>
    <row r="199" spans="1:17" s="513" customFormat="1" ht="10.15" customHeight="1">
      <c r="A199" s="615"/>
      <c r="B199" s="525" t="s">
        <v>309</v>
      </c>
      <c r="C199" s="600">
        <v>46</v>
      </c>
      <c r="D199" s="601">
        <v>43565</v>
      </c>
      <c r="E199" s="602" t="s">
        <v>303</v>
      </c>
      <c r="F199" s="602" t="s">
        <v>314</v>
      </c>
      <c r="G199" s="603">
        <v>967342</v>
      </c>
      <c r="H199" s="604">
        <v>74</v>
      </c>
      <c r="I199" s="602" t="s">
        <v>300</v>
      </c>
      <c r="J199" s="600">
        <v>1.4</v>
      </c>
      <c r="K199" s="603">
        <v>0</v>
      </c>
      <c r="L199" s="736"/>
      <c r="M199" s="739"/>
      <c r="N199" s="773"/>
      <c r="O199" s="809"/>
      <c r="Q199" s="523"/>
    </row>
    <row r="200" spans="1:17" s="513" customFormat="1" ht="10.15" customHeight="1">
      <c r="A200" s="615"/>
      <c r="B200" s="525" t="s">
        <v>309</v>
      </c>
      <c r="C200" s="595">
        <v>47</v>
      </c>
      <c r="D200" s="596">
        <v>43565</v>
      </c>
      <c r="E200" s="597" t="s">
        <v>303</v>
      </c>
      <c r="F200" s="597" t="s">
        <v>310</v>
      </c>
      <c r="G200" s="598">
        <v>957800</v>
      </c>
      <c r="H200" s="599">
        <v>12</v>
      </c>
      <c r="I200" s="597" t="s">
        <v>299</v>
      </c>
      <c r="J200" s="595">
        <v>3</v>
      </c>
      <c r="K200" s="598">
        <v>31.462</v>
      </c>
      <c r="L200" s="725">
        <f>SUM(J200:J209)</f>
        <v>30</v>
      </c>
      <c r="M200" s="728">
        <f t="shared" ref="M200" si="22">SUM(K200:K209)</f>
        <v>401.98599999999999</v>
      </c>
      <c r="N200" s="731">
        <f>L200-M200</f>
        <v>-371.98599999999999</v>
      </c>
      <c r="O200" s="719">
        <f>+M200/L200</f>
        <v>13.399533333333332</v>
      </c>
      <c r="Q200" s="523"/>
    </row>
    <row r="201" spans="1:17" s="513" customFormat="1" ht="10.15" customHeight="1">
      <c r="A201" s="615"/>
      <c r="B201" s="525" t="s">
        <v>309</v>
      </c>
      <c r="C201" s="595">
        <v>47</v>
      </c>
      <c r="D201" s="596">
        <v>43565</v>
      </c>
      <c r="E201" s="597" t="s">
        <v>303</v>
      </c>
      <c r="F201" s="597" t="s">
        <v>310</v>
      </c>
      <c r="G201" s="598">
        <v>957800</v>
      </c>
      <c r="H201" s="599">
        <v>12</v>
      </c>
      <c r="I201" s="597" t="s">
        <v>300</v>
      </c>
      <c r="J201" s="595">
        <v>3</v>
      </c>
      <c r="K201" s="598">
        <v>49.573</v>
      </c>
      <c r="L201" s="726"/>
      <c r="M201" s="729"/>
      <c r="N201" s="732"/>
      <c r="O201" s="720"/>
      <c r="Q201" s="523"/>
    </row>
    <row r="202" spans="1:17" s="513" customFormat="1" ht="10.15" customHeight="1">
      <c r="A202" s="615"/>
      <c r="B202" s="525" t="s">
        <v>309</v>
      </c>
      <c r="C202" s="595">
        <v>47</v>
      </c>
      <c r="D202" s="596">
        <v>43565</v>
      </c>
      <c r="E202" s="597" t="s">
        <v>303</v>
      </c>
      <c r="F202" s="597" t="s">
        <v>311</v>
      </c>
      <c r="G202" s="598">
        <v>963943</v>
      </c>
      <c r="H202" s="599">
        <v>12</v>
      </c>
      <c r="I202" s="597" t="s">
        <v>299</v>
      </c>
      <c r="J202" s="595">
        <v>3</v>
      </c>
      <c r="K202" s="598">
        <v>30.667999999999999</v>
      </c>
      <c r="L202" s="726"/>
      <c r="M202" s="729"/>
      <c r="N202" s="732"/>
      <c r="O202" s="720"/>
      <c r="Q202" s="523"/>
    </row>
    <row r="203" spans="1:17" s="513" customFormat="1" ht="10.15" customHeight="1">
      <c r="A203" s="615"/>
      <c r="B203" s="525" t="s">
        <v>309</v>
      </c>
      <c r="C203" s="595">
        <v>47</v>
      </c>
      <c r="D203" s="596">
        <v>43565</v>
      </c>
      <c r="E203" s="597" t="s">
        <v>303</v>
      </c>
      <c r="F203" s="597" t="s">
        <v>311</v>
      </c>
      <c r="G203" s="598">
        <v>963943</v>
      </c>
      <c r="H203" s="599">
        <v>12</v>
      </c>
      <c r="I203" s="597" t="s">
        <v>300</v>
      </c>
      <c r="J203" s="595">
        <v>3</v>
      </c>
      <c r="K203" s="598">
        <v>49.171999999999997</v>
      </c>
      <c r="L203" s="726"/>
      <c r="M203" s="729"/>
      <c r="N203" s="732"/>
      <c r="O203" s="720"/>
      <c r="Q203" s="523"/>
    </row>
    <row r="204" spans="1:17" s="513" customFormat="1" ht="10.15" customHeight="1">
      <c r="A204" s="615"/>
      <c r="B204" s="525" t="s">
        <v>309</v>
      </c>
      <c r="C204" s="595">
        <v>47</v>
      </c>
      <c r="D204" s="596">
        <v>43565</v>
      </c>
      <c r="E204" s="597" t="s">
        <v>303</v>
      </c>
      <c r="F204" s="597" t="s">
        <v>312</v>
      </c>
      <c r="G204" s="598">
        <v>967281</v>
      </c>
      <c r="H204" s="599">
        <v>74</v>
      </c>
      <c r="I204" s="597" t="s">
        <v>299</v>
      </c>
      <c r="J204" s="595">
        <v>3</v>
      </c>
      <c r="K204" s="598">
        <v>73.680999999999997</v>
      </c>
      <c r="L204" s="726"/>
      <c r="M204" s="729"/>
      <c r="N204" s="732"/>
      <c r="O204" s="720"/>
      <c r="Q204" s="523"/>
    </row>
    <row r="205" spans="1:17" s="513" customFormat="1" ht="10.15" customHeight="1">
      <c r="A205" s="615"/>
      <c r="B205" s="525" t="s">
        <v>309</v>
      </c>
      <c r="C205" s="595">
        <v>47</v>
      </c>
      <c r="D205" s="596">
        <v>43565</v>
      </c>
      <c r="E205" s="597" t="s">
        <v>303</v>
      </c>
      <c r="F205" s="597" t="s">
        <v>312</v>
      </c>
      <c r="G205" s="598">
        <v>967281</v>
      </c>
      <c r="H205" s="599">
        <v>74</v>
      </c>
      <c r="I205" s="597" t="s">
        <v>300</v>
      </c>
      <c r="J205" s="595">
        <v>3</v>
      </c>
      <c r="K205" s="598">
        <v>80.05</v>
      </c>
      <c r="L205" s="726"/>
      <c r="M205" s="729"/>
      <c r="N205" s="732"/>
      <c r="O205" s="720"/>
      <c r="Q205" s="523"/>
    </row>
    <row r="206" spans="1:17" s="513" customFormat="1" ht="10.15" customHeight="1">
      <c r="A206" s="615"/>
      <c r="B206" s="525" t="s">
        <v>309</v>
      </c>
      <c r="C206" s="595">
        <v>47</v>
      </c>
      <c r="D206" s="596">
        <v>43565</v>
      </c>
      <c r="E206" s="597" t="s">
        <v>303</v>
      </c>
      <c r="F206" s="597" t="s">
        <v>313</v>
      </c>
      <c r="G206" s="598">
        <v>904281</v>
      </c>
      <c r="H206" s="599">
        <v>74</v>
      </c>
      <c r="I206" s="597" t="s">
        <v>299</v>
      </c>
      <c r="J206" s="595">
        <v>3</v>
      </c>
      <c r="K206" s="598">
        <v>0</v>
      </c>
      <c r="L206" s="726"/>
      <c r="M206" s="729"/>
      <c r="N206" s="732"/>
      <c r="O206" s="720"/>
      <c r="Q206" s="523"/>
    </row>
    <row r="207" spans="1:17" s="513" customFormat="1" ht="10.15" customHeight="1">
      <c r="A207" s="615"/>
      <c r="B207" s="525" t="s">
        <v>309</v>
      </c>
      <c r="C207" s="595">
        <v>47</v>
      </c>
      <c r="D207" s="596">
        <v>43565</v>
      </c>
      <c r="E207" s="597" t="s">
        <v>303</v>
      </c>
      <c r="F207" s="597" t="s">
        <v>313</v>
      </c>
      <c r="G207" s="598">
        <v>904281</v>
      </c>
      <c r="H207" s="599">
        <v>74</v>
      </c>
      <c r="I207" s="597" t="s">
        <v>300</v>
      </c>
      <c r="J207" s="595">
        <v>3</v>
      </c>
      <c r="K207" s="598">
        <v>0</v>
      </c>
      <c r="L207" s="726"/>
      <c r="M207" s="729"/>
      <c r="N207" s="732"/>
      <c r="O207" s="720"/>
      <c r="Q207" s="523"/>
    </row>
    <row r="208" spans="1:17" s="513" customFormat="1" ht="10.15" customHeight="1">
      <c r="A208" s="615"/>
      <c r="B208" s="525" t="s">
        <v>309</v>
      </c>
      <c r="C208" s="595">
        <v>47</v>
      </c>
      <c r="D208" s="596">
        <v>43565</v>
      </c>
      <c r="E208" s="597" t="s">
        <v>303</v>
      </c>
      <c r="F208" s="597" t="s">
        <v>314</v>
      </c>
      <c r="G208" s="598">
        <v>967342</v>
      </c>
      <c r="H208" s="599">
        <v>74</v>
      </c>
      <c r="I208" s="597" t="s">
        <v>299</v>
      </c>
      <c r="J208" s="595">
        <v>3</v>
      </c>
      <c r="K208" s="598">
        <v>27.562000000000001</v>
      </c>
      <c r="L208" s="726"/>
      <c r="M208" s="729"/>
      <c r="N208" s="732"/>
      <c r="O208" s="720"/>
      <c r="Q208" s="523"/>
    </row>
    <row r="209" spans="1:17" s="513" customFormat="1" ht="10.15" customHeight="1">
      <c r="A209" s="615"/>
      <c r="B209" s="525" t="s">
        <v>309</v>
      </c>
      <c r="C209" s="595">
        <v>47</v>
      </c>
      <c r="D209" s="596">
        <v>43565</v>
      </c>
      <c r="E209" s="597" t="s">
        <v>303</v>
      </c>
      <c r="F209" s="597" t="s">
        <v>314</v>
      </c>
      <c r="G209" s="598">
        <v>967342</v>
      </c>
      <c r="H209" s="599">
        <v>74</v>
      </c>
      <c r="I209" s="597" t="s">
        <v>300</v>
      </c>
      <c r="J209" s="595">
        <v>3</v>
      </c>
      <c r="K209" s="598">
        <v>59.817999999999998</v>
      </c>
      <c r="L209" s="727"/>
      <c r="M209" s="730"/>
      <c r="N209" s="733"/>
      <c r="O209" s="721"/>
      <c r="Q209" s="523"/>
    </row>
    <row r="210" spans="1:17" s="513" customFormat="1" ht="10.15" customHeight="1">
      <c r="A210" s="615"/>
      <c r="B210" s="525" t="s">
        <v>309</v>
      </c>
      <c r="C210" s="600">
        <v>57</v>
      </c>
      <c r="D210" s="601">
        <v>43580</v>
      </c>
      <c r="E210" s="602" t="s">
        <v>303</v>
      </c>
      <c r="F210" s="602" t="s">
        <v>310</v>
      </c>
      <c r="G210" s="603">
        <v>957800</v>
      </c>
      <c r="H210" s="604">
        <v>12</v>
      </c>
      <c r="I210" s="602" t="s">
        <v>299</v>
      </c>
      <c r="J210" s="600">
        <v>0</v>
      </c>
      <c r="K210" s="603">
        <v>0</v>
      </c>
      <c r="L210" s="734">
        <f>SUM(J210:J219)</f>
        <v>80</v>
      </c>
      <c r="M210" s="737">
        <f>SUM(K210:K219)+20.75</f>
        <v>80</v>
      </c>
      <c r="N210" s="771">
        <f t="shared" ref="N210" si="23">L210-M210</f>
        <v>0</v>
      </c>
      <c r="O210" s="804">
        <f>+M210/L210</f>
        <v>1</v>
      </c>
      <c r="Q210" s="523"/>
    </row>
    <row r="211" spans="1:17" s="513" customFormat="1" ht="10.15" customHeight="1">
      <c r="A211" s="615"/>
      <c r="B211" s="525" t="s">
        <v>309</v>
      </c>
      <c r="C211" s="600">
        <v>57</v>
      </c>
      <c r="D211" s="601">
        <v>43580</v>
      </c>
      <c r="E211" s="602" t="s">
        <v>303</v>
      </c>
      <c r="F211" s="602" t="s">
        <v>310</v>
      </c>
      <c r="G211" s="603">
        <v>957800</v>
      </c>
      <c r="H211" s="604">
        <v>12</v>
      </c>
      <c r="I211" s="602" t="s">
        <v>300</v>
      </c>
      <c r="J211" s="600">
        <v>16</v>
      </c>
      <c r="K211" s="603">
        <v>16.829999999999998</v>
      </c>
      <c r="L211" s="735"/>
      <c r="M211" s="738"/>
      <c r="N211" s="772"/>
      <c r="O211" s="805"/>
      <c r="Q211" s="523"/>
    </row>
    <row r="212" spans="1:17" s="513" customFormat="1" ht="10.15" customHeight="1">
      <c r="A212" s="615"/>
      <c r="B212" s="525" t="s">
        <v>309</v>
      </c>
      <c r="C212" s="600">
        <v>57</v>
      </c>
      <c r="D212" s="601">
        <v>43580</v>
      </c>
      <c r="E212" s="602" t="s">
        <v>303</v>
      </c>
      <c r="F212" s="602" t="s">
        <v>311</v>
      </c>
      <c r="G212" s="603">
        <v>963943</v>
      </c>
      <c r="H212" s="604">
        <v>12</v>
      </c>
      <c r="I212" s="602" t="s">
        <v>299</v>
      </c>
      <c r="J212" s="600">
        <v>0</v>
      </c>
      <c r="K212" s="603">
        <v>0</v>
      </c>
      <c r="L212" s="735"/>
      <c r="M212" s="738"/>
      <c r="N212" s="772"/>
      <c r="O212" s="805"/>
      <c r="Q212" s="523"/>
    </row>
    <row r="213" spans="1:17" s="513" customFormat="1" ht="10.15" customHeight="1">
      <c r="A213" s="615"/>
      <c r="B213" s="525" t="s">
        <v>309</v>
      </c>
      <c r="C213" s="600">
        <v>57</v>
      </c>
      <c r="D213" s="601">
        <v>43580</v>
      </c>
      <c r="E213" s="602" t="s">
        <v>303</v>
      </c>
      <c r="F213" s="602" t="s">
        <v>311</v>
      </c>
      <c r="G213" s="603">
        <v>963943</v>
      </c>
      <c r="H213" s="604">
        <v>12</v>
      </c>
      <c r="I213" s="602" t="s">
        <v>300</v>
      </c>
      <c r="J213" s="600">
        <v>16</v>
      </c>
      <c r="K213" s="603">
        <v>0</v>
      </c>
      <c r="L213" s="735"/>
      <c r="M213" s="738"/>
      <c r="N213" s="772"/>
      <c r="O213" s="805"/>
      <c r="Q213" s="523"/>
    </row>
    <row r="214" spans="1:17" s="513" customFormat="1" ht="10.15" customHeight="1">
      <c r="A214" s="615"/>
      <c r="B214" s="525" t="s">
        <v>309</v>
      </c>
      <c r="C214" s="600">
        <v>57</v>
      </c>
      <c r="D214" s="601">
        <v>43580</v>
      </c>
      <c r="E214" s="602" t="s">
        <v>303</v>
      </c>
      <c r="F214" s="602" t="s">
        <v>312</v>
      </c>
      <c r="G214" s="603">
        <v>967281</v>
      </c>
      <c r="H214" s="604">
        <v>74</v>
      </c>
      <c r="I214" s="602" t="s">
        <v>299</v>
      </c>
      <c r="J214" s="600">
        <v>0</v>
      </c>
      <c r="K214" s="603">
        <v>0</v>
      </c>
      <c r="L214" s="735"/>
      <c r="M214" s="738"/>
      <c r="N214" s="772"/>
      <c r="O214" s="805"/>
      <c r="Q214" s="523"/>
    </row>
    <row r="215" spans="1:17" s="513" customFormat="1" ht="10.15" customHeight="1">
      <c r="A215" s="615"/>
      <c r="B215" s="525" t="s">
        <v>309</v>
      </c>
      <c r="C215" s="600">
        <v>57</v>
      </c>
      <c r="D215" s="601">
        <v>43580</v>
      </c>
      <c r="E215" s="602" t="s">
        <v>303</v>
      </c>
      <c r="F215" s="602" t="s">
        <v>312</v>
      </c>
      <c r="G215" s="603">
        <v>967281</v>
      </c>
      <c r="H215" s="604">
        <v>74</v>
      </c>
      <c r="I215" s="602" t="s">
        <v>300</v>
      </c>
      <c r="J215" s="600">
        <v>16</v>
      </c>
      <c r="K215" s="603">
        <v>10.896000000000001</v>
      </c>
      <c r="L215" s="735"/>
      <c r="M215" s="738"/>
      <c r="N215" s="772"/>
      <c r="O215" s="805"/>
      <c r="Q215" s="523"/>
    </row>
    <row r="216" spans="1:17" s="513" customFormat="1" ht="10.15" customHeight="1">
      <c r="A216" s="615"/>
      <c r="B216" s="525" t="s">
        <v>309</v>
      </c>
      <c r="C216" s="600">
        <v>57</v>
      </c>
      <c r="D216" s="601">
        <v>43580</v>
      </c>
      <c r="E216" s="602" t="s">
        <v>303</v>
      </c>
      <c r="F216" s="602" t="s">
        <v>313</v>
      </c>
      <c r="G216" s="603">
        <v>904281</v>
      </c>
      <c r="H216" s="604">
        <v>74</v>
      </c>
      <c r="I216" s="602" t="s">
        <v>299</v>
      </c>
      <c r="J216" s="600">
        <v>0</v>
      </c>
      <c r="K216" s="603">
        <v>0</v>
      </c>
      <c r="L216" s="735"/>
      <c r="M216" s="738"/>
      <c r="N216" s="772"/>
      <c r="O216" s="805"/>
      <c r="Q216" s="523"/>
    </row>
    <row r="217" spans="1:17" s="513" customFormat="1" ht="10.15" customHeight="1">
      <c r="A217" s="615"/>
      <c r="B217" s="525" t="s">
        <v>309</v>
      </c>
      <c r="C217" s="600">
        <v>57</v>
      </c>
      <c r="D217" s="601">
        <v>43580</v>
      </c>
      <c r="E217" s="602" t="s">
        <v>303</v>
      </c>
      <c r="F217" s="602" t="s">
        <v>313</v>
      </c>
      <c r="G217" s="603">
        <v>904281</v>
      </c>
      <c r="H217" s="604">
        <v>74</v>
      </c>
      <c r="I217" s="602" t="s">
        <v>300</v>
      </c>
      <c r="J217" s="600">
        <v>16</v>
      </c>
      <c r="K217" s="603">
        <v>0</v>
      </c>
      <c r="L217" s="735"/>
      <c r="M217" s="738"/>
      <c r="N217" s="772"/>
      <c r="O217" s="805"/>
      <c r="Q217" s="523"/>
    </row>
    <row r="218" spans="1:17" s="513" customFormat="1" ht="10.15" customHeight="1">
      <c r="A218" s="615"/>
      <c r="B218" s="525" t="s">
        <v>309</v>
      </c>
      <c r="C218" s="600">
        <v>57</v>
      </c>
      <c r="D218" s="601">
        <v>43580</v>
      </c>
      <c r="E218" s="602" t="s">
        <v>303</v>
      </c>
      <c r="F218" s="602" t="s">
        <v>314</v>
      </c>
      <c r="G218" s="603">
        <v>967342</v>
      </c>
      <c r="H218" s="604">
        <v>74</v>
      </c>
      <c r="I218" s="602" t="s">
        <v>299</v>
      </c>
      <c r="J218" s="600">
        <v>0</v>
      </c>
      <c r="K218" s="603">
        <v>0</v>
      </c>
      <c r="L218" s="735"/>
      <c r="M218" s="738"/>
      <c r="N218" s="772"/>
      <c r="O218" s="805"/>
      <c r="Q218" s="523"/>
    </row>
    <row r="219" spans="1:17" s="513" customFormat="1" ht="10.15" customHeight="1">
      <c r="A219" s="615"/>
      <c r="B219" s="525" t="s">
        <v>309</v>
      </c>
      <c r="C219" s="600">
        <v>57</v>
      </c>
      <c r="D219" s="601">
        <v>43580</v>
      </c>
      <c r="E219" s="602" t="s">
        <v>303</v>
      </c>
      <c r="F219" s="602" t="s">
        <v>314</v>
      </c>
      <c r="G219" s="603">
        <v>967342</v>
      </c>
      <c r="H219" s="604">
        <v>74</v>
      </c>
      <c r="I219" s="602" t="s">
        <v>300</v>
      </c>
      <c r="J219" s="600">
        <v>16</v>
      </c>
      <c r="K219" s="603">
        <v>31.524000000000001</v>
      </c>
      <c r="L219" s="736"/>
      <c r="M219" s="739"/>
      <c r="N219" s="773"/>
      <c r="O219" s="806"/>
      <c r="Q219" s="523"/>
    </row>
    <row r="220" spans="1:17" s="513" customFormat="1" ht="10.15" customHeight="1">
      <c r="A220" s="615"/>
      <c r="B220" s="525" t="s">
        <v>309</v>
      </c>
      <c r="C220" s="595">
        <v>58</v>
      </c>
      <c r="D220" s="596">
        <v>43580</v>
      </c>
      <c r="E220" s="597" t="s">
        <v>303</v>
      </c>
      <c r="F220" s="597" t="s">
        <v>310</v>
      </c>
      <c r="G220" s="598">
        <v>957800</v>
      </c>
      <c r="H220" s="599">
        <v>12</v>
      </c>
      <c r="I220" s="597" t="s">
        <v>299</v>
      </c>
      <c r="J220" s="595">
        <v>3</v>
      </c>
      <c r="K220" s="598">
        <v>16.219000000000001</v>
      </c>
      <c r="L220" s="725">
        <f>SUM(J220:J229)</f>
        <v>15</v>
      </c>
      <c r="M220" s="728">
        <f t="shared" ref="M220" si="24">SUM(K220:K229)</f>
        <v>105.11799999999999</v>
      </c>
      <c r="N220" s="731">
        <f t="shared" ref="N220" si="25">L220-M220</f>
        <v>-90.117999999999995</v>
      </c>
      <c r="O220" s="719">
        <f>+M220/L220</f>
        <v>7.0078666666666667</v>
      </c>
      <c r="Q220" s="523"/>
    </row>
    <row r="221" spans="1:17" s="513" customFormat="1" ht="10.15" customHeight="1">
      <c r="A221" s="615"/>
      <c r="B221" s="525" t="s">
        <v>309</v>
      </c>
      <c r="C221" s="595">
        <v>58</v>
      </c>
      <c r="D221" s="596">
        <v>43580</v>
      </c>
      <c r="E221" s="597" t="s">
        <v>303</v>
      </c>
      <c r="F221" s="597" t="s">
        <v>310</v>
      </c>
      <c r="G221" s="598">
        <v>957800</v>
      </c>
      <c r="H221" s="599">
        <v>12</v>
      </c>
      <c r="I221" s="597" t="s">
        <v>300</v>
      </c>
      <c r="J221" s="595">
        <v>0</v>
      </c>
      <c r="K221" s="598">
        <v>0</v>
      </c>
      <c r="L221" s="726"/>
      <c r="M221" s="729"/>
      <c r="N221" s="732"/>
      <c r="O221" s="720"/>
      <c r="Q221" s="523"/>
    </row>
    <row r="222" spans="1:17" s="513" customFormat="1" ht="10.15" customHeight="1">
      <c r="A222" s="615"/>
      <c r="B222" s="525" t="s">
        <v>309</v>
      </c>
      <c r="C222" s="595">
        <v>58</v>
      </c>
      <c r="D222" s="596">
        <v>43580</v>
      </c>
      <c r="E222" s="597" t="s">
        <v>303</v>
      </c>
      <c r="F222" s="597" t="s">
        <v>311</v>
      </c>
      <c r="G222" s="598">
        <v>963943</v>
      </c>
      <c r="H222" s="599">
        <v>12</v>
      </c>
      <c r="I222" s="597" t="s">
        <v>299</v>
      </c>
      <c r="J222" s="595">
        <v>3</v>
      </c>
      <c r="K222" s="598">
        <v>15.827</v>
      </c>
      <c r="L222" s="726"/>
      <c r="M222" s="729"/>
      <c r="N222" s="732"/>
      <c r="O222" s="720"/>
      <c r="Q222" s="523"/>
    </row>
    <row r="223" spans="1:17" s="513" customFormat="1" ht="10.15" customHeight="1">
      <c r="A223" s="615"/>
      <c r="B223" s="525" t="s">
        <v>309</v>
      </c>
      <c r="C223" s="595">
        <v>58</v>
      </c>
      <c r="D223" s="596">
        <v>43580</v>
      </c>
      <c r="E223" s="597" t="s">
        <v>303</v>
      </c>
      <c r="F223" s="597" t="s">
        <v>311</v>
      </c>
      <c r="G223" s="598">
        <v>963943</v>
      </c>
      <c r="H223" s="599">
        <v>12</v>
      </c>
      <c r="I223" s="597" t="s">
        <v>300</v>
      </c>
      <c r="J223" s="595">
        <v>0</v>
      </c>
      <c r="K223" s="598">
        <v>0</v>
      </c>
      <c r="L223" s="726"/>
      <c r="M223" s="729"/>
      <c r="N223" s="732"/>
      <c r="O223" s="720"/>
      <c r="Q223" s="523"/>
    </row>
    <row r="224" spans="1:17" s="513" customFormat="1" ht="10.15" customHeight="1">
      <c r="A224" s="615"/>
      <c r="B224" s="525" t="s">
        <v>309</v>
      </c>
      <c r="C224" s="595">
        <v>58</v>
      </c>
      <c r="D224" s="596">
        <v>43580</v>
      </c>
      <c r="E224" s="597" t="s">
        <v>303</v>
      </c>
      <c r="F224" s="597" t="s">
        <v>312</v>
      </c>
      <c r="G224" s="598">
        <v>967281</v>
      </c>
      <c r="H224" s="599">
        <v>74</v>
      </c>
      <c r="I224" s="597" t="s">
        <v>299</v>
      </c>
      <c r="J224" s="595">
        <v>3</v>
      </c>
      <c r="K224" s="598">
        <v>30.914000000000001</v>
      </c>
      <c r="L224" s="726"/>
      <c r="M224" s="729"/>
      <c r="N224" s="732"/>
      <c r="O224" s="720"/>
      <c r="Q224" s="523"/>
    </row>
    <row r="225" spans="1:17" s="513" customFormat="1" ht="10.15" customHeight="1">
      <c r="A225" s="615"/>
      <c r="B225" s="525" t="s">
        <v>309</v>
      </c>
      <c r="C225" s="595">
        <v>58</v>
      </c>
      <c r="D225" s="596">
        <v>43580</v>
      </c>
      <c r="E225" s="597" t="s">
        <v>303</v>
      </c>
      <c r="F225" s="597" t="s">
        <v>312</v>
      </c>
      <c r="G225" s="598">
        <v>967281</v>
      </c>
      <c r="H225" s="599">
        <v>74</v>
      </c>
      <c r="I225" s="597" t="s">
        <v>300</v>
      </c>
      <c r="J225" s="595">
        <v>0</v>
      </c>
      <c r="K225" s="598">
        <v>0</v>
      </c>
      <c r="L225" s="726"/>
      <c r="M225" s="729"/>
      <c r="N225" s="732"/>
      <c r="O225" s="720"/>
      <c r="Q225" s="523"/>
    </row>
    <row r="226" spans="1:17" s="513" customFormat="1" ht="10.15" customHeight="1">
      <c r="A226" s="615"/>
      <c r="B226" s="525" t="s">
        <v>309</v>
      </c>
      <c r="C226" s="595">
        <v>58</v>
      </c>
      <c r="D226" s="596">
        <v>43580</v>
      </c>
      <c r="E226" s="597" t="s">
        <v>303</v>
      </c>
      <c r="F226" s="597" t="s">
        <v>313</v>
      </c>
      <c r="G226" s="598">
        <v>904281</v>
      </c>
      <c r="H226" s="599">
        <v>74</v>
      </c>
      <c r="I226" s="597" t="s">
        <v>299</v>
      </c>
      <c r="J226" s="595">
        <v>3</v>
      </c>
      <c r="K226" s="598">
        <v>0</v>
      </c>
      <c r="L226" s="726"/>
      <c r="M226" s="729"/>
      <c r="N226" s="732"/>
      <c r="O226" s="720"/>
      <c r="Q226" s="523"/>
    </row>
    <row r="227" spans="1:17" s="513" customFormat="1" ht="10.15" customHeight="1">
      <c r="A227" s="615"/>
      <c r="B227" s="525" t="s">
        <v>309</v>
      </c>
      <c r="C227" s="595">
        <v>58</v>
      </c>
      <c r="D227" s="596">
        <v>43580</v>
      </c>
      <c r="E227" s="597" t="s">
        <v>303</v>
      </c>
      <c r="F227" s="597" t="s">
        <v>313</v>
      </c>
      <c r="G227" s="598">
        <v>904281</v>
      </c>
      <c r="H227" s="599">
        <v>74</v>
      </c>
      <c r="I227" s="597" t="s">
        <v>300</v>
      </c>
      <c r="J227" s="595">
        <v>0</v>
      </c>
      <c r="K227" s="598">
        <v>0</v>
      </c>
      <c r="L227" s="726"/>
      <c r="M227" s="729"/>
      <c r="N227" s="732"/>
      <c r="O227" s="720"/>
      <c r="Q227" s="523"/>
    </row>
    <row r="228" spans="1:17" s="513" customFormat="1" ht="10.15" customHeight="1">
      <c r="A228" s="615"/>
      <c r="B228" s="525" t="s">
        <v>309</v>
      </c>
      <c r="C228" s="595">
        <v>58</v>
      </c>
      <c r="D228" s="596">
        <v>43580</v>
      </c>
      <c r="E228" s="597" t="s">
        <v>303</v>
      </c>
      <c r="F228" s="597" t="s">
        <v>314</v>
      </c>
      <c r="G228" s="598">
        <v>967342</v>
      </c>
      <c r="H228" s="599">
        <v>74</v>
      </c>
      <c r="I228" s="597" t="s">
        <v>299</v>
      </c>
      <c r="J228" s="595">
        <v>3</v>
      </c>
      <c r="K228" s="598">
        <v>42.158000000000001</v>
      </c>
      <c r="L228" s="726"/>
      <c r="M228" s="729"/>
      <c r="N228" s="732"/>
      <c r="O228" s="720"/>
      <c r="Q228" s="523"/>
    </row>
    <row r="229" spans="1:17" s="513" customFormat="1" ht="10.15" customHeight="1">
      <c r="A229" s="615"/>
      <c r="B229" s="525" t="s">
        <v>309</v>
      </c>
      <c r="C229" s="595">
        <v>58</v>
      </c>
      <c r="D229" s="596">
        <v>43580</v>
      </c>
      <c r="E229" s="597" t="s">
        <v>303</v>
      </c>
      <c r="F229" s="597" t="s">
        <v>314</v>
      </c>
      <c r="G229" s="598">
        <v>967342</v>
      </c>
      <c r="H229" s="599">
        <v>74</v>
      </c>
      <c r="I229" s="597" t="s">
        <v>300</v>
      </c>
      <c r="J229" s="595">
        <v>0</v>
      </c>
      <c r="K229" s="598">
        <v>0</v>
      </c>
      <c r="L229" s="727"/>
      <c r="M229" s="730"/>
      <c r="N229" s="733"/>
      <c r="O229" s="721"/>
      <c r="Q229" s="523"/>
    </row>
    <row r="230" spans="1:17" s="513" customFormat="1" ht="10.15" customHeight="1">
      <c r="A230" s="615"/>
      <c r="B230" s="525" t="s">
        <v>309</v>
      </c>
      <c r="C230" s="600">
        <v>65</v>
      </c>
      <c r="D230" s="601">
        <v>43598</v>
      </c>
      <c r="E230" s="602" t="s">
        <v>303</v>
      </c>
      <c r="F230" s="602" t="s">
        <v>310</v>
      </c>
      <c r="G230" s="603">
        <v>957800</v>
      </c>
      <c r="H230" s="604">
        <v>12</v>
      </c>
      <c r="I230" s="602" t="s">
        <v>299</v>
      </c>
      <c r="J230" s="600">
        <v>0</v>
      </c>
      <c r="K230" s="603">
        <v>0</v>
      </c>
      <c r="L230" s="734">
        <f>SUM(J230:J239)</f>
        <v>130.80000000000001</v>
      </c>
      <c r="M230" s="737">
        <f t="shared" ref="M230" si="26">SUM(K230:K239)</f>
        <v>76.61399999999999</v>
      </c>
      <c r="N230" s="771">
        <f t="shared" ref="N230" si="27">L230-M230</f>
        <v>54.186000000000021</v>
      </c>
      <c r="O230" s="804">
        <f>+M230/L230</f>
        <v>0.58573394495412834</v>
      </c>
      <c r="Q230" s="523"/>
    </row>
    <row r="231" spans="1:17" s="513" customFormat="1" ht="10.15" customHeight="1">
      <c r="A231" s="615"/>
      <c r="B231" s="525" t="s">
        <v>309</v>
      </c>
      <c r="C231" s="600">
        <v>65</v>
      </c>
      <c r="D231" s="601">
        <v>43598</v>
      </c>
      <c r="E231" s="602" t="s">
        <v>303</v>
      </c>
      <c r="F231" s="602" t="s">
        <v>310</v>
      </c>
      <c r="G231" s="603">
        <v>957800</v>
      </c>
      <c r="H231" s="604">
        <v>12</v>
      </c>
      <c r="I231" s="602" t="s">
        <v>300</v>
      </c>
      <c r="J231" s="600">
        <v>26.16</v>
      </c>
      <c r="K231" s="603">
        <v>29.036999999999999</v>
      </c>
      <c r="L231" s="735"/>
      <c r="M231" s="738"/>
      <c r="N231" s="772"/>
      <c r="O231" s="805"/>
      <c r="Q231" s="523"/>
    </row>
    <row r="232" spans="1:17" s="513" customFormat="1" ht="10.15" customHeight="1">
      <c r="A232" s="615"/>
      <c r="B232" s="525" t="s">
        <v>309</v>
      </c>
      <c r="C232" s="600">
        <v>65</v>
      </c>
      <c r="D232" s="601">
        <v>43598</v>
      </c>
      <c r="E232" s="602" t="s">
        <v>303</v>
      </c>
      <c r="F232" s="602" t="s">
        <v>311</v>
      </c>
      <c r="G232" s="603">
        <v>963943</v>
      </c>
      <c r="H232" s="604">
        <v>12</v>
      </c>
      <c r="I232" s="602" t="s">
        <v>299</v>
      </c>
      <c r="J232" s="600">
        <v>0</v>
      </c>
      <c r="K232" s="603">
        <v>0</v>
      </c>
      <c r="L232" s="735"/>
      <c r="M232" s="738"/>
      <c r="N232" s="772"/>
      <c r="O232" s="805"/>
      <c r="Q232" s="523"/>
    </row>
    <row r="233" spans="1:17" s="513" customFormat="1" ht="10.15" customHeight="1">
      <c r="A233" s="615"/>
      <c r="B233" s="525" t="s">
        <v>309</v>
      </c>
      <c r="C233" s="600">
        <v>65</v>
      </c>
      <c r="D233" s="601">
        <v>43598</v>
      </c>
      <c r="E233" s="602" t="s">
        <v>303</v>
      </c>
      <c r="F233" s="602" t="s">
        <v>311</v>
      </c>
      <c r="G233" s="603">
        <v>963943</v>
      </c>
      <c r="H233" s="604">
        <v>12</v>
      </c>
      <c r="I233" s="602" t="s">
        <v>300</v>
      </c>
      <c r="J233" s="600">
        <v>26.16</v>
      </c>
      <c r="K233" s="603">
        <v>27.184999999999999</v>
      </c>
      <c r="L233" s="735"/>
      <c r="M233" s="738"/>
      <c r="N233" s="772"/>
      <c r="O233" s="805"/>
      <c r="Q233" s="523"/>
    </row>
    <row r="234" spans="1:17" s="513" customFormat="1" ht="10.15" customHeight="1">
      <c r="A234" s="615"/>
      <c r="B234" s="525" t="s">
        <v>309</v>
      </c>
      <c r="C234" s="600">
        <v>65</v>
      </c>
      <c r="D234" s="601">
        <v>43598</v>
      </c>
      <c r="E234" s="602" t="s">
        <v>303</v>
      </c>
      <c r="F234" s="602" t="s">
        <v>312</v>
      </c>
      <c r="G234" s="603">
        <v>967281</v>
      </c>
      <c r="H234" s="604">
        <v>74</v>
      </c>
      <c r="I234" s="602" t="s">
        <v>299</v>
      </c>
      <c r="J234" s="600">
        <v>0</v>
      </c>
      <c r="K234" s="603">
        <v>0</v>
      </c>
      <c r="L234" s="735"/>
      <c r="M234" s="738"/>
      <c r="N234" s="772"/>
      <c r="O234" s="805"/>
      <c r="Q234" s="523"/>
    </row>
    <row r="235" spans="1:17" s="513" customFormat="1" ht="10.15" customHeight="1">
      <c r="A235" s="615"/>
      <c r="B235" s="525" t="s">
        <v>309</v>
      </c>
      <c r="C235" s="600">
        <v>65</v>
      </c>
      <c r="D235" s="601">
        <v>43598</v>
      </c>
      <c r="E235" s="602" t="s">
        <v>303</v>
      </c>
      <c r="F235" s="602" t="s">
        <v>312</v>
      </c>
      <c r="G235" s="603">
        <v>967281</v>
      </c>
      <c r="H235" s="604">
        <v>74</v>
      </c>
      <c r="I235" s="602" t="s">
        <v>300</v>
      </c>
      <c r="J235" s="600">
        <v>26.16</v>
      </c>
      <c r="K235" s="603">
        <v>7.8650000000000002</v>
      </c>
      <c r="L235" s="735"/>
      <c r="M235" s="738"/>
      <c r="N235" s="772"/>
      <c r="O235" s="805"/>
      <c r="Q235" s="523"/>
    </row>
    <row r="236" spans="1:17" s="513" customFormat="1" ht="10.15" customHeight="1">
      <c r="A236" s="615"/>
      <c r="B236" s="525" t="s">
        <v>309</v>
      </c>
      <c r="C236" s="600">
        <v>65</v>
      </c>
      <c r="D236" s="601">
        <v>43598</v>
      </c>
      <c r="E236" s="602" t="s">
        <v>303</v>
      </c>
      <c r="F236" s="602" t="s">
        <v>313</v>
      </c>
      <c r="G236" s="603">
        <v>904281</v>
      </c>
      <c r="H236" s="604">
        <v>74</v>
      </c>
      <c r="I236" s="602" t="s">
        <v>299</v>
      </c>
      <c r="J236" s="600">
        <v>0</v>
      </c>
      <c r="K236" s="603">
        <v>0</v>
      </c>
      <c r="L236" s="735"/>
      <c r="M236" s="738"/>
      <c r="N236" s="772"/>
      <c r="O236" s="805"/>
      <c r="Q236" s="523"/>
    </row>
    <row r="237" spans="1:17" s="513" customFormat="1" ht="10.15" customHeight="1">
      <c r="A237" s="615"/>
      <c r="B237" s="525" t="s">
        <v>309</v>
      </c>
      <c r="C237" s="600">
        <v>65</v>
      </c>
      <c r="D237" s="601">
        <v>43598</v>
      </c>
      <c r="E237" s="602" t="s">
        <v>303</v>
      </c>
      <c r="F237" s="602" t="s">
        <v>313</v>
      </c>
      <c r="G237" s="603">
        <v>904281</v>
      </c>
      <c r="H237" s="604">
        <v>74</v>
      </c>
      <c r="I237" s="602" t="s">
        <v>300</v>
      </c>
      <c r="J237" s="600">
        <v>26.16</v>
      </c>
      <c r="K237" s="603">
        <v>0</v>
      </c>
      <c r="L237" s="735"/>
      <c r="M237" s="738"/>
      <c r="N237" s="772"/>
      <c r="O237" s="805"/>
      <c r="Q237" s="523"/>
    </row>
    <row r="238" spans="1:17" s="513" customFormat="1" ht="10.15" customHeight="1">
      <c r="A238" s="615"/>
      <c r="B238" s="525" t="s">
        <v>309</v>
      </c>
      <c r="C238" s="600">
        <v>65</v>
      </c>
      <c r="D238" s="601">
        <v>43598</v>
      </c>
      <c r="E238" s="602" t="s">
        <v>303</v>
      </c>
      <c r="F238" s="602" t="s">
        <v>314</v>
      </c>
      <c r="G238" s="603">
        <v>967342</v>
      </c>
      <c r="H238" s="604">
        <v>74</v>
      </c>
      <c r="I238" s="602" t="s">
        <v>299</v>
      </c>
      <c r="J238" s="600">
        <v>0</v>
      </c>
      <c r="K238" s="603">
        <v>0</v>
      </c>
      <c r="L238" s="735"/>
      <c r="M238" s="738"/>
      <c r="N238" s="772"/>
      <c r="O238" s="805"/>
      <c r="Q238" s="523"/>
    </row>
    <row r="239" spans="1:17" s="513" customFormat="1" ht="10.15" customHeight="1">
      <c r="A239" s="615"/>
      <c r="B239" s="525" t="s">
        <v>309</v>
      </c>
      <c r="C239" s="600">
        <v>65</v>
      </c>
      <c r="D239" s="601">
        <v>43598</v>
      </c>
      <c r="E239" s="602" t="s">
        <v>303</v>
      </c>
      <c r="F239" s="602" t="s">
        <v>314</v>
      </c>
      <c r="G239" s="603">
        <v>967342</v>
      </c>
      <c r="H239" s="604">
        <v>74</v>
      </c>
      <c r="I239" s="602" t="s">
        <v>300</v>
      </c>
      <c r="J239" s="600">
        <v>26.16</v>
      </c>
      <c r="K239" s="603">
        <v>12.526999999999999</v>
      </c>
      <c r="L239" s="736"/>
      <c r="M239" s="739"/>
      <c r="N239" s="773"/>
      <c r="O239" s="806"/>
      <c r="Q239" s="523"/>
    </row>
    <row r="240" spans="1:17" s="513" customFormat="1" ht="10.15" customHeight="1">
      <c r="A240" s="615"/>
      <c r="B240" s="525" t="s">
        <v>309</v>
      </c>
      <c r="C240" s="595">
        <v>66</v>
      </c>
      <c r="D240" s="596">
        <v>43598</v>
      </c>
      <c r="E240" s="597" t="s">
        <v>303</v>
      </c>
      <c r="F240" s="597" t="s">
        <v>310</v>
      </c>
      <c r="G240" s="598">
        <v>957800</v>
      </c>
      <c r="H240" s="599">
        <v>12</v>
      </c>
      <c r="I240" s="597" t="s">
        <v>299</v>
      </c>
      <c r="J240" s="595">
        <v>8.6</v>
      </c>
      <c r="K240" s="598">
        <v>0</v>
      </c>
      <c r="L240" s="725">
        <f>SUM(J240:J249)</f>
        <v>53</v>
      </c>
      <c r="M240" s="728">
        <f t="shared" ref="M240" si="28">SUM(K240:K249)</f>
        <v>53.492999999999995</v>
      </c>
      <c r="N240" s="731">
        <f t="shared" ref="N240" si="29">L240-M240</f>
        <v>-0.492999999999995</v>
      </c>
      <c r="O240" s="722">
        <f>+M240/L240</f>
        <v>1.0093018867924528</v>
      </c>
      <c r="Q240" s="523"/>
    </row>
    <row r="241" spans="1:17" s="513" customFormat="1" ht="10.15" customHeight="1">
      <c r="A241" s="615"/>
      <c r="B241" s="525" t="s">
        <v>309</v>
      </c>
      <c r="C241" s="595">
        <v>66</v>
      </c>
      <c r="D241" s="596">
        <v>43598</v>
      </c>
      <c r="E241" s="597" t="s">
        <v>303</v>
      </c>
      <c r="F241" s="597" t="s">
        <v>310</v>
      </c>
      <c r="G241" s="598">
        <v>957800</v>
      </c>
      <c r="H241" s="599">
        <v>12</v>
      </c>
      <c r="I241" s="597" t="s">
        <v>300</v>
      </c>
      <c r="J241" s="595">
        <v>2</v>
      </c>
      <c r="K241" s="598">
        <v>0</v>
      </c>
      <c r="L241" s="726"/>
      <c r="M241" s="729"/>
      <c r="N241" s="732"/>
      <c r="O241" s="723"/>
      <c r="Q241" s="523"/>
    </row>
    <row r="242" spans="1:17" s="513" customFormat="1" ht="10.15" customHeight="1">
      <c r="A242" s="615"/>
      <c r="B242" s="525" t="s">
        <v>309</v>
      </c>
      <c r="C242" s="595">
        <v>66</v>
      </c>
      <c r="D242" s="596">
        <v>43598</v>
      </c>
      <c r="E242" s="597" t="s">
        <v>303</v>
      </c>
      <c r="F242" s="597" t="s">
        <v>311</v>
      </c>
      <c r="G242" s="598">
        <v>963943</v>
      </c>
      <c r="H242" s="599">
        <v>12</v>
      </c>
      <c r="I242" s="597" t="s">
        <v>299</v>
      </c>
      <c r="J242" s="595">
        <v>8.6</v>
      </c>
      <c r="K242" s="598">
        <v>0</v>
      </c>
      <c r="L242" s="726"/>
      <c r="M242" s="729"/>
      <c r="N242" s="732"/>
      <c r="O242" s="723"/>
      <c r="Q242" s="523"/>
    </row>
    <row r="243" spans="1:17" s="513" customFormat="1" ht="10.15" customHeight="1">
      <c r="A243" s="615"/>
      <c r="B243" s="525" t="s">
        <v>309</v>
      </c>
      <c r="C243" s="595">
        <v>66</v>
      </c>
      <c r="D243" s="596">
        <v>43598</v>
      </c>
      <c r="E243" s="597" t="s">
        <v>303</v>
      </c>
      <c r="F243" s="597" t="s">
        <v>311</v>
      </c>
      <c r="G243" s="598">
        <v>963943</v>
      </c>
      <c r="H243" s="599">
        <v>12</v>
      </c>
      <c r="I243" s="597" t="s">
        <v>300</v>
      </c>
      <c r="J243" s="595">
        <v>2</v>
      </c>
      <c r="K243" s="598">
        <v>0</v>
      </c>
      <c r="L243" s="726"/>
      <c r="M243" s="729"/>
      <c r="N243" s="732"/>
      <c r="O243" s="723"/>
      <c r="Q243" s="523"/>
    </row>
    <row r="244" spans="1:17" s="513" customFormat="1" ht="10.15" customHeight="1">
      <c r="A244" s="615"/>
      <c r="B244" s="525" t="s">
        <v>309</v>
      </c>
      <c r="C244" s="595">
        <v>66</v>
      </c>
      <c r="D244" s="596">
        <v>43598</v>
      </c>
      <c r="E244" s="597" t="s">
        <v>303</v>
      </c>
      <c r="F244" s="597" t="s">
        <v>312</v>
      </c>
      <c r="G244" s="598">
        <v>967281</v>
      </c>
      <c r="H244" s="599">
        <v>74</v>
      </c>
      <c r="I244" s="597" t="s">
        <v>299</v>
      </c>
      <c r="J244" s="595">
        <v>8.6</v>
      </c>
      <c r="K244" s="598">
        <v>8.4629999999999992</v>
      </c>
      <c r="L244" s="726"/>
      <c r="M244" s="729"/>
      <c r="N244" s="732"/>
      <c r="O244" s="723"/>
      <c r="Q244" s="523"/>
    </row>
    <row r="245" spans="1:17" s="513" customFormat="1" ht="10.15" customHeight="1">
      <c r="A245" s="615"/>
      <c r="B245" s="525" t="s">
        <v>309</v>
      </c>
      <c r="C245" s="595">
        <v>66</v>
      </c>
      <c r="D245" s="596">
        <v>43598</v>
      </c>
      <c r="E245" s="597" t="s">
        <v>303</v>
      </c>
      <c r="F245" s="597" t="s">
        <v>312</v>
      </c>
      <c r="G245" s="598">
        <v>967281</v>
      </c>
      <c r="H245" s="599">
        <v>74</v>
      </c>
      <c r="I245" s="597" t="s">
        <v>300</v>
      </c>
      <c r="J245" s="595">
        <v>2</v>
      </c>
      <c r="K245" s="598">
        <v>8.4659999999999993</v>
      </c>
      <c r="L245" s="726"/>
      <c r="M245" s="729"/>
      <c r="N245" s="732"/>
      <c r="O245" s="723"/>
      <c r="Q245" s="523"/>
    </row>
    <row r="246" spans="1:17" s="513" customFormat="1" ht="10.15" customHeight="1">
      <c r="A246" s="615"/>
      <c r="B246" s="525" t="s">
        <v>309</v>
      </c>
      <c r="C246" s="595">
        <v>66</v>
      </c>
      <c r="D246" s="596">
        <v>43598</v>
      </c>
      <c r="E246" s="597" t="s">
        <v>303</v>
      </c>
      <c r="F246" s="597" t="s">
        <v>313</v>
      </c>
      <c r="G246" s="598">
        <v>904281</v>
      </c>
      <c r="H246" s="599">
        <v>74</v>
      </c>
      <c r="I246" s="597" t="s">
        <v>299</v>
      </c>
      <c r="J246" s="595">
        <v>8.6</v>
      </c>
      <c r="K246" s="598">
        <v>0</v>
      </c>
      <c r="L246" s="726"/>
      <c r="M246" s="729"/>
      <c r="N246" s="732"/>
      <c r="O246" s="723"/>
      <c r="Q246" s="523"/>
    </row>
    <row r="247" spans="1:17" s="513" customFormat="1" ht="10.15" customHeight="1">
      <c r="A247" s="615"/>
      <c r="B247" s="525" t="s">
        <v>309</v>
      </c>
      <c r="C247" s="595">
        <v>66</v>
      </c>
      <c r="D247" s="596">
        <v>43598</v>
      </c>
      <c r="E247" s="597" t="s">
        <v>303</v>
      </c>
      <c r="F247" s="597" t="s">
        <v>313</v>
      </c>
      <c r="G247" s="598">
        <v>904281</v>
      </c>
      <c r="H247" s="599">
        <v>74</v>
      </c>
      <c r="I247" s="597" t="s">
        <v>300</v>
      </c>
      <c r="J247" s="595">
        <v>2</v>
      </c>
      <c r="K247" s="598">
        <v>0</v>
      </c>
      <c r="L247" s="726"/>
      <c r="M247" s="729"/>
      <c r="N247" s="732"/>
      <c r="O247" s="723"/>
      <c r="Q247" s="523"/>
    </row>
    <row r="248" spans="1:17" s="513" customFormat="1" ht="10.15" customHeight="1">
      <c r="A248" s="615"/>
      <c r="B248" s="525" t="s">
        <v>309</v>
      </c>
      <c r="C248" s="595">
        <v>66</v>
      </c>
      <c r="D248" s="596">
        <v>43598</v>
      </c>
      <c r="E248" s="597" t="s">
        <v>303</v>
      </c>
      <c r="F248" s="597" t="s">
        <v>314</v>
      </c>
      <c r="G248" s="598">
        <v>967342</v>
      </c>
      <c r="H248" s="599">
        <v>74</v>
      </c>
      <c r="I248" s="597" t="s">
        <v>299</v>
      </c>
      <c r="J248" s="595">
        <v>8.6</v>
      </c>
      <c r="K248" s="598">
        <v>36.564</v>
      </c>
      <c r="L248" s="726"/>
      <c r="M248" s="729"/>
      <c r="N248" s="732"/>
      <c r="O248" s="723"/>
      <c r="Q248" s="523"/>
    </row>
    <row r="249" spans="1:17" s="513" customFormat="1" ht="10.15" customHeight="1">
      <c r="A249" s="615"/>
      <c r="B249" s="525" t="s">
        <v>309</v>
      </c>
      <c r="C249" s="595">
        <v>66</v>
      </c>
      <c r="D249" s="596">
        <v>43598</v>
      </c>
      <c r="E249" s="597" t="s">
        <v>303</v>
      </c>
      <c r="F249" s="597" t="s">
        <v>314</v>
      </c>
      <c r="G249" s="598">
        <v>967342</v>
      </c>
      <c r="H249" s="599">
        <v>74</v>
      </c>
      <c r="I249" s="597" t="s">
        <v>300</v>
      </c>
      <c r="J249" s="595">
        <v>2</v>
      </c>
      <c r="K249" s="598">
        <v>0</v>
      </c>
      <c r="L249" s="727"/>
      <c r="M249" s="730"/>
      <c r="N249" s="733"/>
      <c r="O249" s="724"/>
      <c r="Q249" s="523"/>
    </row>
    <row r="250" spans="1:17" s="511" customFormat="1" ht="10.15" customHeight="1">
      <c r="A250" s="615"/>
      <c r="B250" s="522" t="s">
        <v>309</v>
      </c>
      <c r="C250" s="600">
        <v>67</v>
      </c>
      <c r="D250" s="601">
        <v>43598</v>
      </c>
      <c r="E250" s="602" t="s">
        <v>303</v>
      </c>
      <c r="F250" s="602" t="s">
        <v>310</v>
      </c>
      <c r="G250" s="603">
        <v>957800</v>
      </c>
      <c r="H250" s="604">
        <v>12</v>
      </c>
      <c r="I250" s="602" t="s">
        <v>299</v>
      </c>
      <c r="J250" s="600">
        <v>0</v>
      </c>
      <c r="K250" s="603">
        <v>0</v>
      </c>
      <c r="L250" s="734">
        <f t="shared" ref="L250:M250" si="30">SUM(J250:J259)</f>
        <v>137</v>
      </c>
      <c r="M250" s="737">
        <f t="shared" si="30"/>
        <v>65.477000000000004</v>
      </c>
      <c r="N250" s="771">
        <f t="shared" ref="N250" si="31">L250-M250</f>
        <v>71.522999999999996</v>
      </c>
      <c r="O250" s="719">
        <f>+M250/L250</f>
        <v>0.4779343065693431</v>
      </c>
      <c r="Q250" s="523"/>
    </row>
    <row r="251" spans="1:17" s="511" customFormat="1" ht="10.15" customHeight="1">
      <c r="A251" s="615"/>
      <c r="B251" s="515" t="s">
        <v>309</v>
      </c>
      <c r="C251" s="600">
        <v>67</v>
      </c>
      <c r="D251" s="601">
        <v>43598</v>
      </c>
      <c r="E251" s="602" t="s">
        <v>303</v>
      </c>
      <c r="F251" s="602" t="s">
        <v>310</v>
      </c>
      <c r="G251" s="603">
        <v>957800</v>
      </c>
      <c r="H251" s="604">
        <v>12</v>
      </c>
      <c r="I251" s="602" t="s">
        <v>300</v>
      </c>
      <c r="J251" s="600">
        <v>27.4</v>
      </c>
      <c r="K251" s="603">
        <v>0</v>
      </c>
      <c r="L251" s="735"/>
      <c r="M251" s="738"/>
      <c r="N251" s="772"/>
      <c r="O251" s="720"/>
      <c r="Q251" s="523"/>
    </row>
    <row r="252" spans="1:17" s="511" customFormat="1" ht="10.15" customHeight="1">
      <c r="A252" s="615"/>
      <c r="B252" s="515" t="s">
        <v>309</v>
      </c>
      <c r="C252" s="600">
        <v>67</v>
      </c>
      <c r="D252" s="601">
        <v>43598</v>
      </c>
      <c r="E252" s="602" t="s">
        <v>303</v>
      </c>
      <c r="F252" s="602" t="s">
        <v>311</v>
      </c>
      <c r="G252" s="603">
        <v>963943</v>
      </c>
      <c r="H252" s="604">
        <v>12</v>
      </c>
      <c r="I252" s="602" t="s">
        <v>299</v>
      </c>
      <c r="J252" s="600">
        <v>0</v>
      </c>
      <c r="K252" s="603">
        <v>0</v>
      </c>
      <c r="L252" s="735"/>
      <c r="M252" s="738"/>
      <c r="N252" s="772"/>
      <c r="O252" s="720"/>
      <c r="Q252" s="523"/>
    </row>
    <row r="253" spans="1:17" s="511" customFormat="1" ht="10.15" customHeight="1">
      <c r="A253" s="615"/>
      <c r="B253" s="515" t="s">
        <v>309</v>
      </c>
      <c r="C253" s="600">
        <v>67</v>
      </c>
      <c r="D253" s="601">
        <v>43598</v>
      </c>
      <c r="E253" s="602" t="s">
        <v>303</v>
      </c>
      <c r="F253" s="602" t="s">
        <v>311</v>
      </c>
      <c r="G253" s="603">
        <v>963943</v>
      </c>
      <c r="H253" s="604">
        <v>12</v>
      </c>
      <c r="I253" s="602" t="s">
        <v>300</v>
      </c>
      <c r="J253" s="600">
        <v>27.4</v>
      </c>
      <c r="K253" s="603">
        <v>10.6</v>
      </c>
      <c r="L253" s="735"/>
      <c r="M253" s="738"/>
      <c r="N253" s="772"/>
      <c r="O253" s="720"/>
      <c r="Q253" s="523"/>
    </row>
    <row r="254" spans="1:17" s="511" customFormat="1" ht="10.15" customHeight="1">
      <c r="A254" s="615"/>
      <c r="B254" s="515" t="s">
        <v>309</v>
      </c>
      <c r="C254" s="600">
        <v>67</v>
      </c>
      <c r="D254" s="601">
        <v>43598</v>
      </c>
      <c r="E254" s="602" t="s">
        <v>303</v>
      </c>
      <c r="F254" s="602" t="s">
        <v>312</v>
      </c>
      <c r="G254" s="603">
        <v>967281</v>
      </c>
      <c r="H254" s="604">
        <v>74</v>
      </c>
      <c r="I254" s="602" t="s">
        <v>299</v>
      </c>
      <c r="J254" s="600">
        <v>0</v>
      </c>
      <c r="K254" s="603">
        <v>0</v>
      </c>
      <c r="L254" s="735"/>
      <c r="M254" s="738"/>
      <c r="N254" s="772"/>
      <c r="O254" s="720"/>
      <c r="Q254" s="523"/>
    </row>
    <row r="255" spans="1:17" s="511" customFormat="1" ht="10.15" customHeight="1">
      <c r="A255" s="615"/>
      <c r="B255" s="515" t="s">
        <v>309</v>
      </c>
      <c r="C255" s="600">
        <v>67</v>
      </c>
      <c r="D255" s="601">
        <v>43598</v>
      </c>
      <c r="E255" s="602" t="s">
        <v>303</v>
      </c>
      <c r="F255" s="602" t="s">
        <v>312</v>
      </c>
      <c r="G255" s="603">
        <v>967281</v>
      </c>
      <c r="H255" s="604">
        <v>74</v>
      </c>
      <c r="I255" s="602" t="s">
        <v>300</v>
      </c>
      <c r="J255" s="600">
        <v>27.4</v>
      </c>
      <c r="K255" s="603">
        <v>26.742999999999999</v>
      </c>
      <c r="L255" s="735"/>
      <c r="M255" s="738"/>
      <c r="N255" s="772"/>
      <c r="O255" s="720"/>
      <c r="Q255" s="523"/>
    </row>
    <row r="256" spans="1:17" s="511" customFormat="1" ht="10.15" customHeight="1">
      <c r="A256" s="615"/>
      <c r="B256" s="515" t="s">
        <v>309</v>
      </c>
      <c r="C256" s="600">
        <v>67</v>
      </c>
      <c r="D256" s="601">
        <v>43598</v>
      </c>
      <c r="E256" s="602" t="s">
        <v>303</v>
      </c>
      <c r="F256" s="602" t="s">
        <v>313</v>
      </c>
      <c r="G256" s="603">
        <v>904281</v>
      </c>
      <c r="H256" s="604">
        <v>74</v>
      </c>
      <c r="I256" s="602" t="s">
        <v>299</v>
      </c>
      <c r="J256" s="600">
        <v>0</v>
      </c>
      <c r="K256" s="603">
        <v>0</v>
      </c>
      <c r="L256" s="735"/>
      <c r="M256" s="738"/>
      <c r="N256" s="772"/>
      <c r="O256" s="720"/>
      <c r="Q256" s="523"/>
    </row>
    <row r="257" spans="1:17" s="511" customFormat="1" ht="10.15" customHeight="1">
      <c r="A257" s="615"/>
      <c r="B257" s="515" t="s">
        <v>309</v>
      </c>
      <c r="C257" s="600">
        <v>67</v>
      </c>
      <c r="D257" s="601">
        <v>43598</v>
      </c>
      <c r="E257" s="602" t="s">
        <v>303</v>
      </c>
      <c r="F257" s="602" t="s">
        <v>313</v>
      </c>
      <c r="G257" s="603">
        <v>904281</v>
      </c>
      <c r="H257" s="604">
        <v>74</v>
      </c>
      <c r="I257" s="602" t="s">
        <v>300</v>
      </c>
      <c r="J257" s="600">
        <v>27.4</v>
      </c>
      <c r="K257" s="603">
        <v>0</v>
      </c>
      <c r="L257" s="735"/>
      <c r="M257" s="738"/>
      <c r="N257" s="772"/>
      <c r="O257" s="720"/>
      <c r="Q257" s="523"/>
    </row>
    <row r="258" spans="1:17" s="511" customFormat="1" ht="10.15" customHeight="1">
      <c r="A258" s="615"/>
      <c r="B258" s="515" t="s">
        <v>309</v>
      </c>
      <c r="C258" s="600">
        <v>67</v>
      </c>
      <c r="D258" s="601">
        <v>43598</v>
      </c>
      <c r="E258" s="602" t="s">
        <v>303</v>
      </c>
      <c r="F258" s="602" t="s">
        <v>314</v>
      </c>
      <c r="G258" s="603">
        <v>967342</v>
      </c>
      <c r="H258" s="604">
        <v>74</v>
      </c>
      <c r="I258" s="602" t="s">
        <v>299</v>
      </c>
      <c r="J258" s="600">
        <v>0</v>
      </c>
      <c r="K258" s="603">
        <v>0</v>
      </c>
      <c r="L258" s="735"/>
      <c r="M258" s="738"/>
      <c r="N258" s="772"/>
      <c r="O258" s="720"/>
      <c r="Q258" s="523"/>
    </row>
    <row r="259" spans="1:17" s="511" customFormat="1" ht="10.15" customHeight="1">
      <c r="A259" s="615"/>
      <c r="B259" s="515" t="s">
        <v>309</v>
      </c>
      <c r="C259" s="600">
        <v>67</v>
      </c>
      <c r="D259" s="601">
        <v>43598</v>
      </c>
      <c r="E259" s="602" t="s">
        <v>303</v>
      </c>
      <c r="F259" s="602" t="s">
        <v>314</v>
      </c>
      <c r="G259" s="603">
        <v>967342</v>
      </c>
      <c r="H259" s="604">
        <v>74</v>
      </c>
      <c r="I259" s="602" t="s">
        <v>300</v>
      </c>
      <c r="J259" s="600">
        <v>27.4</v>
      </c>
      <c r="K259" s="603">
        <v>28.134</v>
      </c>
      <c r="L259" s="736"/>
      <c r="M259" s="739"/>
      <c r="N259" s="773"/>
      <c r="O259" s="721"/>
      <c r="Q259" s="523"/>
    </row>
    <row r="260" spans="1:17" s="511" customFormat="1" ht="10.15" customHeight="1">
      <c r="A260" s="615"/>
      <c r="B260" s="515" t="s">
        <v>309</v>
      </c>
      <c r="C260" s="595">
        <v>68</v>
      </c>
      <c r="D260" s="596">
        <v>43598</v>
      </c>
      <c r="E260" s="597" t="s">
        <v>303</v>
      </c>
      <c r="F260" s="597" t="s">
        <v>310</v>
      </c>
      <c r="G260" s="598">
        <v>957800</v>
      </c>
      <c r="H260" s="599">
        <v>12</v>
      </c>
      <c r="I260" s="597" t="s">
        <v>299</v>
      </c>
      <c r="J260" s="595">
        <v>8</v>
      </c>
      <c r="K260" s="598">
        <v>57.582000000000001</v>
      </c>
      <c r="L260" s="725">
        <f t="shared" ref="L260:M260" si="32">SUM(J260:J269)</f>
        <v>50.7</v>
      </c>
      <c r="M260" s="728">
        <f t="shared" si="32"/>
        <v>168.02600000000001</v>
      </c>
      <c r="N260" s="731">
        <f t="shared" ref="N260" si="33">L260-M260</f>
        <v>-117.32600000000001</v>
      </c>
      <c r="O260" s="804">
        <f>+M260/L260</f>
        <v>3.3141222879684418</v>
      </c>
      <c r="Q260" s="523"/>
    </row>
    <row r="261" spans="1:17" s="511" customFormat="1" ht="10.15" customHeight="1">
      <c r="A261" s="615"/>
      <c r="B261" s="515" t="s">
        <v>309</v>
      </c>
      <c r="C261" s="595">
        <v>68</v>
      </c>
      <c r="D261" s="596">
        <v>43598</v>
      </c>
      <c r="E261" s="597" t="s">
        <v>303</v>
      </c>
      <c r="F261" s="597" t="s">
        <v>310</v>
      </c>
      <c r="G261" s="598">
        <v>957800</v>
      </c>
      <c r="H261" s="599">
        <v>12</v>
      </c>
      <c r="I261" s="597" t="s">
        <v>300</v>
      </c>
      <c r="J261" s="595">
        <v>2.14</v>
      </c>
      <c r="K261" s="598">
        <v>24.216999999999999</v>
      </c>
      <c r="L261" s="726"/>
      <c r="M261" s="729"/>
      <c r="N261" s="732"/>
      <c r="O261" s="805"/>
      <c r="Q261" s="523"/>
    </row>
    <row r="262" spans="1:17" s="511" customFormat="1" ht="10.15" customHeight="1">
      <c r="A262" s="615"/>
      <c r="B262" s="515" t="s">
        <v>309</v>
      </c>
      <c r="C262" s="595">
        <v>68</v>
      </c>
      <c r="D262" s="596">
        <v>43598</v>
      </c>
      <c r="E262" s="597" t="s">
        <v>303</v>
      </c>
      <c r="F262" s="597" t="s">
        <v>311</v>
      </c>
      <c r="G262" s="598">
        <v>963943</v>
      </c>
      <c r="H262" s="599">
        <v>12</v>
      </c>
      <c r="I262" s="597" t="s">
        <v>299</v>
      </c>
      <c r="J262" s="595">
        <v>8</v>
      </c>
      <c r="K262" s="598">
        <v>28.001999999999999</v>
      </c>
      <c r="L262" s="726"/>
      <c r="M262" s="729"/>
      <c r="N262" s="732"/>
      <c r="O262" s="805"/>
      <c r="Q262" s="523"/>
    </row>
    <row r="263" spans="1:17" s="511" customFormat="1" ht="10.15" customHeight="1">
      <c r="A263" s="615"/>
      <c r="B263" s="515" t="s">
        <v>309</v>
      </c>
      <c r="C263" s="595">
        <v>68</v>
      </c>
      <c r="D263" s="596">
        <v>43598</v>
      </c>
      <c r="E263" s="597" t="s">
        <v>303</v>
      </c>
      <c r="F263" s="597" t="s">
        <v>311</v>
      </c>
      <c r="G263" s="598">
        <v>963943</v>
      </c>
      <c r="H263" s="599">
        <v>12</v>
      </c>
      <c r="I263" s="597" t="s">
        <v>300</v>
      </c>
      <c r="J263" s="595">
        <v>2.14</v>
      </c>
      <c r="K263" s="598">
        <v>4.2530000000000001</v>
      </c>
      <c r="L263" s="726"/>
      <c r="M263" s="729"/>
      <c r="N263" s="732"/>
      <c r="O263" s="805"/>
      <c r="Q263" s="523"/>
    </row>
    <row r="264" spans="1:17" s="511" customFormat="1" ht="10.15" customHeight="1">
      <c r="A264" s="615"/>
      <c r="B264" s="515" t="s">
        <v>309</v>
      </c>
      <c r="C264" s="595">
        <v>68</v>
      </c>
      <c r="D264" s="596">
        <v>43598</v>
      </c>
      <c r="E264" s="597" t="s">
        <v>303</v>
      </c>
      <c r="F264" s="597" t="s">
        <v>312</v>
      </c>
      <c r="G264" s="598">
        <v>967281</v>
      </c>
      <c r="H264" s="599">
        <v>74</v>
      </c>
      <c r="I264" s="597" t="s">
        <v>299</v>
      </c>
      <c r="J264" s="595">
        <v>8</v>
      </c>
      <c r="K264" s="598">
        <v>7.4</v>
      </c>
      <c r="L264" s="726"/>
      <c r="M264" s="729"/>
      <c r="N264" s="732"/>
      <c r="O264" s="805"/>
      <c r="Q264" s="523"/>
    </row>
    <row r="265" spans="1:17" s="511" customFormat="1" ht="10.15" customHeight="1">
      <c r="A265" s="615"/>
      <c r="B265" s="515" t="s">
        <v>309</v>
      </c>
      <c r="C265" s="595">
        <v>68</v>
      </c>
      <c r="D265" s="596">
        <v>43598</v>
      </c>
      <c r="E265" s="597" t="s">
        <v>303</v>
      </c>
      <c r="F265" s="597" t="s">
        <v>312</v>
      </c>
      <c r="G265" s="598">
        <v>967281</v>
      </c>
      <c r="H265" s="599">
        <v>74</v>
      </c>
      <c r="I265" s="597" t="s">
        <v>300</v>
      </c>
      <c r="J265" s="595">
        <v>2.14</v>
      </c>
      <c r="K265" s="598">
        <v>0</v>
      </c>
      <c r="L265" s="726"/>
      <c r="M265" s="729"/>
      <c r="N265" s="732"/>
      <c r="O265" s="805"/>
      <c r="Q265" s="523"/>
    </row>
    <row r="266" spans="1:17" s="511" customFormat="1" ht="10.15" customHeight="1">
      <c r="A266" s="615"/>
      <c r="B266" s="515" t="s">
        <v>309</v>
      </c>
      <c r="C266" s="595">
        <v>68</v>
      </c>
      <c r="D266" s="596">
        <v>43598</v>
      </c>
      <c r="E266" s="597" t="s">
        <v>303</v>
      </c>
      <c r="F266" s="597" t="s">
        <v>313</v>
      </c>
      <c r="G266" s="598">
        <v>904281</v>
      </c>
      <c r="H266" s="599">
        <v>74</v>
      </c>
      <c r="I266" s="597" t="s">
        <v>299</v>
      </c>
      <c r="J266" s="595">
        <v>8</v>
      </c>
      <c r="K266" s="598">
        <v>0</v>
      </c>
      <c r="L266" s="726"/>
      <c r="M266" s="729"/>
      <c r="N266" s="732"/>
      <c r="O266" s="805"/>
      <c r="Q266" s="523"/>
    </row>
    <row r="267" spans="1:17" s="511" customFormat="1" ht="10.15" customHeight="1">
      <c r="A267" s="615"/>
      <c r="B267" s="524" t="s">
        <v>309</v>
      </c>
      <c r="C267" s="595">
        <v>68</v>
      </c>
      <c r="D267" s="596">
        <v>43598</v>
      </c>
      <c r="E267" s="597" t="s">
        <v>303</v>
      </c>
      <c r="F267" s="597" t="s">
        <v>313</v>
      </c>
      <c r="G267" s="598">
        <v>904281</v>
      </c>
      <c r="H267" s="599">
        <v>74</v>
      </c>
      <c r="I267" s="597" t="s">
        <v>300</v>
      </c>
      <c r="J267" s="595">
        <v>2.14</v>
      </c>
      <c r="K267" s="598">
        <v>0</v>
      </c>
      <c r="L267" s="726"/>
      <c r="M267" s="729"/>
      <c r="N267" s="732"/>
      <c r="O267" s="805"/>
      <c r="Q267" s="523"/>
    </row>
    <row r="268" spans="1:17" s="511" customFormat="1" ht="10.15" customHeight="1">
      <c r="A268" s="615"/>
      <c r="B268" s="515" t="s">
        <v>309</v>
      </c>
      <c r="C268" s="595">
        <v>68</v>
      </c>
      <c r="D268" s="596">
        <v>43598</v>
      </c>
      <c r="E268" s="597" t="s">
        <v>303</v>
      </c>
      <c r="F268" s="597" t="s">
        <v>314</v>
      </c>
      <c r="G268" s="598">
        <v>967342</v>
      </c>
      <c r="H268" s="599">
        <v>74</v>
      </c>
      <c r="I268" s="597" t="s">
        <v>299</v>
      </c>
      <c r="J268" s="595">
        <v>8</v>
      </c>
      <c r="K268" s="598">
        <v>35.354999999999997</v>
      </c>
      <c r="L268" s="726"/>
      <c r="M268" s="729"/>
      <c r="N268" s="732"/>
      <c r="O268" s="805"/>
      <c r="Q268" s="523"/>
    </row>
    <row r="269" spans="1:17" s="511" customFormat="1" ht="10.15" customHeight="1">
      <c r="A269" s="615"/>
      <c r="B269" s="515" t="s">
        <v>309</v>
      </c>
      <c r="C269" s="595">
        <v>68</v>
      </c>
      <c r="D269" s="596">
        <v>43598</v>
      </c>
      <c r="E269" s="597" t="s">
        <v>303</v>
      </c>
      <c r="F269" s="597" t="s">
        <v>314</v>
      </c>
      <c r="G269" s="598">
        <v>967342</v>
      </c>
      <c r="H269" s="599">
        <v>74</v>
      </c>
      <c r="I269" s="597" t="s">
        <v>300</v>
      </c>
      <c r="J269" s="595">
        <v>2.14</v>
      </c>
      <c r="K269" s="598">
        <v>11.217000000000001</v>
      </c>
      <c r="L269" s="727"/>
      <c r="M269" s="730"/>
      <c r="N269" s="733"/>
      <c r="O269" s="806"/>
      <c r="Q269" s="523"/>
    </row>
    <row r="270" spans="1:17" s="511" customFormat="1" ht="10.15" customHeight="1">
      <c r="A270" s="615"/>
      <c r="B270" s="515" t="s">
        <v>309</v>
      </c>
      <c r="C270" s="600">
        <v>78</v>
      </c>
      <c r="D270" s="601">
        <v>43607</v>
      </c>
      <c r="E270" s="602" t="s">
        <v>303</v>
      </c>
      <c r="F270" s="602" t="s">
        <v>310</v>
      </c>
      <c r="G270" s="603">
        <v>957800</v>
      </c>
      <c r="H270" s="604">
        <v>12</v>
      </c>
      <c r="I270" s="602" t="s">
        <v>299</v>
      </c>
      <c r="J270" s="600">
        <v>6</v>
      </c>
      <c r="K270" s="603">
        <v>0</v>
      </c>
      <c r="L270" s="734">
        <f t="shared" ref="L270" si="34">SUM(J270:J279)</f>
        <v>100</v>
      </c>
      <c r="M270" s="737">
        <f>SUM(K270:K279)+6.565</f>
        <v>100</v>
      </c>
      <c r="N270" s="771">
        <f t="shared" ref="N270:N280" si="35">L270-M270</f>
        <v>0</v>
      </c>
      <c r="O270" s="719">
        <f>+M270/L270</f>
        <v>1</v>
      </c>
      <c r="Q270" s="523"/>
    </row>
    <row r="271" spans="1:17" s="511" customFormat="1" ht="10.15" customHeight="1">
      <c r="A271" s="615"/>
      <c r="B271" s="515" t="s">
        <v>309</v>
      </c>
      <c r="C271" s="600">
        <v>78</v>
      </c>
      <c r="D271" s="601">
        <v>43607</v>
      </c>
      <c r="E271" s="602" t="s">
        <v>303</v>
      </c>
      <c r="F271" s="602" t="s">
        <v>310</v>
      </c>
      <c r="G271" s="603">
        <v>957800</v>
      </c>
      <c r="H271" s="604">
        <v>12</v>
      </c>
      <c r="I271" s="602" t="s">
        <v>300</v>
      </c>
      <c r="J271" s="600">
        <v>14</v>
      </c>
      <c r="K271" s="603">
        <v>0</v>
      </c>
      <c r="L271" s="735"/>
      <c r="M271" s="738"/>
      <c r="N271" s="772"/>
      <c r="O271" s="720"/>
      <c r="Q271" s="523"/>
    </row>
    <row r="272" spans="1:17" s="511" customFormat="1" ht="10.15" customHeight="1">
      <c r="A272" s="615"/>
      <c r="B272" s="515" t="s">
        <v>309</v>
      </c>
      <c r="C272" s="600">
        <v>78</v>
      </c>
      <c r="D272" s="601">
        <v>43607</v>
      </c>
      <c r="E272" s="602" t="s">
        <v>303</v>
      </c>
      <c r="F272" s="602" t="s">
        <v>311</v>
      </c>
      <c r="G272" s="603">
        <v>963943</v>
      </c>
      <c r="H272" s="604">
        <v>12</v>
      </c>
      <c r="I272" s="602" t="s">
        <v>299</v>
      </c>
      <c r="J272" s="600">
        <v>6</v>
      </c>
      <c r="K272" s="603">
        <v>20.244</v>
      </c>
      <c r="L272" s="735"/>
      <c r="M272" s="738"/>
      <c r="N272" s="772"/>
      <c r="O272" s="720"/>
      <c r="Q272" s="523"/>
    </row>
    <row r="273" spans="1:17" s="511" customFormat="1" ht="10.15" customHeight="1">
      <c r="A273" s="615"/>
      <c r="B273" s="515" t="s">
        <v>309</v>
      </c>
      <c r="C273" s="600">
        <v>78</v>
      </c>
      <c r="D273" s="601">
        <v>43607</v>
      </c>
      <c r="E273" s="602" t="s">
        <v>303</v>
      </c>
      <c r="F273" s="602" t="s">
        <v>311</v>
      </c>
      <c r="G273" s="603">
        <v>963943</v>
      </c>
      <c r="H273" s="604">
        <v>12</v>
      </c>
      <c r="I273" s="602" t="s">
        <v>300</v>
      </c>
      <c r="J273" s="600">
        <v>14</v>
      </c>
      <c r="K273" s="603">
        <v>11.76</v>
      </c>
      <c r="L273" s="735"/>
      <c r="M273" s="738"/>
      <c r="N273" s="772"/>
      <c r="O273" s="720"/>
      <c r="Q273" s="523"/>
    </row>
    <row r="274" spans="1:17" s="511" customFormat="1" ht="10.15" customHeight="1">
      <c r="A274" s="615"/>
      <c r="B274" s="515" t="s">
        <v>309</v>
      </c>
      <c r="C274" s="600">
        <v>78</v>
      </c>
      <c r="D274" s="601">
        <v>43607</v>
      </c>
      <c r="E274" s="602" t="s">
        <v>303</v>
      </c>
      <c r="F274" s="602" t="s">
        <v>312</v>
      </c>
      <c r="G274" s="603">
        <v>967281</v>
      </c>
      <c r="H274" s="604">
        <v>74</v>
      </c>
      <c r="I274" s="602" t="s">
        <v>299</v>
      </c>
      <c r="J274" s="600">
        <v>6</v>
      </c>
      <c r="K274" s="603">
        <v>16.739999999999998</v>
      </c>
      <c r="L274" s="735"/>
      <c r="M274" s="738"/>
      <c r="N274" s="772"/>
      <c r="O274" s="720"/>
      <c r="Q274" s="523"/>
    </row>
    <row r="275" spans="1:17" s="511" customFormat="1" ht="10.15" customHeight="1">
      <c r="A275" s="615"/>
      <c r="B275" s="515" t="s">
        <v>309</v>
      </c>
      <c r="C275" s="600">
        <v>78</v>
      </c>
      <c r="D275" s="601">
        <v>43607</v>
      </c>
      <c r="E275" s="602" t="s">
        <v>303</v>
      </c>
      <c r="F275" s="602" t="s">
        <v>312</v>
      </c>
      <c r="G275" s="603">
        <v>967281</v>
      </c>
      <c r="H275" s="604">
        <v>74</v>
      </c>
      <c r="I275" s="602" t="s">
        <v>300</v>
      </c>
      <c r="J275" s="600">
        <v>14</v>
      </c>
      <c r="K275" s="603">
        <v>12.926</v>
      </c>
      <c r="L275" s="735"/>
      <c r="M275" s="738"/>
      <c r="N275" s="772"/>
      <c r="O275" s="720"/>
      <c r="Q275" s="523"/>
    </row>
    <row r="276" spans="1:17" s="511" customFormat="1" ht="10.15" customHeight="1">
      <c r="A276" s="615"/>
      <c r="B276" s="515" t="s">
        <v>309</v>
      </c>
      <c r="C276" s="600">
        <v>78</v>
      </c>
      <c r="D276" s="601">
        <v>43607</v>
      </c>
      <c r="E276" s="602" t="s">
        <v>303</v>
      </c>
      <c r="F276" s="602" t="s">
        <v>313</v>
      </c>
      <c r="G276" s="603">
        <v>904281</v>
      </c>
      <c r="H276" s="604">
        <v>74</v>
      </c>
      <c r="I276" s="602" t="s">
        <v>299</v>
      </c>
      <c r="J276" s="600">
        <v>6</v>
      </c>
      <c r="K276" s="603">
        <v>0</v>
      </c>
      <c r="L276" s="735"/>
      <c r="M276" s="738"/>
      <c r="N276" s="772"/>
      <c r="O276" s="720"/>
      <c r="Q276" s="523"/>
    </row>
    <row r="277" spans="1:17" s="511" customFormat="1" ht="10.15" customHeight="1">
      <c r="A277" s="615"/>
      <c r="B277" s="515" t="s">
        <v>309</v>
      </c>
      <c r="C277" s="600">
        <v>78</v>
      </c>
      <c r="D277" s="601">
        <v>43607</v>
      </c>
      <c r="E277" s="602" t="s">
        <v>303</v>
      </c>
      <c r="F277" s="602" t="s">
        <v>313</v>
      </c>
      <c r="G277" s="603">
        <v>904281</v>
      </c>
      <c r="H277" s="604">
        <v>74</v>
      </c>
      <c r="I277" s="602" t="s">
        <v>300</v>
      </c>
      <c r="J277" s="600">
        <v>14</v>
      </c>
      <c r="K277" s="603">
        <v>0</v>
      </c>
      <c r="L277" s="735"/>
      <c r="M277" s="738"/>
      <c r="N277" s="772"/>
      <c r="O277" s="720"/>
      <c r="Q277" s="523"/>
    </row>
    <row r="278" spans="1:17" s="511" customFormat="1" ht="10.15" customHeight="1">
      <c r="A278" s="615"/>
      <c r="B278" s="515" t="s">
        <v>309</v>
      </c>
      <c r="C278" s="600">
        <v>78</v>
      </c>
      <c r="D278" s="601">
        <v>43607</v>
      </c>
      <c r="E278" s="602" t="s">
        <v>303</v>
      </c>
      <c r="F278" s="602" t="s">
        <v>314</v>
      </c>
      <c r="G278" s="603">
        <v>967342</v>
      </c>
      <c r="H278" s="604">
        <v>74</v>
      </c>
      <c r="I278" s="602" t="s">
        <v>299</v>
      </c>
      <c r="J278" s="600">
        <v>6</v>
      </c>
      <c r="K278" s="603">
        <v>6.58</v>
      </c>
      <c r="L278" s="735"/>
      <c r="M278" s="738"/>
      <c r="N278" s="772"/>
      <c r="O278" s="720"/>
      <c r="Q278" s="523"/>
    </row>
    <row r="279" spans="1:17" s="511" customFormat="1" ht="10.15" customHeight="1">
      <c r="A279" s="615"/>
      <c r="B279" s="515" t="s">
        <v>309</v>
      </c>
      <c r="C279" s="600">
        <v>78</v>
      </c>
      <c r="D279" s="601">
        <v>43607</v>
      </c>
      <c r="E279" s="602" t="s">
        <v>303</v>
      </c>
      <c r="F279" s="602" t="s">
        <v>314</v>
      </c>
      <c r="G279" s="603">
        <v>967342</v>
      </c>
      <c r="H279" s="604">
        <v>74</v>
      </c>
      <c r="I279" s="602" t="s">
        <v>300</v>
      </c>
      <c r="J279" s="600">
        <v>14</v>
      </c>
      <c r="K279" s="603">
        <v>25.184999999999999</v>
      </c>
      <c r="L279" s="736"/>
      <c r="M279" s="739"/>
      <c r="N279" s="773"/>
      <c r="O279" s="721"/>
      <c r="Q279" s="523"/>
    </row>
    <row r="280" spans="1:17" s="511" customFormat="1" ht="10.15" customHeight="1">
      <c r="A280" s="615"/>
      <c r="B280" s="515" t="s">
        <v>309</v>
      </c>
      <c r="C280" s="595">
        <v>80</v>
      </c>
      <c r="D280" s="596">
        <v>43607</v>
      </c>
      <c r="E280" s="597" t="s">
        <v>303</v>
      </c>
      <c r="F280" s="597" t="s">
        <v>310</v>
      </c>
      <c r="G280" s="598">
        <v>957800</v>
      </c>
      <c r="H280" s="599">
        <v>12</v>
      </c>
      <c r="I280" s="597" t="s">
        <v>299</v>
      </c>
      <c r="J280" s="595">
        <v>8</v>
      </c>
      <c r="K280" s="598">
        <v>12.9</v>
      </c>
      <c r="L280" s="725">
        <f t="shared" ref="L280:M280" si="36">SUM(J280:J289)</f>
        <v>42.199999999999996</v>
      </c>
      <c r="M280" s="728">
        <f t="shared" si="36"/>
        <v>48.688000000000002</v>
      </c>
      <c r="N280" s="731">
        <f t="shared" si="35"/>
        <v>-6.4880000000000067</v>
      </c>
      <c r="O280" s="804">
        <f>+M280/L280</f>
        <v>1.153744075829384</v>
      </c>
      <c r="Q280" s="523"/>
    </row>
    <row r="281" spans="1:17" s="511" customFormat="1" ht="10.15" customHeight="1">
      <c r="A281" s="615"/>
      <c r="B281" s="515" t="s">
        <v>309</v>
      </c>
      <c r="C281" s="595">
        <v>80</v>
      </c>
      <c r="D281" s="596">
        <v>43607</v>
      </c>
      <c r="E281" s="597" t="s">
        <v>303</v>
      </c>
      <c r="F281" s="597" t="s">
        <v>310</v>
      </c>
      <c r="G281" s="598">
        <v>957800</v>
      </c>
      <c r="H281" s="599">
        <v>12</v>
      </c>
      <c r="I281" s="597" t="s">
        <v>300</v>
      </c>
      <c r="J281" s="595">
        <v>0.44</v>
      </c>
      <c r="K281" s="598">
        <v>0</v>
      </c>
      <c r="L281" s="726"/>
      <c r="M281" s="729"/>
      <c r="N281" s="732"/>
      <c r="O281" s="805"/>
      <c r="Q281" s="523"/>
    </row>
    <row r="282" spans="1:17" s="511" customFormat="1" ht="10.15" customHeight="1">
      <c r="A282" s="615"/>
      <c r="B282" s="515" t="s">
        <v>309</v>
      </c>
      <c r="C282" s="595">
        <v>80</v>
      </c>
      <c r="D282" s="596">
        <v>43607</v>
      </c>
      <c r="E282" s="597" t="s">
        <v>303</v>
      </c>
      <c r="F282" s="597" t="s">
        <v>311</v>
      </c>
      <c r="G282" s="598">
        <v>963943</v>
      </c>
      <c r="H282" s="599">
        <v>12</v>
      </c>
      <c r="I282" s="597" t="s">
        <v>299</v>
      </c>
      <c r="J282" s="595">
        <v>8</v>
      </c>
      <c r="K282" s="598">
        <v>0</v>
      </c>
      <c r="L282" s="726"/>
      <c r="M282" s="729"/>
      <c r="N282" s="732"/>
      <c r="O282" s="805"/>
      <c r="Q282" s="523"/>
    </row>
    <row r="283" spans="1:17" s="511" customFormat="1" ht="10.15" customHeight="1">
      <c r="A283" s="615"/>
      <c r="B283" s="515" t="s">
        <v>309</v>
      </c>
      <c r="C283" s="595">
        <v>80</v>
      </c>
      <c r="D283" s="596">
        <v>43607</v>
      </c>
      <c r="E283" s="597" t="s">
        <v>303</v>
      </c>
      <c r="F283" s="597" t="s">
        <v>311</v>
      </c>
      <c r="G283" s="598">
        <v>963943</v>
      </c>
      <c r="H283" s="599">
        <v>12</v>
      </c>
      <c r="I283" s="597" t="s">
        <v>300</v>
      </c>
      <c r="J283" s="595">
        <v>0.44</v>
      </c>
      <c r="K283" s="598">
        <v>0</v>
      </c>
      <c r="L283" s="726"/>
      <c r="M283" s="729"/>
      <c r="N283" s="732"/>
      <c r="O283" s="805"/>
      <c r="Q283" s="523"/>
    </row>
    <row r="284" spans="1:17" s="511" customFormat="1" ht="10.15" customHeight="1">
      <c r="A284" s="615"/>
      <c r="B284" s="515" t="s">
        <v>309</v>
      </c>
      <c r="C284" s="595">
        <v>80</v>
      </c>
      <c r="D284" s="596">
        <v>43607</v>
      </c>
      <c r="E284" s="597" t="s">
        <v>303</v>
      </c>
      <c r="F284" s="597" t="s">
        <v>312</v>
      </c>
      <c r="G284" s="598">
        <v>967281</v>
      </c>
      <c r="H284" s="599">
        <v>74</v>
      </c>
      <c r="I284" s="597" t="s">
        <v>299</v>
      </c>
      <c r="J284" s="595">
        <v>8</v>
      </c>
      <c r="K284" s="598">
        <v>11.369</v>
      </c>
      <c r="L284" s="726"/>
      <c r="M284" s="729"/>
      <c r="N284" s="732"/>
      <c r="O284" s="805"/>
      <c r="Q284" s="523"/>
    </row>
    <row r="285" spans="1:17" s="511" customFormat="1" ht="10.15" customHeight="1">
      <c r="A285" s="615"/>
      <c r="B285" s="515" t="s">
        <v>309</v>
      </c>
      <c r="C285" s="595">
        <v>80</v>
      </c>
      <c r="D285" s="596">
        <v>43607</v>
      </c>
      <c r="E285" s="597" t="s">
        <v>303</v>
      </c>
      <c r="F285" s="597" t="s">
        <v>312</v>
      </c>
      <c r="G285" s="598">
        <v>967281</v>
      </c>
      <c r="H285" s="599">
        <v>74</v>
      </c>
      <c r="I285" s="597" t="s">
        <v>300</v>
      </c>
      <c r="J285" s="595">
        <v>0.44</v>
      </c>
      <c r="K285" s="598">
        <v>13.419</v>
      </c>
      <c r="L285" s="726"/>
      <c r="M285" s="729"/>
      <c r="N285" s="732"/>
      <c r="O285" s="805"/>
      <c r="Q285" s="523"/>
    </row>
    <row r="286" spans="1:17" s="511" customFormat="1" ht="10.15" customHeight="1">
      <c r="A286" s="615"/>
      <c r="B286" s="515" t="s">
        <v>309</v>
      </c>
      <c r="C286" s="595">
        <v>80</v>
      </c>
      <c r="D286" s="596">
        <v>43607</v>
      </c>
      <c r="E286" s="597" t="s">
        <v>303</v>
      </c>
      <c r="F286" s="597" t="s">
        <v>313</v>
      </c>
      <c r="G286" s="598">
        <v>904281</v>
      </c>
      <c r="H286" s="599">
        <v>74</v>
      </c>
      <c r="I286" s="597" t="s">
        <v>299</v>
      </c>
      <c r="J286" s="595">
        <v>8</v>
      </c>
      <c r="K286" s="598">
        <v>0</v>
      </c>
      <c r="L286" s="726"/>
      <c r="M286" s="729"/>
      <c r="N286" s="732"/>
      <c r="O286" s="805"/>
      <c r="Q286" s="523"/>
    </row>
    <row r="287" spans="1:17" s="511" customFormat="1" ht="10.15" customHeight="1">
      <c r="A287" s="615"/>
      <c r="B287" s="515" t="s">
        <v>309</v>
      </c>
      <c r="C287" s="595">
        <v>80</v>
      </c>
      <c r="D287" s="596">
        <v>43607</v>
      </c>
      <c r="E287" s="597" t="s">
        <v>303</v>
      </c>
      <c r="F287" s="597" t="s">
        <v>313</v>
      </c>
      <c r="G287" s="598">
        <v>904281</v>
      </c>
      <c r="H287" s="599">
        <v>74</v>
      </c>
      <c r="I287" s="597" t="s">
        <v>300</v>
      </c>
      <c r="J287" s="595">
        <v>0.44</v>
      </c>
      <c r="K287" s="598">
        <v>0</v>
      </c>
      <c r="L287" s="726"/>
      <c r="M287" s="729"/>
      <c r="N287" s="732"/>
      <c r="O287" s="805"/>
      <c r="Q287" s="523"/>
    </row>
    <row r="288" spans="1:17" s="511" customFormat="1" ht="10.15" customHeight="1">
      <c r="A288" s="615"/>
      <c r="B288" s="515" t="s">
        <v>309</v>
      </c>
      <c r="C288" s="595">
        <v>80</v>
      </c>
      <c r="D288" s="596">
        <v>43607</v>
      </c>
      <c r="E288" s="597" t="s">
        <v>303</v>
      </c>
      <c r="F288" s="597" t="s">
        <v>314</v>
      </c>
      <c r="G288" s="598">
        <v>967342</v>
      </c>
      <c r="H288" s="599">
        <v>74</v>
      </c>
      <c r="I288" s="597" t="s">
        <v>299</v>
      </c>
      <c r="J288" s="595">
        <v>8</v>
      </c>
      <c r="K288" s="598">
        <v>11</v>
      </c>
      <c r="L288" s="726"/>
      <c r="M288" s="729"/>
      <c r="N288" s="732"/>
      <c r="O288" s="805"/>
      <c r="Q288" s="523"/>
    </row>
    <row r="289" spans="1:17" s="511" customFormat="1" ht="10.15" customHeight="1">
      <c r="A289" s="615"/>
      <c r="B289" s="515" t="s">
        <v>309</v>
      </c>
      <c r="C289" s="595">
        <v>80</v>
      </c>
      <c r="D289" s="596">
        <v>43607</v>
      </c>
      <c r="E289" s="597" t="s">
        <v>303</v>
      </c>
      <c r="F289" s="597" t="s">
        <v>314</v>
      </c>
      <c r="G289" s="598">
        <v>967342</v>
      </c>
      <c r="H289" s="599">
        <v>74</v>
      </c>
      <c r="I289" s="597" t="s">
        <v>300</v>
      </c>
      <c r="J289" s="595">
        <v>0.44</v>
      </c>
      <c r="K289" s="598">
        <v>0</v>
      </c>
      <c r="L289" s="727"/>
      <c r="M289" s="730"/>
      <c r="N289" s="733"/>
      <c r="O289" s="806"/>
      <c r="Q289" s="523"/>
    </row>
    <row r="290" spans="1:17" s="511" customFormat="1" ht="10.15" customHeight="1">
      <c r="A290" s="615"/>
      <c r="B290" s="515" t="s">
        <v>309</v>
      </c>
      <c r="C290" s="600">
        <v>81</v>
      </c>
      <c r="D290" s="601">
        <v>43607</v>
      </c>
      <c r="E290" s="602" t="s">
        <v>303</v>
      </c>
      <c r="F290" s="602" t="s">
        <v>310</v>
      </c>
      <c r="G290" s="603">
        <v>957800</v>
      </c>
      <c r="H290" s="604">
        <v>12</v>
      </c>
      <c r="I290" s="602" t="s">
        <v>299</v>
      </c>
      <c r="J290" s="600">
        <v>1.8</v>
      </c>
      <c r="K290" s="603">
        <v>27.786000000000001</v>
      </c>
      <c r="L290" s="734">
        <f t="shared" ref="L290:M290" si="37">SUM(J290:J299)</f>
        <v>19</v>
      </c>
      <c r="M290" s="737">
        <f t="shared" si="37"/>
        <v>452.779</v>
      </c>
      <c r="N290" s="771">
        <f t="shared" ref="N290" si="38">L290-M290</f>
        <v>-433.779</v>
      </c>
      <c r="O290" s="719">
        <f>+M290/L290</f>
        <v>23.830473684210528</v>
      </c>
      <c r="Q290" s="523"/>
    </row>
    <row r="291" spans="1:17" s="511" customFormat="1" ht="10.15" customHeight="1">
      <c r="A291" s="615"/>
      <c r="B291" s="515" t="s">
        <v>309</v>
      </c>
      <c r="C291" s="600">
        <v>81</v>
      </c>
      <c r="D291" s="601">
        <v>43607</v>
      </c>
      <c r="E291" s="602" t="s">
        <v>303</v>
      </c>
      <c r="F291" s="602" t="s">
        <v>310</v>
      </c>
      <c r="G291" s="603">
        <v>957800</v>
      </c>
      <c r="H291" s="604">
        <v>12</v>
      </c>
      <c r="I291" s="602" t="s">
        <v>300</v>
      </c>
      <c r="J291" s="600">
        <v>2</v>
      </c>
      <c r="K291" s="603">
        <v>8.5850000000000009</v>
      </c>
      <c r="L291" s="735"/>
      <c r="M291" s="738"/>
      <c r="N291" s="772"/>
      <c r="O291" s="720"/>
      <c r="Q291" s="523"/>
    </row>
    <row r="292" spans="1:17" s="511" customFormat="1" ht="10.15" customHeight="1">
      <c r="A292" s="615"/>
      <c r="B292" s="515" t="s">
        <v>309</v>
      </c>
      <c r="C292" s="600">
        <v>81</v>
      </c>
      <c r="D292" s="601">
        <v>43607</v>
      </c>
      <c r="E292" s="602" t="s">
        <v>303</v>
      </c>
      <c r="F292" s="602" t="s">
        <v>311</v>
      </c>
      <c r="G292" s="603">
        <v>963943</v>
      </c>
      <c r="H292" s="604">
        <v>12</v>
      </c>
      <c r="I292" s="602" t="s">
        <v>299</v>
      </c>
      <c r="J292" s="600">
        <v>1.8</v>
      </c>
      <c r="K292" s="603">
        <v>81.284000000000006</v>
      </c>
      <c r="L292" s="735"/>
      <c r="M292" s="738"/>
      <c r="N292" s="772"/>
      <c r="O292" s="720"/>
      <c r="Q292" s="523"/>
    </row>
    <row r="293" spans="1:17" s="511" customFormat="1" ht="10.15" customHeight="1">
      <c r="A293" s="615"/>
      <c r="B293" s="515" t="s">
        <v>309</v>
      </c>
      <c r="C293" s="600">
        <v>81</v>
      </c>
      <c r="D293" s="601">
        <v>43607</v>
      </c>
      <c r="E293" s="602" t="s">
        <v>303</v>
      </c>
      <c r="F293" s="602" t="s">
        <v>311</v>
      </c>
      <c r="G293" s="603">
        <v>963943</v>
      </c>
      <c r="H293" s="604">
        <v>12</v>
      </c>
      <c r="I293" s="602" t="s">
        <v>300</v>
      </c>
      <c r="J293" s="600">
        <v>2</v>
      </c>
      <c r="K293" s="603">
        <v>44.676000000000002</v>
      </c>
      <c r="L293" s="735"/>
      <c r="M293" s="738"/>
      <c r="N293" s="772"/>
      <c r="O293" s="720"/>
      <c r="Q293" s="523"/>
    </row>
    <row r="294" spans="1:17" s="511" customFormat="1" ht="10.15" customHeight="1">
      <c r="A294" s="615"/>
      <c r="B294" s="515" t="s">
        <v>309</v>
      </c>
      <c r="C294" s="600">
        <v>81</v>
      </c>
      <c r="D294" s="601">
        <v>43607</v>
      </c>
      <c r="E294" s="602" t="s">
        <v>303</v>
      </c>
      <c r="F294" s="602" t="s">
        <v>312</v>
      </c>
      <c r="G294" s="603">
        <v>967281</v>
      </c>
      <c r="H294" s="604">
        <v>74</v>
      </c>
      <c r="I294" s="602" t="s">
        <v>299</v>
      </c>
      <c r="J294" s="600">
        <v>1.8</v>
      </c>
      <c r="K294" s="603">
        <v>105.649</v>
      </c>
      <c r="L294" s="735"/>
      <c r="M294" s="738"/>
      <c r="N294" s="772"/>
      <c r="O294" s="720"/>
      <c r="Q294" s="523"/>
    </row>
    <row r="295" spans="1:17" s="511" customFormat="1" ht="10.15" customHeight="1">
      <c r="A295" s="615"/>
      <c r="B295" s="515" t="s">
        <v>309</v>
      </c>
      <c r="C295" s="600">
        <v>81</v>
      </c>
      <c r="D295" s="601">
        <v>43607</v>
      </c>
      <c r="E295" s="602" t="s">
        <v>303</v>
      </c>
      <c r="F295" s="602" t="s">
        <v>312</v>
      </c>
      <c r="G295" s="603">
        <v>967281</v>
      </c>
      <c r="H295" s="604">
        <v>74</v>
      </c>
      <c r="I295" s="602" t="s">
        <v>300</v>
      </c>
      <c r="J295" s="600">
        <v>2</v>
      </c>
      <c r="K295" s="603">
        <v>22.344999999999999</v>
      </c>
      <c r="L295" s="735"/>
      <c r="M295" s="738"/>
      <c r="N295" s="772"/>
      <c r="O295" s="720"/>
      <c r="Q295" s="523"/>
    </row>
    <row r="296" spans="1:17" s="511" customFormat="1" ht="10.15" customHeight="1">
      <c r="A296" s="615"/>
      <c r="B296" s="515" t="s">
        <v>309</v>
      </c>
      <c r="C296" s="600">
        <v>81</v>
      </c>
      <c r="D296" s="601">
        <v>43607</v>
      </c>
      <c r="E296" s="602" t="s">
        <v>303</v>
      </c>
      <c r="F296" s="602" t="s">
        <v>313</v>
      </c>
      <c r="G296" s="603">
        <v>904281</v>
      </c>
      <c r="H296" s="604">
        <v>74</v>
      </c>
      <c r="I296" s="602" t="s">
        <v>299</v>
      </c>
      <c r="J296" s="600">
        <v>1.8</v>
      </c>
      <c r="K296" s="603">
        <v>0</v>
      </c>
      <c r="L296" s="735"/>
      <c r="M296" s="738"/>
      <c r="N296" s="772"/>
      <c r="O296" s="720"/>
      <c r="Q296" s="523"/>
    </row>
    <row r="297" spans="1:17" s="511" customFormat="1" ht="10.15" customHeight="1">
      <c r="A297" s="615"/>
      <c r="B297" s="515" t="s">
        <v>309</v>
      </c>
      <c r="C297" s="600">
        <v>81</v>
      </c>
      <c r="D297" s="601">
        <v>43607</v>
      </c>
      <c r="E297" s="602" t="s">
        <v>303</v>
      </c>
      <c r="F297" s="602" t="s">
        <v>313</v>
      </c>
      <c r="G297" s="603">
        <v>904281</v>
      </c>
      <c r="H297" s="604">
        <v>74</v>
      </c>
      <c r="I297" s="602" t="s">
        <v>300</v>
      </c>
      <c r="J297" s="600">
        <v>2</v>
      </c>
      <c r="K297" s="603">
        <v>0</v>
      </c>
      <c r="L297" s="735"/>
      <c r="M297" s="738"/>
      <c r="N297" s="772"/>
      <c r="O297" s="720"/>
      <c r="Q297" s="523"/>
    </row>
    <row r="298" spans="1:17" s="511" customFormat="1" ht="10.15" customHeight="1">
      <c r="A298" s="615"/>
      <c r="B298" s="515" t="s">
        <v>309</v>
      </c>
      <c r="C298" s="600">
        <v>81</v>
      </c>
      <c r="D298" s="601">
        <v>43607</v>
      </c>
      <c r="E298" s="602" t="s">
        <v>303</v>
      </c>
      <c r="F298" s="602" t="s">
        <v>314</v>
      </c>
      <c r="G298" s="603">
        <v>967342</v>
      </c>
      <c r="H298" s="604">
        <v>74</v>
      </c>
      <c r="I298" s="602" t="s">
        <v>299</v>
      </c>
      <c r="J298" s="600">
        <v>1.8</v>
      </c>
      <c r="K298" s="603">
        <v>115.511</v>
      </c>
      <c r="L298" s="735"/>
      <c r="M298" s="738"/>
      <c r="N298" s="772"/>
      <c r="O298" s="720"/>
      <c r="Q298" s="523"/>
    </row>
    <row r="299" spans="1:17" s="511" customFormat="1" ht="10.15" customHeight="1">
      <c r="A299" s="615"/>
      <c r="B299" s="515" t="s">
        <v>309</v>
      </c>
      <c r="C299" s="600">
        <v>81</v>
      </c>
      <c r="D299" s="601">
        <v>43607</v>
      </c>
      <c r="E299" s="602" t="s">
        <v>303</v>
      </c>
      <c r="F299" s="602" t="s">
        <v>314</v>
      </c>
      <c r="G299" s="603">
        <v>967342</v>
      </c>
      <c r="H299" s="604">
        <v>74</v>
      </c>
      <c r="I299" s="602" t="s">
        <v>300</v>
      </c>
      <c r="J299" s="600">
        <v>2</v>
      </c>
      <c r="K299" s="603">
        <v>46.942999999999998</v>
      </c>
      <c r="L299" s="736"/>
      <c r="M299" s="739"/>
      <c r="N299" s="773"/>
      <c r="O299" s="721"/>
      <c r="Q299" s="523"/>
    </row>
    <row r="300" spans="1:17" s="511" customFormat="1" ht="10.15" customHeight="1">
      <c r="A300" s="615"/>
      <c r="B300" s="515" t="s">
        <v>309</v>
      </c>
      <c r="C300" s="595">
        <v>82</v>
      </c>
      <c r="D300" s="596">
        <v>43607</v>
      </c>
      <c r="E300" s="597" t="s">
        <v>303</v>
      </c>
      <c r="F300" s="597" t="s">
        <v>312</v>
      </c>
      <c r="G300" s="598">
        <v>967281</v>
      </c>
      <c r="H300" s="599">
        <v>74</v>
      </c>
      <c r="I300" s="597" t="s">
        <v>299</v>
      </c>
      <c r="J300" s="595">
        <v>0.63300000000000001</v>
      </c>
      <c r="K300" s="598">
        <v>0</v>
      </c>
      <c r="L300" s="725">
        <f>SUM(J300:J305)</f>
        <v>4.9979999999999993</v>
      </c>
      <c r="M300" s="728">
        <f>SUM(K300:K305)+0.416</f>
        <v>0.41599999999999998</v>
      </c>
      <c r="N300" s="731">
        <f>L300-M300</f>
        <v>4.581999999999999</v>
      </c>
      <c r="O300" s="722">
        <f>+M300/L300</f>
        <v>8.3233293317326942E-2</v>
      </c>
      <c r="Q300" s="523"/>
    </row>
    <row r="301" spans="1:17" s="511" customFormat="1" ht="10.15" customHeight="1">
      <c r="A301" s="615"/>
      <c r="B301" s="515" t="s">
        <v>309</v>
      </c>
      <c r="C301" s="595">
        <v>82</v>
      </c>
      <c r="D301" s="596">
        <v>43607</v>
      </c>
      <c r="E301" s="597" t="s">
        <v>303</v>
      </c>
      <c r="F301" s="597" t="s">
        <v>312</v>
      </c>
      <c r="G301" s="598">
        <v>967281</v>
      </c>
      <c r="H301" s="599">
        <v>74</v>
      </c>
      <c r="I301" s="597" t="s">
        <v>300</v>
      </c>
      <c r="J301" s="595">
        <v>1.0329999999999999</v>
      </c>
      <c r="K301" s="598">
        <v>0</v>
      </c>
      <c r="L301" s="726"/>
      <c r="M301" s="729"/>
      <c r="N301" s="732"/>
      <c r="O301" s="723"/>
      <c r="Q301" s="523"/>
    </row>
    <row r="302" spans="1:17" s="511" customFormat="1" ht="10.15" customHeight="1">
      <c r="A302" s="615"/>
      <c r="B302" s="515" t="s">
        <v>309</v>
      </c>
      <c r="C302" s="595">
        <v>82</v>
      </c>
      <c r="D302" s="596">
        <v>43607</v>
      </c>
      <c r="E302" s="597" t="s">
        <v>303</v>
      </c>
      <c r="F302" s="597" t="s">
        <v>313</v>
      </c>
      <c r="G302" s="598">
        <v>904281</v>
      </c>
      <c r="H302" s="599">
        <v>74</v>
      </c>
      <c r="I302" s="597" t="s">
        <v>299</v>
      </c>
      <c r="J302" s="595">
        <v>0.63300000000000001</v>
      </c>
      <c r="K302" s="598">
        <v>0</v>
      </c>
      <c r="L302" s="726"/>
      <c r="M302" s="729"/>
      <c r="N302" s="732"/>
      <c r="O302" s="723"/>
      <c r="Q302" s="523"/>
    </row>
    <row r="303" spans="1:17" s="511" customFormat="1" ht="10.15" customHeight="1">
      <c r="A303" s="615"/>
      <c r="B303" s="515" t="s">
        <v>309</v>
      </c>
      <c r="C303" s="595">
        <v>82</v>
      </c>
      <c r="D303" s="596">
        <v>43607</v>
      </c>
      <c r="E303" s="597" t="s">
        <v>303</v>
      </c>
      <c r="F303" s="597" t="s">
        <v>313</v>
      </c>
      <c r="G303" s="598">
        <v>904281</v>
      </c>
      <c r="H303" s="599">
        <v>74</v>
      </c>
      <c r="I303" s="597" t="s">
        <v>300</v>
      </c>
      <c r="J303" s="595">
        <v>1.0329999999999999</v>
      </c>
      <c r="K303" s="598">
        <v>0</v>
      </c>
      <c r="L303" s="726"/>
      <c r="M303" s="729"/>
      <c r="N303" s="732"/>
      <c r="O303" s="723"/>
      <c r="Q303" s="523"/>
    </row>
    <row r="304" spans="1:17" s="511" customFormat="1" ht="10.15" customHeight="1">
      <c r="A304" s="615"/>
      <c r="B304" s="515" t="s">
        <v>309</v>
      </c>
      <c r="C304" s="595">
        <v>82</v>
      </c>
      <c r="D304" s="596">
        <v>43607</v>
      </c>
      <c r="E304" s="597" t="s">
        <v>303</v>
      </c>
      <c r="F304" s="597" t="s">
        <v>314</v>
      </c>
      <c r="G304" s="598">
        <v>967342</v>
      </c>
      <c r="H304" s="599">
        <v>74</v>
      </c>
      <c r="I304" s="597" t="s">
        <v>299</v>
      </c>
      <c r="J304" s="595">
        <v>0.63300000000000001</v>
      </c>
      <c r="K304" s="598">
        <v>0</v>
      </c>
      <c r="L304" s="726"/>
      <c r="M304" s="729"/>
      <c r="N304" s="732"/>
      <c r="O304" s="723"/>
      <c r="Q304" s="523"/>
    </row>
    <row r="305" spans="1:17" s="511" customFormat="1" ht="10.15" customHeight="1">
      <c r="A305" s="615"/>
      <c r="B305" s="515" t="s">
        <v>309</v>
      </c>
      <c r="C305" s="595">
        <v>82</v>
      </c>
      <c r="D305" s="596">
        <v>43607</v>
      </c>
      <c r="E305" s="597" t="s">
        <v>303</v>
      </c>
      <c r="F305" s="597" t="s">
        <v>314</v>
      </c>
      <c r="G305" s="598">
        <v>967342</v>
      </c>
      <c r="H305" s="599">
        <v>74</v>
      </c>
      <c r="I305" s="597" t="s">
        <v>300</v>
      </c>
      <c r="J305" s="595">
        <v>1.0329999999999999</v>
      </c>
      <c r="K305" s="598">
        <v>0</v>
      </c>
      <c r="L305" s="727"/>
      <c r="M305" s="730"/>
      <c r="N305" s="733"/>
      <c r="O305" s="724"/>
      <c r="Q305" s="523"/>
    </row>
    <row r="306" spans="1:17" s="511" customFormat="1" ht="10.15" customHeight="1">
      <c r="A306" s="615"/>
      <c r="B306" s="515" t="s">
        <v>309</v>
      </c>
      <c r="C306" s="600">
        <v>85</v>
      </c>
      <c r="D306" s="601">
        <v>43608</v>
      </c>
      <c r="E306" s="602" t="s">
        <v>303</v>
      </c>
      <c r="F306" s="602" t="s">
        <v>310</v>
      </c>
      <c r="G306" s="603">
        <v>957800</v>
      </c>
      <c r="H306" s="604">
        <v>12</v>
      </c>
      <c r="I306" s="602" t="s">
        <v>299</v>
      </c>
      <c r="J306" s="600">
        <v>6.2</v>
      </c>
      <c r="K306" s="603">
        <v>21.279</v>
      </c>
      <c r="L306" s="734">
        <f>SUM(J306:J315)</f>
        <v>35</v>
      </c>
      <c r="M306" s="737">
        <f t="shared" ref="M306" si="39">SUM(K306:K315)</f>
        <v>686.87700000000007</v>
      </c>
      <c r="N306" s="771">
        <f>L306-M306</f>
        <v>-651.87700000000007</v>
      </c>
      <c r="O306" s="719">
        <f>+M306/L306</f>
        <v>19.625057142857145</v>
      </c>
      <c r="Q306" s="523"/>
    </row>
    <row r="307" spans="1:17" s="511" customFormat="1" ht="10.15" customHeight="1">
      <c r="A307" s="615"/>
      <c r="B307" s="515" t="s">
        <v>309</v>
      </c>
      <c r="C307" s="600">
        <v>85</v>
      </c>
      <c r="D307" s="601">
        <v>43608</v>
      </c>
      <c r="E307" s="602" t="s">
        <v>303</v>
      </c>
      <c r="F307" s="602" t="s">
        <v>310</v>
      </c>
      <c r="G307" s="603">
        <v>957800</v>
      </c>
      <c r="H307" s="604">
        <v>12</v>
      </c>
      <c r="I307" s="602" t="s">
        <v>300</v>
      </c>
      <c r="J307" s="600">
        <v>0.8</v>
      </c>
      <c r="K307" s="603">
        <v>107.498</v>
      </c>
      <c r="L307" s="735"/>
      <c r="M307" s="738"/>
      <c r="N307" s="772"/>
      <c r="O307" s="720"/>
      <c r="Q307" s="523"/>
    </row>
    <row r="308" spans="1:17" s="511" customFormat="1" ht="10.15" customHeight="1">
      <c r="A308" s="615"/>
      <c r="B308" s="515" t="s">
        <v>309</v>
      </c>
      <c r="C308" s="600">
        <v>85</v>
      </c>
      <c r="D308" s="601">
        <v>43608</v>
      </c>
      <c r="E308" s="602" t="s">
        <v>303</v>
      </c>
      <c r="F308" s="602" t="s">
        <v>311</v>
      </c>
      <c r="G308" s="603">
        <v>963943</v>
      </c>
      <c r="H308" s="604">
        <v>12</v>
      </c>
      <c r="I308" s="602" t="s">
        <v>299</v>
      </c>
      <c r="J308" s="600">
        <v>6.2</v>
      </c>
      <c r="K308" s="603">
        <v>34.472999999999999</v>
      </c>
      <c r="L308" s="735"/>
      <c r="M308" s="738"/>
      <c r="N308" s="772"/>
      <c r="O308" s="720"/>
      <c r="Q308" s="523"/>
    </row>
    <row r="309" spans="1:17" s="511" customFormat="1" ht="10.15" customHeight="1">
      <c r="A309" s="615"/>
      <c r="B309" s="515" t="s">
        <v>309</v>
      </c>
      <c r="C309" s="600">
        <v>85</v>
      </c>
      <c r="D309" s="601">
        <v>43608</v>
      </c>
      <c r="E309" s="602" t="s">
        <v>303</v>
      </c>
      <c r="F309" s="602" t="s">
        <v>311</v>
      </c>
      <c r="G309" s="603">
        <v>963943</v>
      </c>
      <c r="H309" s="604">
        <v>12</v>
      </c>
      <c r="I309" s="602" t="s">
        <v>300</v>
      </c>
      <c r="J309" s="600">
        <v>0.8</v>
      </c>
      <c r="K309" s="603">
        <v>9.907</v>
      </c>
      <c r="L309" s="735"/>
      <c r="M309" s="738"/>
      <c r="N309" s="772"/>
      <c r="O309" s="720"/>
      <c r="Q309" s="523"/>
    </row>
    <row r="310" spans="1:17" s="511" customFormat="1" ht="10.15" customHeight="1">
      <c r="A310" s="615"/>
      <c r="B310" s="515" t="s">
        <v>309</v>
      </c>
      <c r="C310" s="600">
        <v>85</v>
      </c>
      <c r="D310" s="601">
        <v>43608</v>
      </c>
      <c r="E310" s="602" t="s">
        <v>303</v>
      </c>
      <c r="F310" s="602" t="s">
        <v>312</v>
      </c>
      <c r="G310" s="603">
        <v>967281</v>
      </c>
      <c r="H310" s="604">
        <v>74</v>
      </c>
      <c r="I310" s="602" t="s">
        <v>299</v>
      </c>
      <c r="J310" s="600">
        <v>6.2</v>
      </c>
      <c r="K310" s="603">
        <v>50.426000000000002</v>
      </c>
      <c r="L310" s="735"/>
      <c r="M310" s="738"/>
      <c r="N310" s="772"/>
      <c r="O310" s="720"/>
      <c r="Q310" s="523"/>
    </row>
    <row r="311" spans="1:17" s="511" customFormat="1" ht="10.15" customHeight="1">
      <c r="A311" s="615"/>
      <c r="B311" s="515" t="s">
        <v>309</v>
      </c>
      <c r="C311" s="600">
        <v>85</v>
      </c>
      <c r="D311" s="601">
        <v>43608</v>
      </c>
      <c r="E311" s="602" t="s">
        <v>303</v>
      </c>
      <c r="F311" s="602" t="s">
        <v>312</v>
      </c>
      <c r="G311" s="603">
        <v>967281</v>
      </c>
      <c r="H311" s="604">
        <v>74</v>
      </c>
      <c r="I311" s="602" t="s">
        <v>300</v>
      </c>
      <c r="J311" s="600">
        <v>0.8</v>
      </c>
      <c r="K311" s="603">
        <v>144.63900000000001</v>
      </c>
      <c r="L311" s="735"/>
      <c r="M311" s="738"/>
      <c r="N311" s="772"/>
      <c r="O311" s="720"/>
      <c r="Q311" s="523"/>
    </row>
    <row r="312" spans="1:17" s="511" customFormat="1" ht="10.15" customHeight="1">
      <c r="A312" s="615"/>
      <c r="B312" s="515" t="s">
        <v>309</v>
      </c>
      <c r="C312" s="600">
        <v>85</v>
      </c>
      <c r="D312" s="601">
        <v>43608</v>
      </c>
      <c r="E312" s="602" t="s">
        <v>303</v>
      </c>
      <c r="F312" s="602" t="s">
        <v>313</v>
      </c>
      <c r="G312" s="603">
        <v>904281</v>
      </c>
      <c r="H312" s="604">
        <v>74</v>
      </c>
      <c r="I312" s="602" t="s">
        <v>299</v>
      </c>
      <c r="J312" s="600">
        <v>6.2</v>
      </c>
      <c r="K312" s="603">
        <v>9.6</v>
      </c>
      <c r="L312" s="735"/>
      <c r="M312" s="738"/>
      <c r="N312" s="772"/>
      <c r="O312" s="720"/>
      <c r="Q312" s="523"/>
    </row>
    <row r="313" spans="1:17" s="511" customFormat="1" ht="10.15" customHeight="1">
      <c r="A313" s="615"/>
      <c r="B313" s="515" t="s">
        <v>309</v>
      </c>
      <c r="C313" s="600">
        <v>85</v>
      </c>
      <c r="D313" s="601">
        <v>43608</v>
      </c>
      <c r="E313" s="602" t="s">
        <v>303</v>
      </c>
      <c r="F313" s="602" t="s">
        <v>313</v>
      </c>
      <c r="G313" s="603">
        <v>904281</v>
      </c>
      <c r="H313" s="604">
        <v>74</v>
      </c>
      <c r="I313" s="602" t="s">
        <v>300</v>
      </c>
      <c r="J313" s="600">
        <v>0.8</v>
      </c>
      <c r="K313" s="603">
        <v>95.97</v>
      </c>
      <c r="L313" s="735"/>
      <c r="M313" s="738"/>
      <c r="N313" s="772"/>
      <c r="O313" s="720"/>
      <c r="Q313" s="523"/>
    </row>
    <row r="314" spans="1:17" s="511" customFormat="1" ht="10.15" customHeight="1">
      <c r="A314" s="615"/>
      <c r="B314" s="515" t="s">
        <v>309</v>
      </c>
      <c r="C314" s="600">
        <v>85</v>
      </c>
      <c r="D314" s="601">
        <v>43608</v>
      </c>
      <c r="E314" s="602" t="s">
        <v>303</v>
      </c>
      <c r="F314" s="602" t="s">
        <v>314</v>
      </c>
      <c r="G314" s="603">
        <v>967342</v>
      </c>
      <c r="H314" s="604">
        <v>74</v>
      </c>
      <c r="I314" s="602" t="s">
        <v>299</v>
      </c>
      <c r="J314" s="600">
        <v>6.2</v>
      </c>
      <c r="K314" s="603">
        <v>53.816000000000003</v>
      </c>
      <c r="L314" s="735"/>
      <c r="M314" s="738"/>
      <c r="N314" s="772"/>
      <c r="O314" s="720"/>
      <c r="Q314" s="523"/>
    </row>
    <row r="315" spans="1:17" s="511" customFormat="1" ht="10.15" customHeight="1">
      <c r="A315" s="615"/>
      <c r="B315" s="515" t="s">
        <v>309</v>
      </c>
      <c r="C315" s="600">
        <v>85</v>
      </c>
      <c r="D315" s="601">
        <v>43608</v>
      </c>
      <c r="E315" s="602" t="s">
        <v>303</v>
      </c>
      <c r="F315" s="602" t="s">
        <v>314</v>
      </c>
      <c r="G315" s="603">
        <v>967342</v>
      </c>
      <c r="H315" s="604">
        <v>74</v>
      </c>
      <c r="I315" s="602" t="s">
        <v>300</v>
      </c>
      <c r="J315" s="600">
        <v>0.8</v>
      </c>
      <c r="K315" s="603">
        <v>159.26900000000001</v>
      </c>
      <c r="L315" s="736"/>
      <c r="M315" s="739"/>
      <c r="N315" s="773"/>
      <c r="O315" s="721"/>
      <c r="Q315" s="523"/>
    </row>
    <row r="316" spans="1:17" s="511" customFormat="1" ht="10.15" customHeight="1">
      <c r="A316" s="615"/>
      <c r="B316" s="515" t="s">
        <v>309</v>
      </c>
      <c r="C316" s="595">
        <v>86</v>
      </c>
      <c r="D316" s="596">
        <v>43608</v>
      </c>
      <c r="E316" s="597" t="s">
        <v>303</v>
      </c>
      <c r="F316" s="597" t="s">
        <v>310</v>
      </c>
      <c r="G316" s="598">
        <v>957800</v>
      </c>
      <c r="H316" s="599">
        <v>12</v>
      </c>
      <c r="I316" s="597" t="s">
        <v>299</v>
      </c>
      <c r="J316" s="595">
        <v>0.1</v>
      </c>
      <c r="K316" s="598">
        <v>0</v>
      </c>
      <c r="L316" s="725">
        <f t="shared" ref="L316:M316" si="40">SUM(J316:J325)</f>
        <v>69.500000000000014</v>
      </c>
      <c r="M316" s="728">
        <f t="shared" si="40"/>
        <v>141.34</v>
      </c>
      <c r="N316" s="731">
        <f t="shared" ref="N316" si="41">L316-M316</f>
        <v>-71.839999999999989</v>
      </c>
      <c r="O316" s="804">
        <f>+M316/L316</f>
        <v>2.0336690647482012</v>
      </c>
      <c r="Q316" s="523"/>
    </row>
    <row r="317" spans="1:17" s="511" customFormat="1" ht="10.15" customHeight="1">
      <c r="A317" s="615"/>
      <c r="B317" s="515" t="s">
        <v>309</v>
      </c>
      <c r="C317" s="595">
        <v>86</v>
      </c>
      <c r="D317" s="596">
        <v>43608</v>
      </c>
      <c r="E317" s="597" t="s">
        <v>303</v>
      </c>
      <c r="F317" s="597" t="s">
        <v>310</v>
      </c>
      <c r="G317" s="598">
        <v>957800</v>
      </c>
      <c r="H317" s="599">
        <v>12</v>
      </c>
      <c r="I317" s="597" t="s">
        <v>300</v>
      </c>
      <c r="J317" s="595">
        <v>13.8</v>
      </c>
      <c r="K317" s="598">
        <v>7.0140000000000002</v>
      </c>
      <c r="L317" s="726"/>
      <c r="M317" s="729"/>
      <c r="N317" s="732"/>
      <c r="O317" s="805"/>
      <c r="Q317" s="523"/>
    </row>
    <row r="318" spans="1:17" s="511" customFormat="1" ht="10.15" customHeight="1">
      <c r="A318" s="615"/>
      <c r="B318" s="515" t="s">
        <v>309</v>
      </c>
      <c r="C318" s="595">
        <v>86</v>
      </c>
      <c r="D318" s="596">
        <v>43608</v>
      </c>
      <c r="E318" s="597" t="s">
        <v>303</v>
      </c>
      <c r="F318" s="597" t="s">
        <v>311</v>
      </c>
      <c r="G318" s="598">
        <v>963943</v>
      </c>
      <c r="H318" s="599">
        <v>12</v>
      </c>
      <c r="I318" s="597" t="s">
        <v>299</v>
      </c>
      <c r="J318" s="595">
        <v>0.1</v>
      </c>
      <c r="K318" s="598">
        <v>5.44</v>
      </c>
      <c r="L318" s="726"/>
      <c r="M318" s="729"/>
      <c r="N318" s="732"/>
      <c r="O318" s="805"/>
      <c r="Q318" s="523"/>
    </row>
    <row r="319" spans="1:17" s="511" customFormat="1" ht="10.15" customHeight="1">
      <c r="A319" s="615"/>
      <c r="B319" s="515" t="s">
        <v>309</v>
      </c>
      <c r="C319" s="595">
        <v>86</v>
      </c>
      <c r="D319" s="596">
        <v>43608</v>
      </c>
      <c r="E319" s="597" t="s">
        <v>303</v>
      </c>
      <c r="F319" s="597" t="s">
        <v>311</v>
      </c>
      <c r="G319" s="598">
        <v>963943</v>
      </c>
      <c r="H319" s="599">
        <v>12</v>
      </c>
      <c r="I319" s="597" t="s">
        <v>300</v>
      </c>
      <c r="J319" s="595">
        <v>13.8</v>
      </c>
      <c r="K319" s="598">
        <v>10.382999999999999</v>
      </c>
      <c r="L319" s="726"/>
      <c r="M319" s="729"/>
      <c r="N319" s="732"/>
      <c r="O319" s="805"/>
      <c r="Q319" s="523"/>
    </row>
    <row r="320" spans="1:17" s="511" customFormat="1" ht="10.15" customHeight="1">
      <c r="A320" s="615"/>
      <c r="B320" s="515" t="s">
        <v>309</v>
      </c>
      <c r="C320" s="595">
        <v>86</v>
      </c>
      <c r="D320" s="596">
        <v>43608</v>
      </c>
      <c r="E320" s="597" t="s">
        <v>303</v>
      </c>
      <c r="F320" s="597" t="s">
        <v>312</v>
      </c>
      <c r="G320" s="598">
        <v>967281</v>
      </c>
      <c r="H320" s="599">
        <v>74</v>
      </c>
      <c r="I320" s="597" t="s">
        <v>299</v>
      </c>
      <c r="J320" s="595">
        <v>0.1</v>
      </c>
      <c r="K320" s="598">
        <v>24.385000000000002</v>
      </c>
      <c r="L320" s="726"/>
      <c r="M320" s="729"/>
      <c r="N320" s="732"/>
      <c r="O320" s="805"/>
      <c r="Q320" s="523"/>
    </row>
    <row r="321" spans="1:17" s="511" customFormat="1" ht="10.15" customHeight="1">
      <c r="A321" s="615"/>
      <c r="B321" s="515" t="s">
        <v>309</v>
      </c>
      <c r="C321" s="595">
        <v>86</v>
      </c>
      <c r="D321" s="596">
        <v>43608</v>
      </c>
      <c r="E321" s="597" t="s">
        <v>303</v>
      </c>
      <c r="F321" s="597" t="s">
        <v>312</v>
      </c>
      <c r="G321" s="598">
        <v>967281</v>
      </c>
      <c r="H321" s="599">
        <v>74</v>
      </c>
      <c r="I321" s="597" t="s">
        <v>300</v>
      </c>
      <c r="J321" s="595">
        <v>13.8</v>
      </c>
      <c r="K321" s="598">
        <v>29.725999999999999</v>
      </c>
      <c r="L321" s="726"/>
      <c r="M321" s="729"/>
      <c r="N321" s="732"/>
      <c r="O321" s="805"/>
      <c r="Q321" s="523"/>
    </row>
    <row r="322" spans="1:17" s="511" customFormat="1" ht="10.15" customHeight="1">
      <c r="A322" s="615"/>
      <c r="B322" s="515" t="s">
        <v>309</v>
      </c>
      <c r="C322" s="595">
        <v>86</v>
      </c>
      <c r="D322" s="596">
        <v>43608</v>
      </c>
      <c r="E322" s="597" t="s">
        <v>303</v>
      </c>
      <c r="F322" s="597" t="s">
        <v>313</v>
      </c>
      <c r="G322" s="598">
        <v>904281</v>
      </c>
      <c r="H322" s="599">
        <v>74</v>
      </c>
      <c r="I322" s="597" t="s">
        <v>299</v>
      </c>
      <c r="J322" s="595">
        <v>0.1</v>
      </c>
      <c r="K322" s="598">
        <v>0</v>
      </c>
      <c r="L322" s="726"/>
      <c r="M322" s="729"/>
      <c r="N322" s="732"/>
      <c r="O322" s="805"/>
      <c r="Q322" s="523"/>
    </row>
    <row r="323" spans="1:17" s="511" customFormat="1" ht="10.15" customHeight="1">
      <c r="A323" s="615"/>
      <c r="B323" s="515" t="s">
        <v>309</v>
      </c>
      <c r="C323" s="595">
        <v>86</v>
      </c>
      <c r="D323" s="596">
        <v>43608</v>
      </c>
      <c r="E323" s="597" t="s">
        <v>303</v>
      </c>
      <c r="F323" s="597" t="s">
        <v>313</v>
      </c>
      <c r="G323" s="598">
        <v>904281</v>
      </c>
      <c r="H323" s="599">
        <v>74</v>
      </c>
      <c r="I323" s="597" t="s">
        <v>300</v>
      </c>
      <c r="J323" s="595">
        <v>13.8</v>
      </c>
      <c r="K323" s="598">
        <v>0</v>
      </c>
      <c r="L323" s="726"/>
      <c r="M323" s="729"/>
      <c r="N323" s="732"/>
      <c r="O323" s="805"/>
      <c r="Q323" s="523"/>
    </row>
    <row r="324" spans="1:17" s="511" customFormat="1" ht="10.15" customHeight="1">
      <c r="A324" s="615"/>
      <c r="B324" s="515" t="s">
        <v>309</v>
      </c>
      <c r="C324" s="595">
        <v>86</v>
      </c>
      <c r="D324" s="596">
        <v>43608</v>
      </c>
      <c r="E324" s="597" t="s">
        <v>303</v>
      </c>
      <c r="F324" s="597" t="s">
        <v>314</v>
      </c>
      <c r="G324" s="598">
        <v>967342</v>
      </c>
      <c r="H324" s="599">
        <v>74</v>
      </c>
      <c r="I324" s="597" t="s">
        <v>299</v>
      </c>
      <c r="J324" s="595">
        <v>0.1</v>
      </c>
      <c r="K324" s="598">
        <v>48.22</v>
      </c>
      <c r="L324" s="726"/>
      <c r="M324" s="729"/>
      <c r="N324" s="732"/>
      <c r="O324" s="805"/>
      <c r="Q324" s="523"/>
    </row>
    <row r="325" spans="1:17" s="511" customFormat="1" ht="10.15" customHeight="1">
      <c r="A325" s="615"/>
      <c r="B325" s="515" t="s">
        <v>309</v>
      </c>
      <c r="C325" s="595">
        <v>86</v>
      </c>
      <c r="D325" s="596">
        <v>43608</v>
      </c>
      <c r="E325" s="597" t="s">
        <v>303</v>
      </c>
      <c r="F325" s="597" t="s">
        <v>314</v>
      </c>
      <c r="G325" s="598">
        <v>967342</v>
      </c>
      <c r="H325" s="599">
        <v>74</v>
      </c>
      <c r="I325" s="597" t="s">
        <v>300</v>
      </c>
      <c r="J325" s="595">
        <v>13.8</v>
      </c>
      <c r="K325" s="598">
        <v>16.172000000000001</v>
      </c>
      <c r="L325" s="727"/>
      <c r="M325" s="730"/>
      <c r="N325" s="733"/>
      <c r="O325" s="806"/>
      <c r="Q325" s="523"/>
    </row>
    <row r="326" spans="1:17" s="511" customFormat="1" ht="10.15" customHeight="1">
      <c r="A326" s="615"/>
      <c r="B326" s="515" t="s">
        <v>309</v>
      </c>
      <c r="C326" s="600">
        <v>89</v>
      </c>
      <c r="D326" s="601">
        <v>43609</v>
      </c>
      <c r="E326" s="602" t="s">
        <v>303</v>
      </c>
      <c r="F326" s="602" t="s">
        <v>310</v>
      </c>
      <c r="G326" s="603">
        <v>957800</v>
      </c>
      <c r="H326" s="604">
        <v>12</v>
      </c>
      <c r="I326" s="602" t="s">
        <v>299</v>
      </c>
      <c r="J326" s="600">
        <v>1</v>
      </c>
      <c r="K326" s="603">
        <v>13.836</v>
      </c>
      <c r="L326" s="734">
        <f t="shared" ref="L326:M326" si="42">SUM(J326:J335)</f>
        <v>12</v>
      </c>
      <c r="M326" s="737">
        <f t="shared" si="42"/>
        <v>188.72299999999998</v>
      </c>
      <c r="N326" s="771">
        <f t="shared" ref="N326" si="43">L326-M326</f>
        <v>-176.72299999999998</v>
      </c>
      <c r="O326" s="719">
        <f>+M326/L326</f>
        <v>15.726916666666666</v>
      </c>
      <c r="Q326" s="523"/>
    </row>
    <row r="327" spans="1:17" s="511" customFormat="1" ht="10.15" customHeight="1">
      <c r="A327" s="615"/>
      <c r="B327" s="515" t="s">
        <v>309</v>
      </c>
      <c r="C327" s="600">
        <v>89</v>
      </c>
      <c r="D327" s="601">
        <v>43609</v>
      </c>
      <c r="E327" s="602" t="s">
        <v>303</v>
      </c>
      <c r="F327" s="602" t="s">
        <v>310</v>
      </c>
      <c r="G327" s="603">
        <v>957800</v>
      </c>
      <c r="H327" s="604">
        <v>12</v>
      </c>
      <c r="I327" s="602" t="s">
        <v>300</v>
      </c>
      <c r="J327" s="600">
        <v>1.4</v>
      </c>
      <c r="K327" s="603">
        <v>14.989000000000001</v>
      </c>
      <c r="L327" s="735"/>
      <c r="M327" s="738"/>
      <c r="N327" s="772"/>
      <c r="O327" s="720"/>
      <c r="Q327" s="523"/>
    </row>
    <row r="328" spans="1:17" s="511" customFormat="1" ht="10.15" customHeight="1">
      <c r="A328" s="615"/>
      <c r="B328" s="515" t="s">
        <v>309</v>
      </c>
      <c r="C328" s="600">
        <v>89</v>
      </c>
      <c r="D328" s="601">
        <v>43609</v>
      </c>
      <c r="E328" s="602" t="s">
        <v>303</v>
      </c>
      <c r="F328" s="602" t="s">
        <v>311</v>
      </c>
      <c r="G328" s="603">
        <v>963943</v>
      </c>
      <c r="H328" s="604">
        <v>12</v>
      </c>
      <c r="I328" s="602" t="s">
        <v>299</v>
      </c>
      <c r="J328" s="600">
        <v>1</v>
      </c>
      <c r="K328" s="603">
        <v>19.731000000000002</v>
      </c>
      <c r="L328" s="735"/>
      <c r="M328" s="738"/>
      <c r="N328" s="772"/>
      <c r="O328" s="720"/>
      <c r="Q328" s="523"/>
    </row>
    <row r="329" spans="1:17" s="511" customFormat="1" ht="10.15" customHeight="1">
      <c r="A329" s="615"/>
      <c r="B329" s="515" t="s">
        <v>309</v>
      </c>
      <c r="C329" s="600">
        <v>89</v>
      </c>
      <c r="D329" s="601">
        <v>43609</v>
      </c>
      <c r="E329" s="602" t="s">
        <v>303</v>
      </c>
      <c r="F329" s="602" t="s">
        <v>311</v>
      </c>
      <c r="G329" s="603">
        <v>963943</v>
      </c>
      <c r="H329" s="604">
        <v>12</v>
      </c>
      <c r="I329" s="602" t="s">
        <v>300</v>
      </c>
      <c r="J329" s="600">
        <v>1.4</v>
      </c>
      <c r="K329" s="603">
        <v>35.938000000000002</v>
      </c>
      <c r="L329" s="735"/>
      <c r="M329" s="738"/>
      <c r="N329" s="772"/>
      <c r="O329" s="720"/>
      <c r="Q329" s="523"/>
    </row>
    <row r="330" spans="1:17" s="511" customFormat="1" ht="10.15" customHeight="1">
      <c r="A330" s="615"/>
      <c r="B330" s="515" t="s">
        <v>309</v>
      </c>
      <c r="C330" s="600">
        <v>89</v>
      </c>
      <c r="D330" s="601">
        <v>43609</v>
      </c>
      <c r="E330" s="602" t="s">
        <v>303</v>
      </c>
      <c r="F330" s="602" t="s">
        <v>312</v>
      </c>
      <c r="G330" s="603">
        <v>967281</v>
      </c>
      <c r="H330" s="604">
        <v>74</v>
      </c>
      <c r="I330" s="602" t="s">
        <v>299</v>
      </c>
      <c r="J330" s="600">
        <v>1</v>
      </c>
      <c r="K330" s="603">
        <v>39.325000000000003</v>
      </c>
      <c r="L330" s="735"/>
      <c r="M330" s="738"/>
      <c r="N330" s="772"/>
      <c r="O330" s="720"/>
      <c r="Q330" s="523"/>
    </row>
    <row r="331" spans="1:17" s="511" customFormat="1" ht="10.15" customHeight="1">
      <c r="A331" s="615"/>
      <c r="B331" s="515" t="s">
        <v>309</v>
      </c>
      <c r="C331" s="600">
        <v>89</v>
      </c>
      <c r="D331" s="601">
        <v>43609</v>
      </c>
      <c r="E331" s="602" t="s">
        <v>303</v>
      </c>
      <c r="F331" s="602" t="s">
        <v>312</v>
      </c>
      <c r="G331" s="603">
        <v>967281</v>
      </c>
      <c r="H331" s="604">
        <v>74</v>
      </c>
      <c r="I331" s="602" t="s">
        <v>300</v>
      </c>
      <c r="J331" s="600">
        <v>1.4</v>
      </c>
      <c r="K331" s="603">
        <v>13.394</v>
      </c>
      <c r="L331" s="735"/>
      <c r="M331" s="738"/>
      <c r="N331" s="772"/>
      <c r="O331" s="720"/>
      <c r="Q331" s="523"/>
    </row>
    <row r="332" spans="1:17" s="511" customFormat="1" ht="10.15" customHeight="1">
      <c r="A332" s="615"/>
      <c r="B332" s="515" t="s">
        <v>309</v>
      </c>
      <c r="C332" s="600">
        <v>89</v>
      </c>
      <c r="D332" s="601">
        <v>43609</v>
      </c>
      <c r="E332" s="602" t="s">
        <v>303</v>
      </c>
      <c r="F332" s="602" t="s">
        <v>313</v>
      </c>
      <c r="G332" s="603">
        <v>904281</v>
      </c>
      <c r="H332" s="604">
        <v>74</v>
      </c>
      <c r="I332" s="602" t="s">
        <v>299</v>
      </c>
      <c r="J332" s="600">
        <v>1</v>
      </c>
      <c r="K332" s="603">
        <v>19.661999999999999</v>
      </c>
      <c r="L332" s="735"/>
      <c r="M332" s="738"/>
      <c r="N332" s="772"/>
      <c r="O332" s="720"/>
      <c r="Q332" s="523"/>
    </row>
    <row r="333" spans="1:17" s="511" customFormat="1" ht="10.15" customHeight="1">
      <c r="A333" s="615"/>
      <c r="B333" s="515" t="s">
        <v>309</v>
      </c>
      <c r="C333" s="600">
        <v>89</v>
      </c>
      <c r="D333" s="601">
        <v>43609</v>
      </c>
      <c r="E333" s="602" t="s">
        <v>303</v>
      </c>
      <c r="F333" s="602" t="s">
        <v>313</v>
      </c>
      <c r="G333" s="603">
        <v>904281</v>
      </c>
      <c r="H333" s="604">
        <v>74</v>
      </c>
      <c r="I333" s="602" t="s">
        <v>300</v>
      </c>
      <c r="J333" s="600">
        <v>1.4</v>
      </c>
      <c r="K333" s="603">
        <v>14.833</v>
      </c>
      <c r="L333" s="735"/>
      <c r="M333" s="738"/>
      <c r="N333" s="772"/>
      <c r="O333" s="720"/>
      <c r="Q333" s="523"/>
    </row>
    <row r="334" spans="1:17" s="511" customFormat="1" ht="10.15" customHeight="1">
      <c r="A334" s="615"/>
      <c r="B334" s="515" t="s">
        <v>309</v>
      </c>
      <c r="C334" s="600">
        <v>89</v>
      </c>
      <c r="D334" s="601">
        <v>43609</v>
      </c>
      <c r="E334" s="602" t="s">
        <v>303</v>
      </c>
      <c r="F334" s="602" t="s">
        <v>314</v>
      </c>
      <c r="G334" s="603">
        <v>967342</v>
      </c>
      <c r="H334" s="604">
        <v>74</v>
      </c>
      <c r="I334" s="602" t="s">
        <v>299</v>
      </c>
      <c r="J334" s="600">
        <v>1</v>
      </c>
      <c r="K334" s="603">
        <v>9.3379999999999992</v>
      </c>
      <c r="L334" s="735"/>
      <c r="M334" s="738"/>
      <c r="N334" s="772"/>
      <c r="O334" s="720"/>
      <c r="Q334" s="523"/>
    </row>
    <row r="335" spans="1:17" s="511" customFormat="1" ht="10.15" customHeight="1">
      <c r="A335" s="615"/>
      <c r="B335" s="515" t="s">
        <v>309</v>
      </c>
      <c r="C335" s="600">
        <v>89</v>
      </c>
      <c r="D335" s="601">
        <v>43609</v>
      </c>
      <c r="E335" s="602" t="s">
        <v>303</v>
      </c>
      <c r="F335" s="602" t="s">
        <v>314</v>
      </c>
      <c r="G335" s="603">
        <v>967342</v>
      </c>
      <c r="H335" s="604">
        <v>74</v>
      </c>
      <c r="I335" s="602" t="s">
        <v>300</v>
      </c>
      <c r="J335" s="600">
        <v>1.4</v>
      </c>
      <c r="K335" s="603">
        <v>7.6769999999999996</v>
      </c>
      <c r="L335" s="736"/>
      <c r="M335" s="739"/>
      <c r="N335" s="773"/>
      <c r="O335" s="721"/>
      <c r="Q335" s="523"/>
    </row>
    <row r="336" spans="1:17" s="511" customFormat="1" ht="10.15" customHeight="1">
      <c r="A336" s="615"/>
      <c r="B336" s="515" t="s">
        <v>309</v>
      </c>
      <c r="C336" s="595">
        <v>91</v>
      </c>
      <c r="D336" s="596">
        <v>43612</v>
      </c>
      <c r="E336" s="597" t="s">
        <v>303</v>
      </c>
      <c r="F336" s="597" t="s">
        <v>310</v>
      </c>
      <c r="G336" s="598">
        <v>957800</v>
      </c>
      <c r="H336" s="599">
        <v>12</v>
      </c>
      <c r="I336" s="597" t="s">
        <v>299</v>
      </c>
      <c r="J336" s="595">
        <v>10.74</v>
      </c>
      <c r="K336" s="598">
        <v>0</v>
      </c>
      <c r="L336" s="725">
        <f t="shared" ref="L336:M336" si="44">SUM(J336:J345)</f>
        <v>105</v>
      </c>
      <c r="M336" s="728">
        <f t="shared" si="44"/>
        <v>8.81</v>
      </c>
      <c r="N336" s="731">
        <f t="shared" ref="N336" si="45">L336-M336</f>
        <v>96.19</v>
      </c>
      <c r="O336" s="804">
        <f>+M336/L336</f>
        <v>8.3904761904761913E-2</v>
      </c>
      <c r="Q336" s="523"/>
    </row>
    <row r="337" spans="1:17" s="511" customFormat="1" ht="10.15" customHeight="1">
      <c r="A337" s="615"/>
      <c r="B337" s="515" t="s">
        <v>309</v>
      </c>
      <c r="C337" s="595">
        <v>91</v>
      </c>
      <c r="D337" s="596">
        <v>43612</v>
      </c>
      <c r="E337" s="597" t="s">
        <v>303</v>
      </c>
      <c r="F337" s="597" t="s">
        <v>310</v>
      </c>
      <c r="G337" s="598">
        <v>957800</v>
      </c>
      <c r="H337" s="599">
        <v>12</v>
      </c>
      <c r="I337" s="597" t="s">
        <v>300</v>
      </c>
      <c r="J337" s="595">
        <v>10.26</v>
      </c>
      <c r="K337" s="598">
        <v>0</v>
      </c>
      <c r="L337" s="726"/>
      <c r="M337" s="729"/>
      <c r="N337" s="732"/>
      <c r="O337" s="805"/>
      <c r="Q337" s="523"/>
    </row>
    <row r="338" spans="1:17" s="511" customFormat="1" ht="10.15" customHeight="1">
      <c r="A338" s="615"/>
      <c r="B338" s="515" t="s">
        <v>309</v>
      </c>
      <c r="C338" s="595">
        <v>91</v>
      </c>
      <c r="D338" s="596">
        <v>43612</v>
      </c>
      <c r="E338" s="597" t="s">
        <v>303</v>
      </c>
      <c r="F338" s="597" t="s">
        <v>311</v>
      </c>
      <c r="G338" s="598">
        <v>963943</v>
      </c>
      <c r="H338" s="599">
        <v>12</v>
      </c>
      <c r="I338" s="597" t="s">
        <v>299</v>
      </c>
      <c r="J338" s="595">
        <v>10.74</v>
      </c>
      <c r="K338" s="598">
        <v>0</v>
      </c>
      <c r="L338" s="726"/>
      <c r="M338" s="729"/>
      <c r="N338" s="732"/>
      <c r="O338" s="805"/>
      <c r="Q338" s="523"/>
    </row>
    <row r="339" spans="1:17" s="511" customFormat="1" ht="10.15" customHeight="1">
      <c r="A339" s="615"/>
      <c r="B339" s="515" t="s">
        <v>309</v>
      </c>
      <c r="C339" s="595">
        <v>91</v>
      </c>
      <c r="D339" s="596">
        <v>43612</v>
      </c>
      <c r="E339" s="597" t="s">
        <v>303</v>
      </c>
      <c r="F339" s="597" t="s">
        <v>311</v>
      </c>
      <c r="G339" s="598">
        <v>963943</v>
      </c>
      <c r="H339" s="599">
        <v>12</v>
      </c>
      <c r="I339" s="597" t="s">
        <v>300</v>
      </c>
      <c r="J339" s="595">
        <v>10.26</v>
      </c>
      <c r="K339" s="598">
        <v>0</v>
      </c>
      <c r="L339" s="726"/>
      <c r="M339" s="729"/>
      <c r="N339" s="732"/>
      <c r="O339" s="805"/>
      <c r="Q339" s="523"/>
    </row>
    <row r="340" spans="1:17" s="511" customFormat="1" ht="10.15" customHeight="1">
      <c r="A340" s="615"/>
      <c r="B340" s="515" t="s">
        <v>309</v>
      </c>
      <c r="C340" s="595">
        <v>91</v>
      </c>
      <c r="D340" s="596">
        <v>43612</v>
      </c>
      <c r="E340" s="597" t="s">
        <v>303</v>
      </c>
      <c r="F340" s="597" t="s">
        <v>312</v>
      </c>
      <c r="G340" s="598">
        <v>967281</v>
      </c>
      <c r="H340" s="599">
        <v>74</v>
      </c>
      <c r="I340" s="597" t="s">
        <v>299</v>
      </c>
      <c r="J340" s="595">
        <v>10.74</v>
      </c>
      <c r="K340" s="598">
        <v>8.81</v>
      </c>
      <c r="L340" s="726"/>
      <c r="M340" s="729"/>
      <c r="N340" s="732"/>
      <c r="O340" s="805"/>
      <c r="Q340" s="523"/>
    </row>
    <row r="341" spans="1:17" s="511" customFormat="1" ht="10.15" customHeight="1">
      <c r="A341" s="615"/>
      <c r="B341" s="515" t="s">
        <v>309</v>
      </c>
      <c r="C341" s="595">
        <v>91</v>
      </c>
      <c r="D341" s="596">
        <v>43612</v>
      </c>
      <c r="E341" s="597" t="s">
        <v>303</v>
      </c>
      <c r="F341" s="597" t="s">
        <v>312</v>
      </c>
      <c r="G341" s="598">
        <v>967281</v>
      </c>
      <c r="H341" s="599">
        <v>74</v>
      </c>
      <c r="I341" s="597" t="s">
        <v>300</v>
      </c>
      <c r="J341" s="595">
        <v>10.26</v>
      </c>
      <c r="K341" s="598">
        <v>0</v>
      </c>
      <c r="L341" s="726"/>
      <c r="M341" s="729"/>
      <c r="N341" s="732"/>
      <c r="O341" s="805"/>
      <c r="Q341" s="523"/>
    </row>
    <row r="342" spans="1:17" s="511" customFormat="1" ht="10.15" customHeight="1">
      <c r="A342" s="615"/>
      <c r="B342" s="515" t="s">
        <v>309</v>
      </c>
      <c r="C342" s="595">
        <v>91</v>
      </c>
      <c r="D342" s="596">
        <v>43612</v>
      </c>
      <c r="E342" s="597" t="s">
        <v>303</v>
      </c>
      <c r="F342" s="597" t="s">
        <v>313</v>
      </c>
      <c r="G342" s="598">
        <v>904281</v>
      </c>
      <c r="H342" s="599">
        <v>74</v>
      </c>
      <c r="I342" s="597" t="s">
        <v>299</v>
      </c>
      <c r="J342" s="595">
        <v>10.74</v>
      </c>
      <c r="K342" s="598">
        <v>0</v>
      </c>
      <c r="L342" s="726"/>
      <c r="M342" s="729"/>
      <c r="N342" s="732"/>
      <c r="O342" s="805"/>
      <c r="Q342" s="523"/>
    </row>
    <row r="343" spans="1:17" s="511" customFormat="1" ht="10.15" customHeight="1">
      <c r="A343" s="615"/>
      <c r="B343" s="515" t="s">
        <v>309</v>
      </c>
      <c r="C343" s="595">
        <v>91</v>
      </c>
      <c r="D343" s="596">
        <v>43612</v>
      </c>
      <c r="E343" s="597" t="s">
        <v>303</v>
      </c>
      <c r="F343" s="597" t="s">
        <v>313</v>
      </c>
      <c r="G343" s="598">
        <v>904281</v>
      </c>
      <c r="H343" s="599">
        <v>74</v>
      </c>
      <c r="I343" s="597" t="s">
        <v>300</v>
      </c>
      <c r="J343" s="595">
        <v>10.26</v>
      </c>
      <c r="K343" s="598">
        <v>0</v>
      </c>
      <c r="L343" s="726"/>
      <c r="M343" s="729"/>
      <c r="N343" s="732"/>
      <c r="O343" s="805"/>
      <c r="Q343" s="523"/>
    </row>
    <row r="344" spans="1:17" s="511" customFormat="1" ht="10.15" customHeight="1">
      <c r="A344" s="615"/>
      <c r="B344" s="515" t="s">
        <v>309</v>
      </c>
      <c r="C344" s="595">
        <v>91</v>
      </c>
      <c r="D344" s="596">
        <v>43612</v>
      </c>
      <c r="E344" s="597" t="s">
        <v>303</v>
      </c>
      <c r="F344" s="597" t="s">
        <v>314</v>
      </c>
      <c r="G344" s="598">
        <v>967342</v>
      </c>
      <c r="H344" s="599">
        <v>74</v>
      </c>
      <c r="I344" s="597" t="s">
        <v>299</v>
      </c>
      <c r="J344" s="595">
        <v>10.74</v>
      </c>
      <c r="K344" s="598">
        <v>0</v>
      </c>
      <c r="L344" s="726"/>
      <c r="M344" s="729"/>
      <c r="N344" s="732"/>
      <c r="O344" s="805"/>
      <c r="Q344" s="523"/>
    </row>
    <row r="345" spans="1:17" s="511" customFormat="1" ht="10.15" customHeight="1">
      <c r="A345" s="615"/>
      <c r="B345" s="515" t="s">
        <v>309</v>
      </c>
      <c r="C345" s="595">
        <v>91</v>
      </c>
      <c r="D345" s="596">
        <v>43612</v>
      </c>
      <c r="E345" s="597" t="s">
        <v>303</v>
      </c>
      <c r="F345" s="597" t="s">
        <v>314</v>
      </c>
      <c r="G345" s="598">
        <v>967342</v>
      </c>
      <c r="H345" s="599">
        <v>74</v>
      </c>
      <c r="I345" s="597" t="s">
        <v>300</v>
      </c>
      <c r="J345" s="595">
        <v>10.26</v>
      </c>
      <c r="K345" s="598">
        <v>0</v>
      </c>
      <c r="L345" s="727"/>
      <c r="M345" s="730"/>
      <c r="N345" s="733"/>
      <c r="O345" s="806"/>
      <c r="Q345" s="523"/>
    </row>
    <row r="346" spans="1:17" s="511" customFormat="1" ht="10.15" customHeight="1">
      <c r="A346" s="615"/>
      <c r="B346" s="515" t="s">
        <v>309</v>
      </c>
      <c r="C346" s="600">
        <v>92</v>
      </c>
      <c r="D346" s="601">
        <v>43612</v>
      </c>
      <c r="E346" s="602" t="s">
        <v>303</v>
      </c>
      <c r="F346" s="602" t="s">
        <v>310</v>
      </c>
      <c r="G346" s="603">
        <v>957800</v>
      </c>
      <c r="H346" s="604">
        <v>12</v>
      </c>
      <c r="I346" s="602" t="s">
        <v>299</v>
      </c>
      <c r="J346" s="600">
        <v>0.1</v>
      </c>
      <c r="K346" s="603">
        <v>0</v>
      </c>
      <c r="L346" s="734">
        <f t="shared" ref="L346:M346" si="46">SUM(J346:J355)</f>
        <v>100.5</v>
      </c>
      <c r="M346" s="737">
        <f t="shared" si="46"/>
        <v>9.7880000000000003</v>
      </c>
      <c r="N346" s="771">
        <f t="shared" ref="N346" si="47">L346-M346</f>
        <v>90.712000000000003</v>
      </c>
      <c r="O346" s="719">
        <f>+M346/L346</f>
        <v>9.7393034825870653E-2</v>
      </c>
      <c r="Q346" s="523"/>
    </row>
    <row r="347" spans="1:17" s="511" customFormat="1" ht="10.15" customHeight="1">
      <c r="A347" s="615"/>
      <c r="B347" s="515" t="s">
        <v>309</v>
      </c>
      <c r="C347" s="600">
        <v>92</v>
      </c>
      <c r="D347" s="601">
        <v>43612</v>
      </c>
      <c r="E347" s="602" t="s">
        <v>303</v>
      </c>
      <c r="F347" s="602" t="s">
        <v>310</v>
      </c>
      <c r="G347" s="603">
        <v>957800</v>
      </c>
      <c r="H347" s="604">
        <v>12</v>
      </c>
      <c r="I347" s="602" t="s">
        <v>300</v>
      </c>
      <c r="J347" s="600">
        <v>20</v>
      </c>
      <c r="K347" s="603">
        <v>0</v>
      </c>
      <c r="L347" s="735"/>
      <c r="M347" s="738"/>
      <c r="N347" s="772"/>
      <c r="O347" s="720"/>
      <c r="Q347" s="523"/>
    </row>
    <row r="348" spans="1:17" s="511" customFormat="1" ht="10.15" customHeight="1">
      <c r="A348" s="615"/>
      <c r="B348" s="515" t="s">
        <v>309</v>
      </c>
      <c r="C348" s="600">
        <v>92</v>
      </c>
      <c r="D348" s="601">
        <v>43612</v>
      </c>
      <c r="E348" s="602" t="s">
        <v>303</v>
      </c>
      <c r="F348" s="602" t="s">
        <v>311</v>
      </c>
      <c r="G348" s="603">
        <v>963943</v>
      </c>
      <c r="H348" s="604">
        <v>12</v>
      </c>
      <c r="I348" s="602" t="s">
        <v>299</v>
      </c>
      <c r="J348" s="600">
        <v>0.1</v>
      </c>
      <c r="K348" s="603">
        <v>0</v>
      </c>
      <c r="L348" s="735"/>
      <c r="M348" s="738"/>
      <c r="N348" s="772"/>
      <c r="O348" s="720"/>
      <c r="Q348" s="523"/>
    </row>
    <row r="349" spans="1:17" s="511" customFormat="1" ht="10.15" customHeight="1">
      <c r="A349" s="615"/>
      <c r="B349" s="515" t="s">
        <v>309</v>
      </c>
      <c r="C349" s="600">
        <v>92</v>
      </c>
      <c r="D349" s="601">
        <v>43612</v>
      </c>
      <c r="E349" s="602" t="s">
        <v>303</v>
      </c>
      <c r="F349" s="602" t="s">
        <v>311</v>
      </c>
      <c r="G349" s="603">
        <v>963943</v>
      </c>
      <c r="H349" s="604">
        <v>12</v>
      </c>
      <c r="I349" s="602" t="s">
        <v>300</v>
      </c>
      <c r="J349" s="600">
        <v>20</v>
      </c>
      <c r="K349" s="603">
        <v>0</v>
      </c>
      <c r="L349" s="735"/>
      <c r="M349" s="738"/>
      <c r="N349" s="772"/>
      <c r="O349" s="720"/>
      <c r="Q349" s="523"/>
    </row>
    <row r="350" spans="1:17" s="511" customFormat="1" ht="10.15" customHeight="1">
      <c r="A350" s="615"/>
      <c r="B350" s="515" t="s">
        <v>309</v>
      </c>
      <c r="C350" s="600">
        <v>92</v>
      </c>
      <c r="D350" s="601">
        <v>43612</v>
      </c>
      <c r="E350" s="602" t="s">
        <v>303</v>
      </c>
      <c r="F350" s="602" t="s">
        <v>312</v>
      </c>
      <c r="G350" s="603">
        <v>967281</v>
      </c>
      <c r="H350" s="604">
        <v>74</v>
      </c>
      <c r="I350" s="602" t="s">
        <v>299</v>
      </c>
      <c r="J350" s="600">
        <v>0.1</v>
      </c>
      <c r="K350" s="603">
        <v>9.7880000000000003</v>
      </c>
      <c r="L350" s="735"/>
      <c r="M350" s="738"/>
      <c r="N350" s="772"/>
      <c r="O350" s="720"/>
      <c r="Q350" s="523"/>
    </row>
    <row r="351" spans="1:17" s="511" customFormat="1" ht="10.15" customHeight="1">
      <c r="A351" s="615"/>
      <c r="B351" s="515" t="s">
        <v>309</v>
      </c>
      <c r="C351" s="600">
        <v>92</v>
      </c>
      <c r="D351" s="601">
        <v>43612</v>
      </c>
      <c r="E351" s="602" t="s">
        <v>303</v>
      </c>
      <c r="F351" s="602" t="s">
        <v>312</v>
      </c>
      <c r="G351" s="603">
        <v>967281</v>
      </c>
      <c r="H351" s="604">
        <v>74</v>
      </c>
      <c r="I351" s="602" t="s">
        <v>300</v>
      </c>
      <c r="J351" s="600">
        <v>20</v>
      </c>
      <c r="K351" s="603">
        <v>0</v>
      </c>
      <c r="L351" s="735"/>
      <c r="M351" s="738"/>
      <c r="N351" s="772"/>
      <c r="O351" s="720"/>
      <c r="Q351" s="523"/>
    </row>
    <row r="352" spans="1:17" s="511" customFormat="1" ht="10.15" customHeight="1">
      <c r="A352" s="615"/>
      <c r="B352" s="515" t="s">
        <v>309</v>
      </c>
      <c r="C352" s="600">
        <v>92</v>
      </c>
      <c r="D352" s="601">
        <v>43612</v>
      </c>
      <c r="E352" s="602" t="s">
        <v>303</v>
      </c>
      <c r="F352" s="602" t="s">
        <v>313</v>
      </c>
      <c r="G352" s="603">
        <v>904281</v>
      </c>
      <c r="H352" s="604">
        <v>74</v>
      </c>
      <c r="I352" s="602" t="s">
        <v>299</v>
      </c>
      <c r="J352" s="600">
        <v>0.1</v>
      </c>
      <c r="K352" s="603">
        <v>0</v>
      </c>
      <c r="L352" s="735"/>
      <c r="M352" s="738"/>
      <c r="N352" s="772"/>
      <c r="O352" s="720"/>
      <c r="Q352" s="523"/>
    </row>
    <row r="353" spans="1:17" s="511" customFormat="1" ht="10.15" customHeight="1">
      <c r="A353" s="615"/>
      <c r="B353" s="515" t="s">
        <v>309</v>
      </c>
      <c r="C353" s="600">
        <v>92</v>
      </c>
      <c r="D353" s="601">
        <v>43612</v>
      </c>
      <c r="E353" s="602" t="s">
        <v>303</v>
      </c>
      <c r="F353" s="602" t="s">
        <v>313</v>
      </c>
      <c r="G353" s="603">
        <v>904281</v>
      </c>
      <c r="H353" s="604">
        <v>74</v>
      </c>
      <c r="I353" s="602" t="s">
        <v>300</v>
      </c>
      <c r="J353" s="600">
        <v>20</v>
      </c>
      <c r="K353" s="603">
        <v>0</v>
      </c>
      <c r="L353" s="735"/>
      <c r="M353" s="738"/>
      <c r="N353" s="772"/>
      <c r="O353" s="720"/>
      <c r="Q353" s="523"/>
    </row>
    <row r="354" spans="1:17" s="511" customFormat="1" ht="10.15" customHeight="1">
      <c r="A354" s="615"/>
      <c r="B354" s="515" t="s">
        <v>309</v>
      </c>
      <c r="C354" s="600">
        <v>92</v>
      </c>
      <c r="D354" s="601">
        <v>43612</v>
      </c>
      <c r="E354" s="602" t="s">
        <v>303</v>
      </c>
      <c r="F354" s="602" t="s">
        <v>314</v>
      </c>
      <c r="G354" s="603">
        <v>967342</v>
      </c>
      <c r="H354" s="604">
        <v>74</v>
      </c>
      <c r="I354" s="602" t="s">
        <v>299</v>
      </c>
      <c r="J354" s="600">
        <v>0.1</v>
      </c>
      <c r="K354" s="603">
        <v>0</v>
      </c>
      <c r="L354" s="735"/>
      <c r="M354" s="738"/>
      <c r="N354" s="772"/>
      <c r="O354" s="720"/>
      <c r="Q354" s="523"/>
    </row>
    <row r="355" spans="1:17" s="511" customFormat="1" ht="10.15" customHeight="1">
      <c r="A355" s="615"/>
      <c r="B355" s="515" t="s">
        <v>309</v>
      </c>
      <c r="C355" s="600">
        <v>92</v>
      </c>
      <c r="D355" s="601">
        <v>43612</v>
      </c>
      <c r="E355" s="602" t="s">
        <v>303</v>
      </c>
      <c r="F355" s="602" t="s">
        <v>314</v>
      </c>
      <c r="G355" s="603">
        <v>967342</v>
      </c>
      <c r="H355" s="604">
        <v>74</v>
      </c>
      <c r="I355" s="602" t="s">
        <v>300</v>
      </c>
      <c r="J355" s="600">
        <v>20</v>
      </c>
      <c r="K355" s="603">
        <v>0</v>
      </c>
      <c r="L355" s="736"/>
      <c r="M355" s="739"/>
      <c r="N355" s="773"/>
      <c r="O355" s="721"/>
      <c r="Q355" s="523"/>
    </row>
    <row r="356" spans="1:17" s="511" customFormat="1" ht="10.15" customHeight="1">
      <c r="A356" s="615"/>
      <c r="B356" s="515" t="s">
        <v>309</v>
      </c>
      <c r="C356" s="595">
        <v>99</v>
      </c>
      <c r="D356" s="596">
        <v>43614</v>
      </c>
      <c r="E356" s="597" t="s">
        <v>303</v>
      </c>
      <c r="F356" s="597" t="s">
        <v>310</v>
      </c>
      <c r="G356" s="598">
        <v>957800</v>
      </c>
      <c r="H356" s="599">
        <v>12</v>
      </c>
      <c r="I356" s="597" t="s">
        <v>299</v>
      </c>
      <c r="J356" s="595">
        <v>2.1399999999999997</v>
      </c>
      <c r="K356" s="598">
        <v>0</v>
      </c>
      <c r="L356" s="725">
        <f t="shared" ref="L356:M356" si="48">SUM(J356:J365)</f>
        <v>24.700000000000003</v>
      </c>
      <c r="M356" s="728">
        <f t="shared" si="48"/>
        <v>59.021000000000001</v>
      </c>
      <c r="N356" s="731">
        <f t="shared" ref="N356" si="49">L356-M356</f>
        <v>-34.320999999999998</v>
      </c>
      <c r="O356" s="804">
        <f>+M356/L356</f>
        <v>2.3895141700404854</v>
      </c>
      <c r="Q356" s="523"/>
    </row>
    <row r="357" spans="1:17" s="511" customFormat="1" ht="10.15" customHeight="1">
      <c r="A357" s="615"/>
      <c r="B357" s="515" t="s">
        <v>309</v>
      </c>
      <c r="C357" s="595">
        <v>99</v>
      </c>
      <c r="D357" s="596">
        <v>43614</v>
      </c>
      <c r="E357" s="597" t="s">
        <v>303</v>
      </c>
      <c r="F357" s="597" t="s">
        <v>310</v>
      </c>
      <c r="G357" s="598">
        <v>957800</v>
      </c>
      <c r="H357" s="599">
        <v>12</v>
      </c>
      <c r="I357" s="597" t="s">
        <v>300</v>
      </c>
      <c r="J357" s="595">
        <v>2.8</v>
      </c>
      <c r="K357" s="598">
        <v>0</v>
      </c>
      <c r="L357" s="726"/>
      <c r="M357" s="729"/>
      <c r="N357" s="732"/>
      <c r="O357" s="805"/>
      <c r="Q357" s="523"/>
    </row>
    <row r="358" spans="1:17" s="511" customFormat="1" ht="10.15" customHeight="1">
      <c r="A358" s="615"/>
      <c r="B358" s="515" t="s">
        <v>309</v>
      </c>
      <c r="C358" s="595">
        <v>99</v>
      </c>
      <c r="D358" s="596">
        <v>43614</v>
      </c>
      <c r="E358" s="597" t="s">
        <v>303</v>
      </c>
      <c r="F358" s="597" t="s">
        <v>311</v>
      </c>
      <c r="G358" s="598">
        <v>963943</v>
      </c>
      <c r="H358" s="599">
        <v>12</v>
      </c>
      <c r="I358" s="597" t="s">
        <v>299</v>
      </c>
      <c r="J358" s="595">
        <v>2.1399999999999997</v>
      </c>
      <c r="K358" s="598">
        <v>0</v>
      </c>
      <c r="L358" s="726"/>
      <c r="M358" s="729"/>
      <c r="N358" s="732"/>
      <c r="O358" s="805"/>
      <c r="Q358" s="523"/>
    </row>
    <row r="359" spans="1:17" s="511" customFormat="1" ht="10.15" customHeight="1">
      <c r="A359" s="615"/>
      <c r="B359" s="524" t="s">
        <v>309</v>
      </c>
      <c r="C359" s="595">
        <v>99</v>
      </c>
      <c r="D359" s="596">
        <v>43614</v>
      </c>
      <c r="E359" s="597" t="s">
        <v>303</v>
      </c>
      <c r="F359" s="597" t="s">
        <v>311</v>
      </c>
      <c r="G359" s="598">
        <v>963943</v>
      </c>
      <c r="H359" s="599">
        <v>12</v>
      </c>
      <c r="I359" s="597" t="s">
        <v>300</v>
      </c>
      <c r="J359" s="595">
        <v>2.8</v>
      </c>
      <c r="K359" s="598">
        <v>0</v>
      </c>
      <c r="L359" s="726"/>
      <c r="M359" s="729"/>
      <c r="N359" s="732"/>
      <c r="O359" s="805"/>
      <c r="Q359" s="523"/>
    </row>
    <row r="360" spans="1:17" s="511" customFormat="1" ht="10.15" customHeight="1">
      <c r="A360" s="615"/>
      <c r="B360" s="524" t="s">
        <v>309</v>
      </c>
      <c r="C360" s="595">
        <v>99</v>
      </c>
      <c r="D360" s="596">
        <v>43614</v>
      </c>
      <c r="E360" s="597" t="s">
        <v>303</v>
      </c>
      <c r="F360" s="597" t="s">
        <v>312</v>
      </c>
      <c r="G360" s="598">
        <v>967281</v>
      </c>
      <c r="H360" s="599">
        <v>74</v>
      </c>
      <c r="I360" s="597" t="s">
        <v>299</v>
      </c>
      <c r="J360" s="595">
        <v>2.1399999999999997</v>
      </c>
      <c r="K360" s="598">
        <v>8.798</v>
      </c>
      <c r="L360" s="726"/>
      <c r="M360" s="729"/>
      <c r="N360" s="732"/>
      <c r="O360" s="805"/>
      <c r="Q360" s="523"/>
    </row>
    <row r="361" spans="1:17" s="511" customFormat="1" ht="10.15" customHeight="1">
      <c r="A361" s="615"/>
      <c r="B361" s="524" t="s">
        <v>309</v>
      </c>
      <c r="C361" s="595">
        <v>99</v>
      </c>
      <c r="D361" s="596">
        <v>43614</v>
      </c>
      <c r="E361" s="597" t="s">
        <v>303</v>
      </c>
      <c r="F361" s="597" t="s">
        <v>312</v>
      </c>
      <c r="G361" s="598">
        <v>967281</v>
      </c>
      <c r="H361" s="599">
        <v>74</v>
      </c>
      <c r="I361" s="597" t="s">
        <v>300</v>
      </c>
      <c r="J361" s="595">
        <v>2.8</v>
      </c>
      <c r="K361" s="598">
        <v>0</v>
      </c>
      <c r="L361" s="726"/>
      <c r="M361" s="729"/>
      <c r="N361" s="732"/>
      <c r="O361" s="805"/>
      <c r="Q361" s="523"/>
    </row>
    <row r="362" spans="1:17" s="511" customFormat="1" ht="10.15" customHeight="1">
      <c r="A362" s="615"/>
      <c r="B362" s="524" t="s">
        <v>309</v>
      </c>
      <c r="C362" s="595">
        <v>99</v>
      </c>
      <c r="D362" s="596">
        <v>43614</v>
      </c>
      <c r="E362" s="597" t="s">
        <v>303</v>
      </c>
      <c r="F362" s="597" t="s">
        <v>313</v>
      </c>
      <c r="G362" s="598">
        <v>904281</v>
      </c>
      <c r="H362" s="599">
        <v>74</v>
      </c>
      <c r="I362" s="597" t="s">
        <v>299</v>
      </c>
      <c r="J362" s="595">
        <v>2.1399999999999997</v>
      </c>
      <c r="K362" s="598">
        <v>26.96</v>
      </c>
      <c r="L362" s="726"/>
      <c r="M362" s="729"/>
      <c r="N362" s="732"/>
      <c r="O362" s="805"/>
      <c r="Q362" s="523"/>
    </row>
    <row r="363" spans="1:17" s="511" customFormat="1" ht="10.15" customHeight="1">
      <c r="A363" s="615"/>
      <c r="B363" s="524" t="s">
        <v>309</v>
      </c>
      <c r="C363" s="595">
        <v>99</v>
      </c>
      <c r="D363" s="596">
        <v>43614</v>
      </c>
      <c r="E363" s="597" t="s">
        <v>303</v>
      </c>
      <c r="F363" s="597" t="s">
        <v>313</v>
      </c>
      <c r="G363" s="598">
        <v>904281</v>
      </c>
      <c r="H363" s="599">
        <v>74</v>
      </c>
      <c r="I363" s="597" t="s">
        <v>300</v>
      </c>
      <c r="J363" s="595">
        <v>2.8</v>
      </c>
      <c r="K363" s="598">
        <v>23.263000000000002</v>
      </c>
      <c r="L363" s="726"/>
      <c r="M363" s="729"/>
      <c r="N363" s="732"/>
      <c r="O363" s="805"/>
      <c r="Q363" s="523"/>
    </row>
    <row r="364" spans="1:17" s="511" customFormat="1" ht="10.15" customHeight="1">
      <c r="A364" s="615"/>
      <c r="B364" s="524" t="s">
        <v>309</v>
      </c>
      <c r="C364" s="595">
        <v>99</v>
      </c>
      <c r="D364" s="596">
        <v>43614</v>
      </c>
      <c r="E364" s="597" t="s">
        <v>303</v>
      </c>
      <c r="F364" s="597" t="s">
        <v>314</v>
      </c>
      <c r="G364" s="598">
        <v>967342</v>
      </c>
      <c r="H364" s="599">
        <v>74</v>
      </c>
      <c r="I364" s="597" t="s">
        <v>299</v>
      </c>
      <c r="J364" s="595">
        <v>2.1399999999999997</v>
      </c>
      <c r="K364" s="598">
        <v>0</v>
      </c>
      <c r="L364" s="726"/>
      <c r="M364" s="729"/>
      <c r="N364" s="732"/>
      <c r="O364" s="805"/>
      <c r="Q364" s="523"/>
    </row>
    <row r="365" spans="1:17" s="511" customFormat="1" ht="10.15" customHeight="1">
      <c r="A365" s="615"/>
      <c r="B365" s="515" t="s">
        <v>309</v>
      </c>
      <c r="C365" s="595">
        <v>99</v>
      </c>
      <c r="D365" s="596">
        <v>43614</v>
      </c>
      <c r="E365" s="597" t="s">
        <v>303</v>
      </c>
      <c r="F365" s="597" t="s">
        <v>314</v>
      </c>
      <c r="G365" s="598">
        <v>967342</v>
      </c>
      <c r="H365" s="599">
        <v>74</v>
      </c>
      <c r="I365" s="597" t="s">
        <v>300</v>
      </c>
      <c r="J365" s="595">
        <v>2.8</v>
      </c>
      <c r="K365" s="598">
        <v>0</v>
      </c>
      <c r="L365" s="727"/>
      <c r="M365" s="730"/>
      <c r="N365" s="733"/>
      <c r="O365" s="805"/>
      <c r="Q365" s="523"/>
    </row>
    <row r="366" spans="1:17" s="511" customFormat="1" ht="10.15" customHeight="1">
      <c r="A366" s="615"/>
      <c r="B366" s="526" t="s">
        <v>309</v>
      </c>
      <c r="C366" s="600">
        <v>2079</v>
      </c>
      <c r="D366" s="601">
        <v>43622</v>
      </c>
      <c r="E366" s="602" t="s">
        <v>303</v>
      </c>
      <c r="F366" s="602" t="s">
        <v>310</v>
      </c>
      <c r="G366" s="603">
        <v>957800</v>
      </c>
      <c r="H366" s="604">
        <v>12</v>
      </c>
      <c r="I366" s="602" t="s">
        <v>299</v>
      </c>
      <c r="J366" s="600">
        <v>132</v>
      </c>
      <c r="K366" s="603">
        <v>7.0789999999999997</v>
      </c>
      <c r="L366" s="734">
        <f t="shared" ref="L366" si="50">SUM(J366:J375)</f>
        <v>1480</v>
      </c>
      <c r="M366" s="737">
        <f>SUM(K366:K375)+1025.796</f>
        <v>1070.8720000000001</v>
      </c>
      <c r="N366" s="771">
        <f t="shared" ref="N366" si="51">L366-M366</f>
        <v>409.12799999999993</v>
      </c>
      <c r="O366" s="719">
        <f>+M366/L366</f>
        <v>0.72356216216216218</v>
      </c>
      <c r="Q366" s="523"/>
    </row>
    <row r="367" spans="1:17" s="511" customFormat="1" ht="10.15" customHeight="1">
      <c r="A367" s="615"/>
      <c r="B367" s="527" t="s">
        <v>309</v>
      </c>
      <c r="C367" s="600">
        <v>2079</v>
      </c>
      <c r="D367" s="601">
        <v>43622</v>
      </c>
      <c r="E367" s="602" t="s">
        <v>303</v>
      </c>
      <c r="F367" s="602" t="s">
        <v>310</v>
      </c>
      <c r="G367" s="603">
        <v>957800</v>
      </c>
      <c r="H367" s="604">
        <v>12</v>
      </c>
      <c r="I367" s="602" t="s">
        <v>300</v>
      </c>
      <c r="J367" s="600">
        <v>164</v>
      </c>
      <c r="K367" s="603">
        <v>3.181</v>
      </c>
      <c r="L367" s="735"/>
      <c r="M367" s="738"/>
      <c r="N367" s="772"/>
      <c r="O367" s="720"/>
      <c r="Q367" s="523"/>
    </row>
    <row r="368" spans="1:17" s="511" customFormat="1" ht="10.15" customHeight="1">
      <c r="A368" s="615"/>
      <c r="B368" s="527" t="s">
        <v>309</v>
      </c>
      <c r="C368" s="600">
        <v>2079</v>
      </c>
      <c r="D368" s="601">
        <v>43622</v>
      </c>
      <c r="E368" s="602" t="s">
        <v>303</v>
      </c>
      <c r="F368" s="602" t="s">
        <v>311</v>
      </c>
      <c r="G368" s="603">
        <v>963943</v>
      </c>
      <c r="H368" s="604">
        <v>12</v>
      </c>
      <c r="I368" s="602" t="s">
        <v>299</v>
      </c>
      <c r="J368" s="600">
        <v>132</v>
      </c>
      <c r="K368" s="603">
        <v>0</v>
      </c>
      <c r="L368" s="735"/>
      <c r="M368" s="738"/>
      <c r="N368" s="772"/>
      <c r="O368" s="720"/>
      <c r="Q368" s="523"/>
    </row>
    <row r="369" spans="1:17" s="511" customFormat="1" ht="10.15" customHeight="1">
      <c r="A369" s="615"/>
      <c r="B369" s="527" t="s">
        <v>309</v>
      </c>
      <c r="C369" s="600">
        <v>2079</v>
      </c>
      <c r="D369" s="601">
        <v>43622</v>
      </c>
      <c r="E369" s="602" t="s">
        <v>303</v>
      </c>
      <c r="F369" s="602" t="s">
        <v>311</v>
      </c>
      <c r="G369" s="603">
        <v>963943</v>
      </c>
      <c r="H369" s="604">
        <v>12</v>
      </c>
      <c r="I369" s="602" t="s">
        <v>300</v>
      </c>
      <c r="J369" s="600">
        <v>164</v>
      </c>
      <c r="K369" s="603">
        <v>0</v>
      </c>
      <c r="L369" s="735"/>
      <c r="M369" s="738"/>
      <c r="N369" s="772"/>
      <c r="O369" s="720"/>
      <c r="Q369" s="523"/>
    </row>
    <row r="370" spans="1:17" s="511" customFormat="1" ht="10.15" customHeight="1">
      <c r="A370" s="615"/>
      <c r="B370" s="527" t="s">
        <v>309</v>
      </c>
      <c r="C370" s="600">
        <v>2079</v>
      </c>
      <c r="D370" s="601">
        <v>43622</v>
      </c>
      <c r="E370" s="602" t="s">
        <v>303</v>
      </c>
      <c r="F370" s="602" t="s">
        <v>312</v>
      </c>
      <c r="G370" s="603">
        <v>967281</v>
      </c>
      <c r="H370" s="604">
        <v>74</v>
      </c>
      <c r="I370" s="602" t="s">
        <v>299</v>
      </c>
      <c r="J370" s="600">
        <v>132</v>
      </c>
      <c r="K370" s="603">
        <v>0</v>
      </c>
      <c r="L370" s="735"/>
      <c r="M370" s="738"/>
      <c r="N370" s="772"/>
      <c r="O370" s="720"/>
      <c r="Q370" s="523"/>
    </row>
    <row r="371" spans="1:17" s="511" customFormat="1" ht="10.15" customHeight="1">
      <c r="A371" s="615"/>
      <c r="B371" s="527" t="s">
        <v>309</v>
      </c>
      <c r="C371" s="600">
        <v>2079</v>
      </c>
      <c r="D371" s="601">
        <v>43622</v>
      </c>
      <c r="E371" s="602" t="s">
        <v>303</v>
      </c>
      <c r="F371" s="602" t="s">
        <v>312</v>
      </c>
      <c r="G371" s="603">
        <v>967281</v>
      </c>
      <c r="H371" s="604">
        <v>74</v>
      </c>
      <c r="I371" s="602" t="s">
        <v>300</v>
      </c>
      <c r="J371" s="600">
        <v>164</v>
      </c>
      <c r="K371" s="603">
        <v>0</v>
      </c>
      <c r="L371" s="735"/>
      <c r="M371" s="738"/>
      <c r="N371" s="772"/>
      <c r="O371" s="720"/>
      <c r="Q371" s="523"/>
    </row>
    <row r="372" spans="1:17" s="511" customFormat="1" ht="10.15" customHeight="1">
      <c r="A372" s="615"/>
      <c r="B372" s="527" t="s">
        <v>309</v>
      </c>
      <c r="C372" s="600">
        <v>2079</v>
      </c>
      <c r="D372" s="601">
        <v>43622</v>
      </c>
      <c r="E372" s="602" t="s">
        <v>303</v>
      </c>
      <c r="F372" s="602" t="s">
        <v>313</v>
      </c>
      <c r="G372" s="603">
        <v>904281</v>
      </c>
      <c r="H372" s="604">
        <v>74</v>
      </c>
      <c r="I372" s="602" t="s">
        <v>299</v>
      </c>
      <c r="J372" s="600">
        <v>132</v>
      </c>
      <c r="K372" s="603">
        <v>12.621</v>
      </c>
      <c r="L372" s="735"/>
      <c r="M372" s="738"/>
      <c r="N372" s="772"/>
      <c r="O372" s="720"/>
      <c r="Q372" s="523"/>
    </row>
    <row r="373" spans="1:17" s="511" customFormat="1" ht="10.15" customHeight="1">
      <c r="A373" s="615"/>
      <c r="B373" s="527" t="s">
        <v>309</v>
      </c>
      <c r="C373" s="600">
        <v>2079</v>
      </c>
      <c r="D373" s="601">
        <v>43622</v>
      </c>
      <c r="E373" s="602" t="s">
        <v>303</v>
      </c>
      <c r="F373" s="602" t="s">
        <v>313</v>
      </c>
      <c r="G373" s="603">
        <v>904281</v>
      </c>
      <c r="H373" s="604">
        <v>74</v>
      </c>
      <c r="I373" s="602" t="s">
        <v>300</v>
      </c>
      <c r="J373" s="600">
        <v>164</v>
      </c>
      <c r="K373" s="603">
        <v>22.195</v>
      </c>
      <c r="L373" s="735"/>
      <c r="M373" s="738"/>
      <c r="N373" s="772"/>
      <c r="O373" s="720"/>
      <c r="Q373" s="523"/>
    </row>
    <row r="374" spans="1:17" s="511" customFormat="1" ht="10.15" customHeight="1">
      <c r="A374" s="615"/>
      <c r="B374" s="527" t="s">
        <v>309</v>
      </c>
      <c r="C374" s="600">
        <v>2079</v>
      </c>
      <c r="D374" s="601">
        <v>43622</v>
      </c>
      <c r="E374" s="602" t="s">
        <v>303</v>
      </c>
      <c r="F374" s="602" t="s">
        <v>314</v>
      </c>
      <c r="G374" s="603">
        <v>967342</v>
      </c>
      <c r="H374" s="604">
        <v>74</v>
      </c>
      <c r="I374" s="602" t="s">
        <v>299</v>
      </c>
      <c r="J374" s="600">
        <v>132</v>
      </c>
      <c r="K374" s="603">
        <v>0</v>
      </c>
      <c r="L374" s="735"/>
      <c r="M374" s="738"/>
      <c r="N374" s="772"/>
      <c r="O374" s="720"/>
      <c r="Q374" s="523"/>
    </row>
    <row r="375" spans="1:17" s="511" customFormat="1" ht="10.15" customHeight="1">
      <c r="A375" s="615"/>
      <c r="B375" s="527" t="s">
        <v>309</v>
      </c>
      <c r="C375" s="600">
        <v>2079</v>
      </c>
      <c r="D375" s="601">
        <v>43622</v>
      </c>
      <c r="E375" s="602" t="s">
        <v>303</v>
      </c>
      <c r="F375" s="602" t="s">
        <v>314</v>
      </c>
      <c r="G375" s="603">
        <v>967342</v>
      </c>
      <c r="H375" s="604">
        <v>74</v>
      </c>
      <c r="I375" s="602" t="s">
        <v>300</v>
      </c>
      <c r="J375" s="600">
        <v>164</v>
      </c>
      <c r="K375" s="603">
        <v>0</v>
      </c>
      <c r="L375" s="736"/>
      <c r="M375" s="739"/>
      <c r="N375" s="773"/>
      <c r="O375" s="721"/>
      <c r="Q375" s="523"/>
    </row>
    <row r="376" spans="1:17" s="511" customFormat="1" ht="10.15" customHeight="1">
      <c r="A376" s="615"/>
      <c r="B376" s="527" t="s">
        <v>309</v>
      </c>
      <c r="C376" s="595">
        <v>108</v>
      </c>
      <c r="D376" s="596">
        <v>43634</v>
      </c>
      <c r="E376" s="597" t="s">
        <v>303</v>
      </c>
      <c r="F376" s="597" t="s">
        <v>310</v>
      </c>
      <c r="G376" s="598">
        <v>957800</v>
      </c>
      <c r="H376" s="599">
        <v>12</v>
      </c>
      <c r="I376" s="597" t="s">
        <v>299</v>
      </c>
      <c r="J376" s="595">
        <v>0.1</v>
      </c>
      <c r="K376" s="598">
        <v>0</v>
      </c>
      <c r="L376" s="725">
        <f t="shared" ref="L376" si="52">SUM(J376:J385)</f>
        <v>20.5</v>
      </c>
      <c r="M376" s="728">
        <f>SUM(K376:K385)+20.5</f>
        <v>20.5</v>
      </c>
      <c r="N376" s="731">
        <f t="shared" ref="N376" si="53">L376-M376</f>
        <v>0</v>
      </c>
      <c r="O376" s="719">
        <f>+M376/L376</f>
        <v>1</v>
      </c>
      <c r="Q376" s="523"/>
    </row>
    <row r="377" spans="1:17" s="511" customFormat="1" ht="10.15" customHeight="1">
      <c r="A377" s="615"/>
      <c r="B377" s="527" t="s">
        <v>309</v>
      </c>
      <c r="C377" s="595">
        <v>108</v>
      </c>
      <c r="D377" s="596">
        <v>43634</v>
      </c>
      <c r="E377" s="597" t="s">
        <v>303</v>
      </c>
      <c r="F377" s="597" t="s">
        <v>310</v>
      </c>
      <c r="G377" s="598">
        <v>957800</v>
      </c>
      <c r="H377" s="599">
        <v>12</v>
      </c>
      <c r="I377" s="597" t="s">
        <v>300</v>
      </c>
      <c r="J377" s="595">
        <v>4</v>
      </c>
      <c r="K377" s="598">
        <v>0</v>
      </c>
      <c r="L377" s="726"/>
      <c r="M377" s="729"/>
      <c r="N377" s="732"/>
      <c r="O377" s="720"/>
      <c r="Q377" s="523"/>
    </row>
    <row r="378" spans="1:17" s="511" customFormat="1" ht="10.15" customHeight="1">
      <c r="A378" s="615"/>
      <c r="B378" s="527" t="s">
        <v>309</v>
      </c>
      <c r="C378" s="595">
        <v>108</v>
      </c>
      <c r="D378" s="596">
        <v>43634</v>
      </c>
      <c r="E378" s="597" t="s">
        <v>303</v>
      </c>
      <c r="F378" s="597" t="s">
        <v>311</v>
      </c>
      <c r="G378" s="598">
        <v>963943</v>
      </c>
      <c r="H378" s="599">
        <v>12</v>
      </c>
      <c r="I378" s="597" t="s">
        <v>299</v>
      </c>
      <c r="J378" s="595">
        <v>0.1</v>
      </c>
      <c r="K378" s="598">
        <v>0</v>
      </c>
      <c r="L378" s="726"/>
      <c r="M378" s="729"/>
      <c r="N378" s="732"/>
      <c r="O378" s="720"/>
      <c r="Q378" s="523"/>
    </row>
    <row r="379" spans="1:17" s="511" customFormat="1" ht="10.15" customHeight="1">
      <c r="A379" s="615"/>
      <c r="B379" s="527" t="s">
        <v>309</v>
      </c>
      <c r="C379" s="595">
        <v>108</v>
      </c>
      <c r="D379" s="596">
        <v>43634</v>
      </c>
      <c r="E379" s="597" t="s">
        <v>303</v>
      </c>
      <c r="F379" s="597" t="s">
        <v>311</v>
      </c>
      <c r="G379" s="598">
        <v>963943</v>
      </c>
      <c r="H379" s="599">
        <v>12</v>
      </c>
      <c r="I379" s="597" t="s">
        <v>300</v>
      </c>
      <c r="J379" s="595">
        <v>4</v>
      </c>
      <c r="K379" s="598">
        <v>0</v>
      </c>
      <c r="L379" s="726"/>
      <c r="M379" s="729"/>
      <c r="N379" s="732"/>
      <c r="O379" s="720"/>
      <c r="Q379" s="523"/>
    </row>
    <row r="380" spans="1:17" s="511" customFormat="1" ht="10.15" customHeight="1">
      <c r="A380" s="615"/>
      <c r="B380" s="527" t="s">
        <v>309</v>
      </c>
      <c r="C380" s="595">
        <v>108</v>
      </c>
      <c r="D380" s="596">
        <v>43634</v>
      </c>
      <c r="E380" s="597" t="s">
        <v>303</v>
      </c>
      <c r="F380" s="597" t="s">
        <v>312</v>
      </c>
      <c r="G380" s="598">
        <v>967281</v>
      </c>
      <c r="H380" s="599">
        <v>74</v>
      </c>
      <c r="I380" s="597" t="s">
        <v>299</v>
      </c>
      <c r="J380" s="595">
        <v>0.1</v>
      </c>
      <c r="K380" s="598">
        <v>0</v>
      </c>
      <c r="L380" s="726"/>
      <c r="M380" s="729"/>
      <c r="N380" s="732"/>
      <c r="O380" s="720"/>
      <c r="Q380" s="523"/>
    </row>
    <row r="381" spans="1:17" s="511" customFormat="1" ht="10.15" customHeight="1">
      <c r="A381" s="615"/>
      <c r="B381" s="527" t="s">
        <v>309</v>
      </c>
      <c r="C381" s="595">
        <v>108</v>
      </c>
      <c r="D381" s="596">
        <v>43634</v>
      </c>
      <c r="E381" s="597" t="s">
        <v>303</v>
      </c>
      <c r="F381" s="597" t="s">
        <v>312</v>
      </c>
      <c r="G381" s="598">
        <v>967281</v>
      </c>
      <c r="H381" s="599">
        <v>74</v>
      </c>
      <c r="I381" s="597" t="s">
        <v>300</v>
      </c>
      <c r="J381" s="595">
        <v>4</v>
      </c>
      <c r="K381" s="598">
        <v>0</v>
      </c>
      <c r="L381" s="726"/>
      <c r="M381" s="729"/>
      <c r="N381" s="732"/>
      <c r="O381" s="720"/>
      <c r="Q381" s="523"/>
    </row>
    <row r="382" spans="1:17" s="511" customFormat="1" ht="10.15" customHeight="1">
      <c r="A382" s="615"/>
      <c r="B382" s="527" t="s">
        <v>309</v>
      </c>
      <c r="C382" s="595">
        <v>108</v>
      </c>
      <c r="D382" s="596">
        <v>43634</v>
      </c>
      <c r="E382" s="597" t="s">
        <v>303</v>
      </c>
      <c r="F382" s="597" t="s">
        <v>313</v>
      </c>
      <c r="G382" s="598">
        <v>904281</v>
      </c>
      <c r="H382" s="599">
        <v>74</v>
      </c>
      <c r="I382" s="597" t="s">
        <v>299</v>
      </c>
      <c r="J382" s="595">
        <v>0.1</v>
      </c>
      <c r="K382" s="598">
        <v>0</v>
      </c>
      <c r="L382" s="726"/>
      <c r="M382" s="729"/>
      <c r="N382" s="732"/>
      <c r="O382" s="720"/>
      <c r="Q382" s="523"/>
    </row>
    <row r="383" spans="1:17" s="511" customFormat="1" ht="10.15" customHeight="1">
      <c r="A383" s="615"/>
      <c r="B383" s="527" t="s">
        <v>309</v>
      </c>
      <c r="C383" s="595">
        <v>108</v>
      </c>
      <c r="D383" s="596">
        <v>43634</v>
      </c>
      <c r="E383" s="597" t="s">
        <v>303</v>
      </c>
      <c r="F383" s="597" t="s">
        <v>313</v>
      </c>
      <c r="G383" s="598">
        <v>904281</v>
      </c>
      <c r="H383" s="599">
        <v>74</v>
      </c>
      <c r="I383" s="597" t="s">
        <v>300</v>
      </c>
      <c r="J383" s="595">
        <v>4</v>
      </c>
      <c r="K383" s="598">
        <v>0</v>
      </c>
      <c r="L383" s="726"/>
      <c r="M383" s="729"/>
      <c r="N383" s="732"/>
      <c r="O383" s="720"/>
      <c r="Q383" s="523"/>
    </row>
    <row r="384" spans="1:17" s="511" customFormat="1" ht="10.15" customHeight="1">
      <c r="A384" s="615"/>
      <c r="B384" s="527" t="s">
        <v>309</v>
      </c>
      <c r="C384" s="595">
        <v>108</v>
      </c>
      <c r="D384" s="596">
        <v>43634</v>
      </c>
      <c r="E384" s="597" t="s">
        <v>303</v>
      </c>
      <c r="F384" s="597" t="s">
        <v>314</v>
      </c>
      <c r="G384" s="598">
        <v>967342</v>
      </c>
      <c r="H384" s="599">
        <v>74</v>
      </c>
      <c r="I384" s="597" t="s">
        <v>299</v>
      </c>
      <c r="J384" s="595">
        <v>0.1</v>
      </c>
      <c r="K384" s="598">
        <v>0</v>
      </c>
      <c r="L384" s="726"/>
      <c r="M384" s="729"/>
      <c r="N384" s="732"/>
      <c r="O384" s="720"/>
      <c r="Q384" s="523"/>
    </row>
    <row r="385" spans="1:17" s="511" customFormat="1" ht="10.15" customHeight="1">
      <c r="A385" s="615"/>
      <c r="B385" s="527" t="s">
        <v>309</v>
      </c>
      <c r="C385" s="595">
        <v>108</v>
      </c>
      <c r="D385" s="596">
        <v>43634</v>
      </c>
      <c r="E385" s="597" t="s">
        <v>303</v>
      </c>
      <c r="F385" s="597" t="s">
        <v>314</v>
      </c>
      <c r="G385" s="598">
        <v>967342</v>
      </c>
      <c r="H385" s="599">
        <v>74</v>
      </c>
      <c r="I385" s="597" t="s">
        <v>300</v>
      </c>
      <c r="J385" s="595">
        <v>4</v>
      </c>
      <c r="K385" s="598">
        <v>0</v>
      </c>
      <c r="L385" s="727"/>
      <c r="M385" s="730"/>
      <c r="N385" s="733"/>
      <c r="O385" s="721"/>
      <c r="Q385" s="523"/>
    </row>
    <row r="386" spans="1:17" s="511" customFormat="1" ht="10.15" customHeight="1">
      <c r="A386" s="615"/>
      <c r="B386" s="527" t="s">
        <v>309</v>
      </c>
      <c r="C386" s="600">
        <v>2197</v>
      </c>
      <c r="D386" s="601">
        <v>43635</v>
      </c>
      <c r="E386" s="602" t="s">
        <v>304</v>
      </c>
      <c r="F386" s="602" t="s">
        <v>319</v>
      </c>
      <c r="G386" s="603">
        <v>962289</v>
      </c>
      <c r="H386" s="604">
        <v>56</v>
      </c>
      <c r="I386" s="602" t="s">
        <v>299</v>
      </c>
      <c r="J386" s="600">
        <v>5.7089999999999996</v>
      </c>
      <c r="K386" s="603">
        <v>63.945</v>
      </c>
      <c r="L386" s="734">
        <f>SUBTOTAL(9,J386:J389)</f>
        <v>176.16499999999999</v>
      </c>
      <c r="M386" s="737">
        <f>SUBTOTAL(9,K386:K389)</f>
        <v>67.31</v>
      </c>
      <c r="N386" s="740">
        <f>L386-M386</f>
        <v>108.85499999999999</v>
      </c>
      <c r="O386" s="528"/>
      <c r="Q386" s="523"/>
    </row>
    <row r="387" spans="1:17" s="511" customFormat="1" ht="10.15" customHeight="1">
      <c r="A387" s="615"/>
      <c r="B387" s="527" t="s">
        <v>309</v>
      </c>
      <c r="C387" s="600">
        <v>2197</v>
      </c>
      <c r="D387" s="601">
        <v>43635</v>
      </c>
      <c r="E387" s="602" t="s">
        <v>304</v>
      </c>
      <c r="F387" s="602" t="s">
        <v>319</v>
      </c>
      <c r="G387" s="603">
        <v>962289</v>
      </c>
      <c r="H387" s="604">
        <v>56</v>
      </c>
      <c r="I387" s="602" t="s">
        <v>300</v>
      </c>
      <c r="J387" s="600">
        <v>82.373999999999995</v>
      </c>
      <c r="K387" s="603">
        <v>3.3650000000000002</v>
      </c>
      <c r="L387" s="735"/>
      <c r="M387" s="738"/>
      <c r="N387" s="741"/>
      <c r="O387" s="528"/>
      <c r="Q387" s="523"/>
    </row>
    <row r="388" spans="1:17" s="511" customFormat="1" ht="10.15" customHeight="1">
      <c r="A388" s="615"/>
      <c r="B388" s="527" t="s">
        <v>309</v>
      </c>
      <c r="C388" s="600">
        <v>2197</v>
      </c>
      <c r="D388" s="601">
        <v>43635</v>
      </c>
      <c r="E388" s="602" t="s">
        <v>304</v>
      </c>
      <c r="F388" s="602" t="s">
        <v>322</v>
      </c>
      <c r="G388" s="603">
        <v>964576</v>
      </c>
      <c r="H388" s="604">
        <v>56</v>
      </c>
      <c r="I388" s="602" t="s">
        <v>299</v>
      </c>
      <c r="J388" s="600">
        <v>5.7080000000000002</v>
      </c>
      <c r="K388" s="603">
        <v>0</v>
      </c>
      <c r="L388" s="735"/>
      <c r="M388" s="738"/>
      <c r="N388" s="741"/>
      <c r="O388" s="612"/>
      <c r="Q388" s="523"/>
    </row>
    <row r="389" spans="1:17" s="511" customFormat="1" ht="10.15" customHeight="1">
      <c r="A389" s="615"/>
      <c r="B389" s="527" t="s">
        <v>309</v>
      </c>
      <c r="C389" s="600">
        <v>2197</v>
      </c>
      <c r="D389" s="601">
        <v>43635</v>
      </c>
      <c r="E389" s="602" t="s">
        <v>304</v>
      </c>
      <c r="F389" s="602" t="s">
        <v>322</v>
      </c>
      <c r="G389" s="603">
        <v>964576</v>
      </c>
      <c r="H389" s="604">
        <v>56</v>
      </c>
      <c r="I389" s="602" t="s">
        <v>300</v>
      </c>
      <c r="J389" s="600">
        <v>82.373999999999995</v>
      </c>
      <c r="K389" s="603">
        <v>0</v>
      </c>
      <c r="L389" s="736"/>
      <c r="M389" s="739"/>
      <c r="N389" s="742"/>
      <c r="O389" s="612"/>
      <c r="Q389" s="523"/>
    </row>
    <row r="390" spans="1:17" s="511" customFormat="1" ht="10.15" customHeight="1">
      <c r="A390" s="615"/>
      <c r="B390" s="527" t="s">
        <v>309</v>
      </c>
      <c r="C390" s="595">
        <v>2206</v>
      </c>
      <c r="D390" s="596">
        <v>43635</v>
      </c>
      <c r="E390" s="597" t="s">
        <v>304</v>
      </c>
      <c r="F390" s="597" t="s">
        <v>326</v>
      </c>
      <c r="G390" s="598">
        <v>924618</v>
      </c>
      <c r="H390" s="599">
        <v>57</v>
      </c>
      <c r="I390" s="597" t="s">
        <v>299</v>
      </c>
      <c r="J390" s="595">
        <v>5.7080000000000002</v>
      </c>
      <c r="K390" s="598">
        <v>65.17</v>
      </c>
      <c r="L390" s="725">
        <f>SUBTOTAL(9,J390:J393)</f>
        <v>176.16499999999999</v>
      </c>
      <c r="M390" s="728">
        <f>SUBTOTAL(9,K390:K393)</f>
        <v>96.841999999999999</v>
      </c>
      <c r="N390" s="743">
        <f>L390-M390</f>
        <v>79.322999999999993</v>
      </c>
      <c r="O390" s="612"/>
      <c r="Q390" s="523"/>
    </row>
    <row r="391" spans="1:17" s="511" customFormat="1" ht="10.15" customHeight="1">
      <c r="A391" s="615"/>
      <c r="B391" s="527" t="s">
        <v>309</v>
      </c>
      <c r="C391" s="595">
        <v>2206</v>
      </c>
      <c r="D391" s="596">
        <v>43635</v>
      </c>
      <c r="E391" s="597" t="s">
        <v>304</v>
      </c>
      <c r="F391" s="597" t="s">
        <v>326</v>
      </c>
      <c r="G391" s="598">
        <v>924618</v>
      </c>
      <c r="H391" s="599">
        <v>57</v>
      </c>
      <c r="I391" s="597" t="s">
        <v>300</v>
      </c>
      <c r="J391" s="595">
        <v>82.373999999999995</v>
      </c>
      <c r="K391" s="598">
        <v>3.4670000000000001</v>
      </c>
      <c r="L391" s="726"/>
      <c r="M391" s="729"/>
      <c r="N391" s="718"/>
      <c r="O391" s="612"/>
      <c r="Q391" s="523"/>
    </row>
    <row r="392" spans="1:17" s="511" customFormat="1" ht="10.15" customHeight="1">
      <c r="A392" s="615"/>
      <c r="B392" s="527" t="s">
        <v>309</v>
      </c>
      <c r="C392" s="595">
        <v>2206</v>
      </c>
      <c r="D392" s="596">
        <v>43635</v>
      </c>
      <c r="E392" s="597" t="s">
        <v>304</v>
      </c>
      <c r="F392" s="597" t="s">
        <v>329</v>
      </c>
      <c r="G392" s="598">
        <v>963685</v>
      </c>
      <c r="H392" s="599">
        <v>57</v>
      </c>
      <c r="I392" s="597" t="s">
        <v>299</v>
      </c>
      <c r="J392" s="595">
        <v>5.7089999999999996</v>
      </c>
      <c r="K392" s="598">
        <v>26.795000000000002</v>
      </c>
      <c r="L392" s="726"/>
      <c r="M392" s="729"/>
      <c r="N392" s="718"/>
      <c r="O392" s="612"/>
      <c r="Q392" s="523"/>
    </row>
    <row r="393" spans="1:17" s="511" customFormat="1" ht="10.15" customHeight="1">
      <c r="A393" s="615"/>
      <c r="B393" s="527" t="s">
        <v>309</v>
      </c>
      <c r="C393" s="595">
        <v>2206</v>
      </c>
      <c r="D393" s="596">
        <v>43635</v>
      </c>
      <c r="E393" s="597" t="s">
        <v>304</v>
      </c>
      <c r="F393" s="597" t="s">
        <v>329</v>
      </c>
      <c r="G393" s="598">
        <v>963685</v>
      </c>
      <c r="H393" s="599">
        <v>57</v>
      </c>
      <c r="I393" s="597" t="s">
        <v>300</v>
      </c>
      <c r="J393" s="595">
        <v>82.373999999999995</v>
      </c>
      <c r="K393" s="598">
        <v>1.41</v>
      </c>
      <c r="L393" s="727"/>
      <c r="M393" s="730"/>
      <c r="N393" s="744"/>
      <c r="O393" s="612"/>
      <c r="Q393" s="523"/>
    </row>
    <row r="394" spans="1:17" s="511" customFormat="1" ht="10.15" customHeight="1">
      <c r="A394" s="615"/>
      <c r="B394" s="527" t="s">
        <v>309</v>
      </c>
      <c r="C394" s="600">
        <v>111</v>
      </c>
      <c r="D394" s="601">
        <v>43636</v>
      </c>
      <c r="E394" s="602" t="s">
        <v>303</v>
      </c>
      <c r="F394" s="602" t="s">
        <v>310</v>
      </c>
      <c r="G394" s="603">
        <v>957800</v>
      </c>
      <c r="H394" s="604">
        <v>12</v>
      </c>
      <c r="I394" s="602" t="s">
        <v>299</v>
      </c>
      <c r="J394" s="600">
        <v>0.1</v>
      </c>
      <c r="K394" s="603">
        <v>0</v>
      </c>
      <c r="L394" s="745">
        <f>SUM(J394:J403)</f>
        <v>25.5</v>
      </c>
      <c r="M394" s="747">
        <f>SUM(K394:K403)+25.5</f>
        <v>25.5</v>
      </c>
      <c r="N394" s="740">
        <f>L394-M394</f>
        <v>0</v>
      </c>
      <c r="O394" s="719">
        <f>+M394/L394</f>
        <v>1</v>
      </c>
      <c r="Q394" s="523"/>
    </row>
    <row r="395" spans="1:17" s="511" customFormat="1" ht="10.15" customHeight="1">
      <c r="A395" s="615"/>
      <c r="B395" s="527" t="s">
        <v>309</v>
      </c>
      <c r="C395" s="600">
        <v>111</v>
      </c>
      <c r="D395" s="601">
        <v>43636</v>
      </c>
      <c r="E395" s="602" t="s">
        <v>303</v>
      </c>
      <c r="F395" s="602" t="s">
        <v>310</v>
      </c>
      <c r="G395" s="603">
        <v>957800</v>
      </c>
      <c r="H395" s="604">
        <v>12</v>
      </c>
      <c r="I395" s="602" t="s">
        <v>300</v>
      </c>
      <c r="J395" s="600">
        <v>5</v>
      </c>
      <c r="K395" s="603">
        <v>0</v>
      </c>
      <c r="L395" s="746"/>
      <c r="M395" s="748"/>
      <c r="N395" s="741"/>
      <c r="O395" s="720"/>
      <c r="Q395" s="523"/>
    </row>
    <row r="396" spans="1:17" s="511" customFormat="1" ht="10.15" customHeight="1">
      <c r="A396" s="615"/>
      <c r="B396" s="527" t="s">
        <v>309</v>
      </c>
      <c r="C396" s="600">
        <v>111</v>
      </c>
      <c r="D396" s="601">
        <v>43636</v>
      </c>
      <c r="E396" s="602" t="s">
        <v>303</v>
      </c>
      <c r="F396" s="602" t="s">
        <v>311</v>
      </c>
      <c r="G396" s="603">
        <v>963943</v>
      </c>
      <c r="H396" s="604">
        <v>12</v>
      </c>
      <c r="I396" s="602" t="s">
        <v>299</v>
      </c>
      <c r="J396" s="600">
        <v>0.1</v>
      </c>
      <c r="K396" s="603">
        <v>0</v>
      </c>
      <c r="L396" s="746"/>
      <c r="M396" s="748"/>
      <c r="N396" s="741"/>
      <c r="O396" s="720"/>
      <c r="Q396" s="523"/>
    </row>
    <row r="397" spans="1:17" s="511" customFormat="1" ht="10.15" customHeight="1">
      <c r="A397" s="615"/>
      <c r="B397" s="527" t="s">
        <v>309</v>
      </c>
      <c r="C397" s="600">
        <v>111</v>
      </c>
      <c r="D397" s="601">
        <v>43636</v>
      </c>
      <c r="E397" s="602" t="s">
        <v>303</v>
      </c>
      <c r="F397" s="602" t="s">
        <v>311</v>
      </c>
      <c r="G397" s="603">
        <v>963943</v>
      </c>
      <c r="H397" s="604">
        <v>12</v>
      </c>
      <c r="I397" s="602" t="s">
        <v>300</v>
      </c>
      <c r="J397" s="600">
        <v>5</v>
      </c>
      <c r="K397" s="603">
        <v>0</v>
      </c>
      <c r="L397" s="746"/>
      <c r="M397" s="748"/>
      <c r="N397" s="741"/>
      <c r="O397" s="720"/>
      <c r="Q397" s="523"/>
    </row>
    <row r="398" spans="1:17" s="511" customFormat="1" ht="10.15" customHeight="1">
      <c r="A398" s="615"/>
      <c r="B398" s="527" t="s">
        <v>309</v>
      </c>
      <c r="C398" s="600">
        <v>111</v>
      </c>
      <c r="D398" s="601">
        <v>43636</v>
      </c>
      <c r="E398" s="602" t="s">
        <v>303</v>
      </c>
      <c r="F398" s="602" t="s">
        <v>312</v>
      </c>
      <c r="G398" s="603">
        <v>967281</v>
      </c>
      <c r="H398" s="604">
        <v>74</v>
      </c>
      <c r="I398" s="602" t="s">
        <v>299</v>
      </c>
      <c r="J398" s="600">
        <v>0.1</v>
      </c>
      <c r="K398" s="603">
        <v>0</v>
      </c>
      <c r="L398" s="746"/>
      <c r="M398" s="748"/>
      <c r="N398" s="741"/>
      <c r="O398" s="720"/>
      <c r="Q398" s="523"/>
    </row>
    <row r="399" spans="1:17" s="511" customFormat="1" ht="10.15" customHeight="1">
      <c r="A399" s="615"/>
      <c r="B399" s="527" t="s">
        <v>309</v>
      </c>
      <c r="C399" s="600">
        <v>111</v>
      </c>
      <c r="D399" s="601">
        <v>43636</v>
      </c>
      <c r="E399" s="602" t="s">
        <v>303</v>
      </c>
      <c r="F399" s="602" t="s">
        <v>312</v>
      </c>
      <c r="G399" s="603">
        <v>967281</v>
      </c>
      <c r="H399" s="604">
        <v>74</v>
      </c>
      <c r="I399" s="602" t="s">
        <v>300</v>
      </c>
      <c r="J399" s="600">
        <v>5</v>
      </c>
      <c r="K399" s="603">
        <v>0</v>
      </c>
      <c r="L399" s="746"/>
      <c r="M399" s="748"/>
      <c r="N399" s="741"/>
      <c r="O399" s="720"/>
      <c r="Q399" s="523"/>
    </row>
    <row r="400" spans="1:17" s="511" customFormat="1" ht="10.15" customHeight="1">
      <c r="A400" s="615"/>
      <c r="B400" s="527" t="s">
        <v>309</v>
      </c>
      <c r="C400" s="600">
        <v>111</v>
      </c>
      <c r="D400" s="601">
        <v>43636</v>
      </c>
      <c r="E400" s="602" t="s">
        <v>303</v>
      </c>
      <c r="F400" s="602" t="s">
        <v>313</v>
      </c>
      <c r="G400" s="603">
        <v>904281</v>
      </c>
      <c r="H400" s="604">
        <v>74</v>
      </c>
      <c r="I400" s="602" t="s">
        <v>299</v>
      </c>
      <c r="J400" s="600">
        <v>0.1</v>
      </c>
      <c r="K400" s="603">
        <v>0</v>
      </c>
      <c r="L400" s="746"/>
      <c r="M400" s="748"/>
      <c r="N400" s="741"/>
      <c r="O400" s="720"/>
      <c r="Q400" s="523"/>
    </row>
    <row r="401" spans="1:17" s="511" customFormat="1" ht="10.15" customHeight="1">
      <c r="A401" s="615"/>
      <c r="B401" s="527" t="s">
        <v>309</v>
      </c>
      <c r="C401" s="600">
        <v>111</v>
      </c>
      <c r="D401" s="601">
        <v>43636</v>
      </c>
      <c r="E401" s="602" t="s">
        <v>303</v>
      </c>
      <c r="F401" s="602" t="s">
        <v>313</v>
      </c>
      <c r="G401" s="603">
        <v>904281</v>
      </c>
      <c r="H401" s="604">
        <v>74</v>
      </c>
      <c r="I401" s="602" t="s">
        <v>300</v>
      </c>
      <c r="J401" s="600">
        <v>5</v>
      </c>
      <c r="K401" s="603">
        <v>0</v>
      </c>
      <c r="L401" s="746"/>
      <c r="M401" s="748"/>
      <c r="N401" s="741"/>
      <c r="O401" s="720"/>
      <c r="Q401" s="523"/>
    </row>
    <row r="402" spans="1:17" s="511" customFormat="1" ht="10.15" customHeight="1">
      <c r="A402" s="615"/>
      <c r="B402" s="527" t="s">
        <v>309</v>
      </c>
      <c r="C402" s="600">
        <v>111</v>
      </c>
      <c r="D402" s="601">
        <v>43636</v>
      </c>
      <c r="E402" s="602" t="s">
        <v>303</v>
      </c>
      <c r="F402" s="602" t="s">
        <v>314</v>
      </c>
      <c r="G402" s="603">
        <v>967342</v>
      </c>
      <c r="H402" s="604">
        <v>74</v>
      </c>
      <c r="I402" s="602" t="s">
        <v>299</v>
      </c>
      <c r="J402" s="600">
        <v>0.1</v>
      </c>
      <c r="K402" s="603">
        <v>0</v>
      </c>
      <c r="L402" s="746"/>
      <c r="M402" s="748"/>
      <c r="N402" s="741"/>
      <c r="O402" s="720"/>
      <c r="Q402" s="523"/>
    </row>
    <row r="403" spans="1:17" s="511" customFormat="1" ht="10.15" customHeight="1">
      <c r="A403" s="615"/>
      <c r="B403" s="527" t="s">
        <v>309</v>
      </c>
      <c r="C403" s="600">
        <v>111</v>
      </c>
      <c r="D403" s="601">
        <v>43636</v>
      </c>
      <c r="E403" s="602" t="s">
        <v>303</v>
      </c>
      <c r="F403" s="602" t="s">
        <v>314</v>
      </c>
      <c r="G403" s="603">
        <v>967342</v>
      </c>
      <c r="H403" s="604">
        <v>74</v>
      </c>
      <c r="I403" s="602" t="s">
        <v>300</v>
      </c>
      <c r="J403" s="600">
        <v>5</v>
      </c>
      <c r="K403" s="603">
        <v>0</v>
      </c>
      <c r="L403" s="746"/>
      <c r="M403" s="748"/>
      <c r="N403" s="741"/>
      <c r="O403" s="721"/>
      <c r="Q403" s="523"/>
    </row>
    <row r="404" spans="1:17" s="511" customFormat="1" ht="10.15" customHeight="1">
      <c r="A404" s="615"/>
      <c r="B404" s="527" t="s">
        <v>309</v>
      </c>
      <c r="C404" s="595">
        <v>2256</v>
      </c>
      <c r="D404" s="596">
        <v>43637</v>
      </c>
      <c r="E404" s="597" t="s">
        <v>303</v>
      </c>
      <c r="F404" s="597" t="s">
        <v>310</v>
      </c>
      <c r="G404" s="598">
        <v>957800</v>
      </c>
      <c r="H404" s="599">
        <v>12</v>
      </c>
      <c r="I404" s="597" t="s">
        <v>299</v>
      </c>
      <c r="J404" s="595">
        <v>2</v>
      </c>
      <c r="K404" s="598">
        <v>0</v>
      </c>
      <c r="L404" s="749">
        <f>SUM(J404:J413)</f>
        <v>100</v>
      </c>
      <c r="M404" s="750">
        <f>SUM(K404:K413)+100</f>
        <v>100</v>
      </c>
      <c r="N404" s="743">
        <f>L404-M404</f>
        <v>0</v>
      </c>
      <c r="O404" s="719">
        <f>+M404/L404</f>
        <v>1</v>
      </c>
      <c r="Q404" s="523"/>
    </row>
    <row r="405" spans="1:17" s="511" customFormat="1" ht="10.15" customHeight="1">
      <c r="A405" s="615"/>
      <c r="B405" s="527" t="s">
        <v>309</v>
      </c>
      <c r="C405" s="595">
        <v>2256</v>
      </c>
      <c r="D405" s="596">
        <v>43637</v>
      </c>
      <c r="E405" s="597" t="s">
        <v>303</v>
      </c>
      <c r="F405" s="597" t="s">
        <v>310</v>
      </c>
      <c r="G405" s="598">
        <v>957800</v>
      </c>
      <c r="H405" s="599">
        <v>12</v>
      </c>
      <c r="I405" s="597" t="s">
        <v>300</v>
      </c>
      <c r="J405" s="595">
        <v>18</v>
      </c>
      <c r="K405" s="598">
        <v>0</v>
      </c>
      <c r="L405" s="716"/>
      <c r="M405" s="717"/>
      <c r="N405" s="718"/>
      <c r="O405" s="720"/>
      <c r="Q405" s="523"/>
    </row>
    <row r="406" spans="1:17" s="511" customFormat="1" ht="10.15" customHeight="1">
      <c r="A406" s="615"/>
      <c r="B406" s="527" t="s">
        <v>309</v>
      </c>
      <c r="C406" s="595">
        <v>2256</v>
      </c>
      <c r="D406" s="596">
        <v>43637</v>
      </c>
      <c r="E406" s="597" t="s">
        <v>303</v>
      </c>
      <c r="F406" s="597" t="s">
        <v>311</v>
      </c>
      <c r="G406" s="598">
        <v>963943</v>
      </c>
      <c r="H406" s="599">
        <v>12</v>
      </c>
      <c r="I406" s="597" t="s">
        <v>299</v>
      </c>
      <c r="J406" s="595">
        <v>2</v>
      </c>
      <c r="K406" s="598">
        <v>0</v>
      </c>
      <c r="L406" s="716"/>
      <c r="M406" s="717"/>
      <c r="N406" s="718"/>
      <c r="O406" s="720"/>
      <c r="Q406" s="523"/>
    </row>
    <row r="407" spans="1:17" s="511" customFormat="1" ht="10.15" customHeight="1">
      <c r="A407" s="615"/>
      <c r="B407" s="527" t="s">
        <v>309</v>
      </c>
      <c r="C407" s="595">
        <v>2256</v>
      </c>
      <c r="D407" s="596">
        <v>43637</v>
      </c>
      <c r="E407" s="597" t="s">
        <v>303</v>
      </c>
      <c r="F407" s="597" t="s">
        <v>311</v>
      </c>
      <c r="G407" s="598">
        <v>963943</v>
      </c>
      <c r="H407" s="599">
        <v>12</v>
      </c>
      <c r="I407" s="597" t="s">
        <v>300</v>
      </c>
      <c r="J407" s="595">
        <v>18</v>
      </c>
      <c r="K407" s="598">
        <v>0</v>
      </c>
      <c r="L407" s="716"/>
      <c r="M407" s="717"/>
      <c r="N407" s="718"/>
      <c r="O407" s="720"/>
      <c r="Q407" s="523"/>
    </row>
    <row r="408" spans="1:17" s="511" customFormat="1" ht="10.15" customHeight="1">
      <c r="A408" s="615"/>
      <c r="B408" s="527" t="s">
        <v>309</v>
      </c>
      <c r="C408" s="595">
        <v>2256</v>
      </c>
      <c r="D408" s="596">
        <v>43637</v>
      </c>
      <c r="E408" s="597" t="s">
        <v>303</v>
      </c>
      <c r="F408" s="597" t="s">
        <v>312</v>
      </c>
      <c r="G408" s="598">
        <v>967281</v>
      </c>
      <c r="H408" s="599">
        <v>74</v>
      </c>
      <c r="I408" s="597" t="s">
        <v>299</v>
      </c>
      <c r="J408" s="595">
        <v>2</v>
      </c>
      <c r="K408" s="598">
        <v>0</v>
      </c>
      <c r="L408" s="716"/>
      <c r="M408" s="717"/>
      <c r="N408" s="718"/>
      <c r="O408" s="720"/>
      <c r="Q408" s="523"/>
    </row>
    <row r="409" spans="1:17" s="511" customFormat="1" ht="10.15" customHeight="1">
      <c r="A409" s="615"/>
      <c r="B409" s="527" t="s">
        <v>309</v>
      </c>
      <c r="C409" s="595">
        <v>2256</v>
      </c>
      <c r="D409" s="596">
        <v>43637</v>
      </c>
      <c r="E409" s="597" t="s">
        <v>303</v>
      </c>
      <c r="F409" s="597" t="s">
        <v>312</v>
      </c>
      <c r="G409" s="598">
        <v>967281</v>
      </c>
      <c r="H409" s="599">
        <v>74</v>
      </c>
      <c r="I409" s="597" t="s">
        <v>300</v>
      </c>
      <c r="J409" s="595">
        <v>18</v>
      </c>
      <c r="K409" s="598">
        <v>0</v>
      </c>
      <c r="L409" s="716"/>
      <c r="M409" s="717"/>
      <c r="N409" s="718"/>
      <c r="O409" s="720"/>
      <c r="Q409" s="523"/>
    </row>
    <row r="410" spans="1:17" s="511" customFormat="1" ht="10.15" customHeight="1">
      <c r="A410" s="615"/>
      <c r="B410" s="527" t="s">
        <v>309</v>
      </c>
      <c r="C410" s="595">
        <v>2256</v>
      </c>
      <c r="D410" s="596">
        <v>43637</v>
      </c>
      <c r="E410" s="597" t="s">
        <v>303</v>
      </c>
      <c r="F410" s="597" t="s">
        <v>313</v>
      </c>
      <c r="G410" s="598">
        <v>904281</v>
      </c>
      <c r="H410" s="599">
        <v>74</v>
      </c>
      <c r="I410" s="597" t="s">
        <v>299</v>
      </c>
      <c r="J410" s="595">
        <v>2</v>
      </c>
      <c r="K410" s="598">
        <v>0</v>
      </c>
      <c r="L410" s="716"/>
      <c r="M410" s="717"/>
      <c r="N410" s="718"/>
      <c r="O410" s="720"/>
      <c r="Q410" s="523"/>
    </row>
    <row r="411" spans="1:17" s="511" customFormat="1" ht="10.15" customHeight="1">
      <c r="A411" s="615"/>
      <c r="B411" s="527" t="s">
        <v>309</v>
      </c>
      <c r="C411" s="595">
        <v>2256</v>
      </c>
      <c r="D411" s="596">
        <v>43637</v>
      </c>
      <c r="E411" s="597" t="s">
        <v>303</v>
      </c>
      <c r="F411" s="597" t="s">
        <v>313</v>
      </c>
      <c r="G411" s="598">
        <v>904281</v>
      </c>
      <c r="H411" s="599">
        <v>74</v>
      </c>
      <c r="I411" s="597" t="s">
        <v>300</v>
      </c>
      <c r="J411" s="595">
        <v>18</v>
      </c>
      <c r="K411" s="598">
        <v>0</v>
      </c>
      <c r="L411" s="716"/>
      <c r="M411" s="717"/>
      <c r="N411" s="718"/>
      <c r="O411" s="720"/>
      <c r="Q411" s="523"/>
    </row>
    <row r="412" spans="1:17" s="511" customFormat="1" ht="10.15" customHeight="1">
      <c r="A412" s="615"/>
      <c r="B412" s="527" t="s">
        <v>309</v>
      </c>
      <c r="C412" s="595">
        <v>2256</v>
      </c>
      <c r="D412" s="596">
        <v>43637</v>
      </c>
      <c r="E412" s="597" t="s">
        <v>303</v>
      </c>
      <c r="F412" s="597" t="s">
        <v>314</v>
      </c>
      <c r="G412" s="598">
        <v>967342</v>
      </c>
      <c r="H412" s="599">
        <v>74</v>
      </c>
      <c r="I412" s="597" t="s">
        <v>299</v>
      </c>
      <c r="J412" s="595">
        <v>2</v>
      </c>
      <c r="K412" s="598">
        <v>0</v>
      </c>
      <c r="L412" s="716"/>
      <c r="M412" s="717"/>
      <c r="N412" s="718"/>
      <c r="O412" s="720"/>
      <c r="Q412" s="523"/>
    </row>
    <row r="413" spans="1:17" s="511" customFormat="1" ht="10.15" customHeight="1">
      <c r="A413" s="615"/>
      <c r="B413" s="527" t="s">
        <v>309</v>
      </c>
      <c r="C413" s="595">
        <v>2256</v>
      </c>
      <c r="D413" s="596">
        <v>43637</v>
      </c>
      <c r="E413" s="597" t="s">
        <v>303</v>
      </c>
      <c r="F413" s="597" t="s">
        <v>314</v>
      </c>
      <c r="G413" s="598">
        <v>967342</v>
      </c>
      <c r="H413" s="599">
        <v>74</v>
      </c>
      <c r="I413" s="597" t="s">
        <v>300</v>
      </c>
      <c r="J413" s="595">
        <v>18</v>
      </c>
      <c r="K413" s="598">
        <v>0</v>
      </c>
      <c r="L413" s="716"/>
      <c r="M413" s="717"/>
      <c r="N413" s="718"/>
      <c r="O413" s="721"/>
      <c r="Q413" s="523"/>
    </row>
    <row r="414" spans="1:17" s="511" customFormat="1" ht="10.15" customHeight="1">
      <c r="A414" s="615"/>
      <c r="B414" s="527" t="s">
        <v>309</v>
      </c>
      <c r="C414" s="600">
        <v>2270</v>
      </c>
      <c r="D414" s="601">
        <v>43637</v>
      </c>
      <c r="E414" s="602" t="s">
        <v>304</v>
      </c>
      <c r="F414" s="602" t="s">
        <v>565</v>
      </c>
      <c r="G414" s="603">
        <v>959391</v>
      </c>
      <c r="H414" s="604">
        <v>52</v>
      </c>
      <c r="I414" s="602" t="s">
        <v>299</v>
      </c>
      <c r="J414" s="600">
        <v>40.045000000000002</v>
      </c>
      <c r="K414" s="603">
        <v>22.991</v>
      </c>
      <c r="L414" s="746">
        <f>SUM(J414:J419)</f>
        <v>449.63100000000003</v>
      </c>
      <c r="M414" s="748">
        <f>SUM(K414:K419)</f>
        <v>284.20999999999998</v>
      </c>
      <c r="N414" s="741">
        <f>L414-M414</f>
        <v>165.42100000000005</v>
      </c>
      <c r="O414" s="722">
        <f>+M414/L414</f>
        <v>0.63209609657697086</v>
      </c>
      <c r="Q414" s="523"/>
    </row>
    <row r="415" spans="1:17" s="511" customFormat="1" ht="10.15" customHeight="1">
      <c r="A415" s="615"/>
      <c r="B415" s="527" t="s">
        <v>309</v>
      </c>
      <c r="C415" s="600">
        <v>2270</v>
      </c>
      <c r="D415" s="601">
        <v>43637</v>
      </c>
      <c r="E415" s="602" t="s">
        <v>304</v>
      </c>
      <c r="F415" s="602" t="s">
        <v>565</v>
      </c>
      <c r="G415" s="603">
        <v>959391</v>
      </c>
      <c r="H415" s="604">
        <v>52</v>
      </c>
      <c r="I415" s="602" t="s">
        <v>300</v>
      </c>
      <c r="J415" s="600">
        <v>109.83199999999999</v>
      </c>
      <c r="K415" s="603">
        <v>39.448999999999998</v>
      </c>
      <c r="L415" s="746"/>
      <c r="M415" s="748"/>
      <c r="N415" s="741"/>
      <c r="O415" s="723"/>
      <c r="Q415" s="523"/>
    </row>
    <row r="416" spans="1:17" s="511" customFormat="1" ht="10.15" customHeight="1">
      <c r="A416" s="615"/>
      <c r="B416" s="527" t="s">
        <v>309</v>
      </c>
      <c r="C416" s="600">
        <v>2270</v>
      </c>
      <c r="D416" s="601">
        <v>43637</v>
      </c>
      <c r="E416" s="602" t="s">
        <v>304</v>
      </c>
      <c r="F416" s="602" t="s">
        <v>566</v>
      </c>
      <c r="G416" s="603">
        <v>966089</v>
      </c>
      <c r="H416" s="604">
        <v>52</v>
      </c>
      <c r="I416" s="602" t="s">
        <v>299</v>
      </c>
      <c r="J416" s="600">
        <v>40.045000000000002</v>
      </c>
      <c r="K416" s="603">
        <v>31.989000000000001</v>
      </c>
      <c r="L416" s="746"/>
      <c r="M416" s="748"/>
      <c r="N416" s="741"/>
      <c r="O416" s="723"/>
      <c r="Q416" s="523"/>
    </row>
    <row r="417" spans="1:17" s="511" customFormat="1" ht="10.15" customHeight="1">
      <c r="A417" s="615"/>
      <c r="B417" s="527" t="s">
        <v>309</v>
      </c>
      <c r="C417" s="600">
        <v>2270</v>
      </c>
      <c r="D417" s="601">
        <v>43637</v>
      </c>
      <c r="E417" s="602" t="s">
        <v>304</v>
      </c>
      <c r="F417" s="602" t="s">
        <v>566</v>
      </c>
      <c r="G417" s="603">
        <v>966089</v>
      </c>
      <c r="H417" s="604">
        <v>52</v>
      </c>
      <c r="I417" s="602" t="s">
        <v>300</v>
      </c>
      <c r="J417" s="600">
        <v>109.83199999999999</v>
      </c>
      <c r="K417" s="603">
        <v>58.546999999999997</v>
      </c>
      <c r="L417" s="746"/>
      <c r="M417" s="748"/>
      <c r="N417" s="741"/>
      <c r="O417" s="723"/>
      <c r="Q417" s="523"/>
    </row>
    <row r="418" spans="1:17" s="511" customFormat="1" ht="10.15" customHeight="1">
      <c r="A418" s="615"/>
      <c r="B418" s="527" t="s">
        <v>309</v>
      </c>
      <c r="C418" s="600">
        <v>2270</v>
      </c>
      <c r="D418" s="601">
        <v>43637</v>
      </c>
      <c r="E418" s="602" t="s">
        <v>304</v>
      </c>
      <c r="F418" s="602" t="s">
        <v>567</v>
      </c>
      <c r="G418" s="603">
        <v>963960</v>
      </c>
      <c r="H418" s="604">
        <v>52</v>
      </c>
      <c r="I418" s="602" t="s">
        <v>299</v>
      </c>
      <c r="J418" s="600">
        <v>40.045000000000002</v>
      </c>
      <c r="K418" s="603">
        <v>54.51</v>
      </c>
      <c r="L418" s="746"/>
      <c r="M418" s="748"/>
      <c r="N418" s="741"/>
      <c r="O418" s="723"/>
      <c r="Q418" s="523"/>
    </row>
    <row r="419" spans="1:17" s="511" customFormat="1" ht="10.15" customHeight="1">
      <c r="A419" s="615"/>
      <c r="B419" s="527" t="s">
        <v>309</v>
      </c>
      <c r="C419" s="600">
        <v>2270</v>
      </c>
      <c r="D419" s="601">
        <v>43637</v>
      </c>
      <c r="E419" s="602" t="s">
        <v>304</v>
      </c>
      <c r="F419" s="602" t="s">
        <v>567</v>
      </c>
      <c r="G419" s="603">
        <v>963960</v>
      </c>
      <c r="H419" s="604">
        <v>52</v>
      </c>
      <c r="I419" s="602" t="s">
        <v>300</v>
      </c>
      <c r="J419" s="600">
        <v>109.83199999999999</v>
      </c>
      <c r="K419" s="603">
        <v>76.724000000000004</v>
      </c>
      <c r="L419" s="746"/>
      <c r="M419" s="748"/>
      <c r="N419" s="741"/>
      <c r="O419" s="724"/>
      <c r="Q419" s="523"/>
    </row>
    <row r="420" spans="1:17" s="511" customFormat="1" ht="10.15" customHeight="1">
      <c r="A420" s="615"/>
      <c r="B420" s="527" t="s">
        <v>309</v>
      </c>
      <c r="C420" s="595">
        <v>2311</v>
      </c>
      <c r="D420" s="596">
        <v>43643</v>
      </c>
      <c r="E420" s="597" t="s">
        <v>304</v>
      </c>
      <c r="F420" s="597" t="s">
        <v>550</v>
      </c>
      <c r="G420" s="598">
        <v>966146</v>
      </c>
      <c r="H420" s="599">
        <v>16</v>
      </c>
      <c r="I420" s="597" t="s">
        <v>299</v>
      </c>
      <c r="J420" s="595">
        <v>7.0049999999999999</v>
      </c>
      <c r="K420" s="598">
        <v>0</v>
      </c>
      <c r="L420" s="716">
        <f>SUM(J420:J425)</f>
        <v>43.417000000000002</v>
      </c>
      <c r="M420" s="717">
        <f>SUM(K420:K425)</f>
        <v>0</v>
      </c>
      <c r="N420" s="718">
        <f>L420-M420</f>
        <v>43.417000000000002</v>
      </c>
      <c r="O420" s="722">
        <f>+M420/L420</f>
        <v>0</v>
      </c>
      <c r="Q420" s="523"/>
    </row>
    <row r="421" spans="1:17" s="511" customFormat="1" ht="10.15" customHeight="1">
      <c r="A421" s="615"/>
      <c r="B421" s="527" t="s">
        <v>309</v>
      </c>
      <c r="C421" s="595">
        <v>2311</v>
      </c>
      <c r="D421" s="596">
        <v>43643</v>
      </c>
      <c r="E421" s="597" t="s">
        <v>304</v>
      </c>
      <c r="F421" s="597" t="s">
        <v>550</v>
      </c>
      <c r="G421" s="598">
        <v>966146</v>
      </c>
      <c r="H421" s="599">
        <v>16</v>
      </c>
      <c r="I421" s="597" t="s">
        <v>300</v>
      </c>
      <c r="J421" s="595">
        <v>7.4660000000000002</v>
      </c>
      <c r="K421" s="598">
        <v>0</v>
      </c>
      <c r="L421" s="716"/>
      <c r="M421" s="717"/>
      <c r="N421" s="718"/>
      <c r="O421" s="723"/>
      <c r="Q421" s="523"/>
    </row>
    <row r="422" spans="1:17" s="511" customFormat="1" ht="10.15" customHeight="1">
      <c r="A422" s="615"/>
      <c r="B422" s="527" t="s">
        <v>309</v>
      </c>
      <c r="C422" s="595">
        <v>2311</v>
      </c>
      <c r="D422" s="596">
        <v>43643</v>
      </c>
      <c r="E422" s="597" t="s">
        <v>304</v>
      </c>
      <c r="F422" s="597" t="s">
        <v>383</v>
      </c>
      <c r="G422" s="598">
        <v>959370</v>
      </c>
      <c r="H422" s="599">
        <v>16</v>
      </c>
      <c r="I422" s="597" t="s">
        <v>299</v>
      </c>
      <c r="J422" s="595">
        <v>7.0060000000000002</v>
      </c>
      <c r="K422" s="598">
        <v>0</v>
      </c>
      <c r="L422" s="716"/>
      <c r="M422" s="717"/>
      <c r="N422" s="718"/>
      <c r="O422" s="723"/>
      <c r="Q422" s="523"/>
    </row>
    <row r="423" spans="1:17" s="511" customFormat="1" ht="10.15" customHeight="1">
      <c r="A423" s="615"/>
      <c r="B423" s="527" t="s">
        <v>309</v>
      </c>
      <c r="C423" s="595">
        <v>2311</v>
      </c>
      <c r="D423" s="596">
        <v>43643</v>
      </c>
      <c r="E423" s="597" t="s">
        <v>304</v>
      </c>
      <c r="F423" s="597" t="s">
        <v>383</v>
      </c>
      <c r="G423" s="598">
        <v>959370</v>
      </c>
      <c r="H423" s="599">
        <v>16</v>
      </c>
      <c r="I423" s="597" t="s">
        <v>300</v>
      </c>
      <c r="J423" s="595">
        <v>7.4669999999999996</v>
      </c>
      <c r="K423" s="598">
        <v>0</v>
      </c>
      <c r="L423" s="716"/>
      <c r="M423" s="717"/>
      <c r="N423" s="718"/>
      <c r="O423" s="723"/>
      <c r="Q423" s="523"/>
    </row>
    <row r="424" spans="1:17" s="511" customFormat="1" ht="10.15" customHeight="1">
      <c r="A424" s="615"/>
      <c r="B424" s="527" t="s">
        <v>309</v>
      </c>
      <c r="C424" s="595">
        <v>2311</v>
      </c>
      <c r="D424" s="596">
        <v>43643</v>
      </c>
      <c r="E424" s="597" t="s">
        <v>304</v>
      </c>
      <c r="F424" s="597" t="s">
        <v>568</v>
      </c>
      <c r="G424" s="598">
        <v>966600</v>
      </c>
      <c r="H424" s="599">
        <v>16</v>
      </c>
      <c r="I424" s="597" t="s">
        <v>299</v>
      </c>
      <c r="J424" s="595">
        <v>7.0060000000000002</v>
      </c>
      <c r="K424" s="598">
        <v>0</v>
      </c>
      <c r="L424" s="716"/>
      <c r="M424" s="717"/>
      <c r="N424" s="718"/>
      <c r="O424" s="723"/>
      <c r="Q424" s="523"/>
    </row>
    <row r="425" spans="1:17" s="511" customFormat="1" ht="10.15" customHeight="1">
      <c r="A425" s="615"/>
      <c r="B425" s="529" t="s">
        <v>309</v>
      </c>
      <c r="C425" s="595">
        <v>2311</v>
      </c>
      <c r="D425" s="596">
        <v>43643</v>
      </c>
      <c r="E425" s="597" t="s">
        <v>304</v>
      </c>
      <c r="F425" s="597" t="s">
        <v>568</v>
      </c>
      <c r="G425" s="598">
        <v>966600</v>
      </c>
      <c r="H425" s="599">
        <v>16</v>
      </c>
      <c r="I425" s="597" t="s">
        <v>300</v>
      </c>
      <c r="J425" s="595">
        <v>7.4669999999999996</v>
      </c>
      <c r="K425" s="598">
        <v>0</v>
      </c>
      <c r="L425" s="716"/>
      <c r="M425" s="717"/>
      <c r="N425" s="718"/>
      <c r="O425" s="724"/>
      <c r="Q425" s="523"/>
    </row>
    <row r="426" spans="1:17" s="511" customFormat="1" ht="10.15" customHeight="1">
      <c r="A426" s="615"/>
      <c r="B426" s="527" t="s">
        <v>309</v>
      </c>
      <c r="C426" s="595">
        <v>2445</v>
      </c>
      <c r="D426" s="596">
        <v>43651</v>
      </c>
      <c r="E426" s="597" t="s">
        <v>304</v>
      </c>
      <c r="F426" s="597" t="s">
        <v>550</v>
      </c>
      <c r="G426" s="598">
        <v>966146</v>
      </c>
      <c r="H426" s="599">
        <v>16</v>
      </c>
      <c r="I426" s="597" t="s">
        <v>299</v>
      </c>
      <c r="J426" s="595">
        <v>61.494</v>
      </c>
      <c r="K426" s="598">
        <v>0</v>
      </c>
      <c r="L426" s="701">
        <f>SUM(J426:J431)</f>
        <v>300.81799999999998</v>
      </c>
      <c r="M426" s="701">
        <f>SUM(K426:K431)</f>
        <v>0</v>
      </c>
      <c r="N426" s="702">
        <f>L426-M426</f>
        <v>300.81799999999998</v>
      </c>
      <c r="O426" s="703"/>
      <c r="Q426" s="523"/>
    </row>
    <row r="427" spans="1:17" s="511" customFormat="1" ht="10.15" customHeight="1">
      <c r="A427" s="615"/>
      <c r="B427" s="529" t="s">
        <v>309</v>
      </c>
      <c r="C427" s="595">
        <v>2445</v>
      </c>
      <c r="D427" s="596">
        <v>43651</v>
      </c>
      <c r="E427" s="597" t="s">
        <v>304</v>
      </c>
      <c r="F427" s="597" t="s">
        <v>550</v>
      </c>
      <c r="G427" s="598">
        <v>966146</v>
      </c>
      <c r="H427" s="599">
        <v>16</v>
      </c>
      <c r="I427" s="597" t="s">
        <v>300</v>
      </c>
      <c r="J427" s="595">
        <v>38.779000000000003</v>
      </c>
      <c r="K427" s="598">
        <v>0</v>
      </c>
      <c r="L427" s="701"/>
      <c r="M427" s="701"/>
      <c r="N427" s="702"/>
      <c r="O427" s="703"/>
      <c r="Q427" s="523"/>
    </row>
    <row r="428" spans="1:17" s="511" customFormat="1" ht="10.15" customHeight="1">
      <c r="A428" s="615"/>
      <c r="B428" s="527" t="s">
        <v>309</v>
      </c>
      <c r="C428" s="595">
        <v>2445</v>
      </c>
      <c r="D428" s="596">
        <v>43651</v>
      </c>
      <c r="E428" s="597" t="s">
        <v>304</v>
      </c>
      <c r="F428" s="597" t="s">
        <v>383</v>
      </c>
      <c r="G428" s="598">
        <v>959370</v>
      </c>
      <c r="H428" s="599">
        <v>16</v>
      </c>
      <c r="I428" s="597" t="s">
        <v>299</v>
      </c>
      <c r="J428" s="595">
        <v>61.494999999999997</v>
      </c>
      <c r="K428" s="598">
        <v>0</v>
      </c>
      <c r="L428" s="701"/>
      <c r="M428" s="701"/>
      <c r="N428" s="702"/>
      <c r="O428" s="703"/>
      <c r="Q428" s="523"/>
    </row>
    <row r="429" spans="1:17" s="511" customFormat="1" ht="10.15" customHeight="1">
      <c r="A429" s="615"/>
      <c r="B429" s="529" t="s">
        <v>309</v>
      </c>
      <c r="C429" s="595">
        <v>2445</v>
      </c>
      <c r="D429" s="596">
        <v>43651</v>
      </c>
      <c r="E429" s="597" t="s">
        <v>304</v>
      </c>
      <c r="F429" s="597" t="s">
        <v>383</v>
      </c>
      <c r="G429" s="598">
        <v>959370</v>
      </c>
      <c r="H429" s="599">
        <v>16</v>
      </c>
      <c r="I429" s="597" t="s">
        <v>300</v>
      </c>
      <c r="J429" s="595">
        <v>38.777999999999999</v>
      </c>
      <c r="K429" s="598">
        <v>0</v>
      </c>
      <c r="L429" s="701"/>
      <c r="M429" s="701"/>
      <c r="N429" s="702"/>
      <c r="O429" s="703"/>
      <c r="Q429" s="523"/>
    </row>
    <row r="430" spans="1:17" s="511" customFormat="1" ht="10.15" customHeight="1">
      <c r="A430" s="615"/>
      <c r="B430" s="527" t="s">
        <v>309</v>
      </c>
      <c r="C430" s="595">
        <v>2445</v>
      </c>
      <c r="D430" s="596">
        <v>43651</v>
      </c>
      <c r="E430" s="597" t="s">
        <v>304</v>
      </c>
      <c r="F430" s="597" t="s">
        <v>568</v>
      </c>
      <c r="G430" s="598">
        <v>966600</v>
      </c>
      <c r="H430" s="599">
        <v>16</v>
      </c>
      <c r="I430" s="597" t="s">
        <v>299</v>
      </c>
      <c r="J430" s="595">
        <v>61.494</v>
      </c>
      <c r="K430" s="598">
        <v>0</v>
      </c>
      <c r="L430" s="701"/>
      <c r="M430" s="701"/>
      <c r="N430" s="702"/>
      <c r="O430" s="703"/>
      <c r="Q430" s="523"/>
    </row>
    <row r="431" spans="1:17" s="511" customFormat="1" ht="10.15" customHeight="1">
      <c r="A431" s="615"/>
      <c r="B431" s="529" t="s">
        <v>309</v>
      </c>
      <c r="C431" s="595">
        <v>2445</v>
      </c>
      <c r="D431" s="596">
        <v>43651</v>
      </c>
      <c r="E431" s="597" t="s">
        <v>304</v>
      </c>
      <c r="F431" s="597" t="s">
        <v>568</v>
      </c>
      <c r="G431" s="598">
        <v>966600</v>
      </c>
      <c r="H431" s="599">
        <v>16</v>
      </c>
      <c r="I431" s="597" t="s">
        <v>300</v>
      </c>
      <c r="J431" s="595">
        <v>38.777999999999999</v>
      </c>
      <c r="K431" s="598">
        <v>0</v>
      </c>
      <c r="L431" s="701"/>
      <c r="M431" s="701"/>
      <c r="N431" s="702"/>
      <c r="O431" s="703"/>
      <c r="Q431" s="523"/>
    </row>
    <row r="432" spans="1:17" s="511" customFormat="1" ht="10.15" customHeight="1">
      <c r="A432" s="615"/>
      <c r="B432" s="527" t="s">
        <v>309</v>
      </c>
      <c r="C432" s="595">
        <v>114</v>
      </c>
      <c r="D432" s="596">
        <v>43654</v>
      </c>
      <c r="E432" s="597" t="s">
        <v>303</v>
      </c>
      <c r="F432" s="597" t="s">
        <v>310</v>
      </c>
      <c r="G432" s="598">
        <v>957800</v>
      </c>
      <c r="H432" s="599">
        <v>12</v>
      </c>
      <c r="I432" s="597" t="s">
        <v>299</v>
      </c>
      <c r="J432" s="595">
        <v>4</v>
      </c>
      <c r="K432" s="598">
        <v>0</v>
      </c>
      <c r="L432" s="704">
        <f>SUM(J432:J445)</f>
        <v>75.499999999999986</v>
      </c>
      <c r="M432" s="704">
        <f t="shared" ref="M432" si="54">SUM(K432:K445)</f>
        <v>0</v>
      </c>
      <c r="N432" s="705">
        <f>L432-M432</f>
        <v>75.499999999999986</v>
      </c>
      <c r="O432" s="706"/>
      <c r="Q432" s="523"/>
    </row>
    <row r="433" spans="1:17" s="511" customFormat="1" ht="10.15" customHeight="1">
      <c r="A433" s="615"/>
      <c r="B433" s="529" t="s">
        <v>309</v>
      </c>
      <c r="C433" s="595">
        <v>114</v>
      </c>
      <c r="D433" s="596">
        <v>43654</v>
      </c>
      <c r="E433" s="597" t="s">
        <v>303</v>
      </c>
      <c r="F433" s="597" t="s">
        <v>310</v>
      </c>
      <c r="G433" s="598">
        <v>957800</v>
      </c>
      <c r="H433" s="599">
        <v>12</v>
      </c>
      <c r="I433" s="597" t="s">
        <v>300</v>
      </c>
      <c r="J433" s="595">
        <v>6.7850000000000001</v>
      </c>
      <c r="K433" s="598">
        <v>0</v>
      </c>
      <c r="L433" s="704"/>
      <c r="M433" s="704"/>
      <c r="N433" s="705"/>
      <c r="O433" s="706"/>
      <c r="Q433" s="523"/>
    </row>
    <row r="434" spans="1:17" s="511" customFormat="1" ht="10.15" customHeight="1">
      <c r="A434" s="615"/>
      <c r="B434" s="527" t="s">
        <v>309</v>
      </c>
      <c r="C434" s="595">
        <v>114</v>
      </c>
      <c r="D434" s="596">
        <v>43654</v>
      </c>
      <c r="E434" s="597" t="s">
        <v>303</v>
      </c>
      <c r="F434" s="597" t="s">
        <v>311</v>
      </c>
      <c r="G434" s="598">
        <v>963943</v>
      </c>
      <c r="H434" s="599">
        <v>12</v>
      </c>
      <c r="I434" s="597" t="s">
        <v>299</v>
      </c>
      <c r="J434" s="595">
        <v>4</v>
      </c>
      <c r="K434" s="598">
        <v>0</v>
      </c>
      <c r="L434" s="704"/>
      <c r="M434" s="704"/>
      <c r="N434" s="705"/>
      <c r="O434" s="706"/>
      <c r="Q434" s="523"/>
    </row>
    <row r="435" spans="1:17" s="511" customFormat="1" ht="10.15" customHeight="1">
      <c r="A435" s="615"/>
      <c r="B435" s="529" t="s">
        <v>309</v>
      </c>
      <c r="C435" s="595">
        <v>114</v>
      </c>
      <c r="D435" s="596">
        <v>43654</v>
      </c>
      <c r="E435" s="597" t="s">
        <v>303</v>
      </c>
      <c r="F435" s="597" t="s">
        <v>311</v>
      </c>
      <c r="G435" s="598">
        <v>963943</v>
      </c>
      <c r="H435" s="599">
        <v>12</v>
      </c>
      <c r="I435" s="597" t="s">
        <v>300</v>
      </c>
      <c r="J435" s="595">
        <v>6.7850000000000001</v>
      </c>
      <c r="K435" s="598">
        <v>0</v>
      </c>
      <c r="L435" s="704"/>
      <c r="M435" s="704"/>
      <c r="N435" s="705"/>
      <c r="O435" s="706"/>
      <c r="Q435" s="523"/>
    </row>
    <row r="436" spans="1:17" s="511" customFormat="1" ht="10.15" customHeight="1">
      <c r="A436" s="615"/>
      <c r="B436" s="527" t="s">
        <v>309</v>
      </c>
      <c r="C436" s="595">
        <v>114</v>
      </c>
      <c r="D436" s="596">
        <v>43654</v>
      </c>
      <c r="E436" s="597" t="s">
        <v>303</v>
      </c>
      <c r="F436" s="597" t="s">
        <v>323</v>
      </c>
      <c r="G436" s="598">
        <v>966995</v>
      </c>
      <c r="H436" s="599">
        <v>56</v>
      </c>
      <c r="I436" s="597" t="s">
        <v>299</v>
      </c>
      <c r="J436" s="595">
        <v>4</v>
      </c>
      <c r="K436" s="598">
        <v>0</v>
      </c>
      <c r="L436" s="704"/>
      <c r="M436" s="704"/>
      <c r="N436" s="705"/>
      <c r="O436" s="706"/>
      <c r="Q436" s="523"/>
    </row>
    <row r="437" spans="1:17" s="511" customFormat="1" ht="10.15" customHeight="1">
      <c r="A437" s="615"/>
      <c r="B437" s="529" t="s">
        <v>309</v>
      </c>
      <c r="C437" s="595">
        <v>114</v>
      </c>
      <c r="D437" s="596">
        <v>43654</v>
      </c>
      <c r="E437" s="597" t="s">
        <v>303</v>
      </c>
      <c r="F437" s="597" t="s">
        <v>323</v>
      </c>
      <c r="G437" s="598">
        <v>966995</v>
      </c>
      <c r="H437" s="599">
        <v>56</v>
      </c>
      <c r="I437" s="597" t="s">
        <v>300</v>
      </c>
      <c r="J437" s="595">
        <v>6.79</v>
      </c>
      <c r="K437" s="598">
        <v>0</v>
      </c>
      <c r="L437" s="704"/>
      <c r="M437" s="704"/>
      <c r="N437" s="705"/>
      <c r="O437" s="706"/>
      <c r="Q437" s="523"/>
    </row>
    <row r="438" spans="1:17" s="511" customFormat="1" ht="10.15" customHeight="1">
      <c r="A438" s="615"/>
      <c r="B438" s="527" t="s">
        <v>309</v>
      </c>
      <c r="C438" s="595">
        <v>114</v>
      </c>
      <c r="D438" s="596">
        <v>43654</v>
      </c>
      <c r="E438" s="597" t="s">
        <v>303</v>
      </c>
      <c r="F438" s="597" t="s">
        <v>332</v>
      </c>
      <c r="G438" s="598">
        <v>967145</v>
      </c>
      <c r="H438" s="599">
        <v>57</v>
      </c>
      <c r="I438" s="597" t="s">
        <v>299</v>
      </c>
      <c r="J438" s="595">
        <v>4</v>
      </c>
      <c r="K438" s="598">
        <v>0</v>
      </c>
      <c r="L438" s="704"/>
      <c r="M438" s="704"/>
      <c r="N438" s="705"/>
      <c r="O438" s="706"/>
      <c r="Q438" s="523"/>
    </row>
    <row r="439" spans="1:17" s="511" customFormat="1" ht="10.15" customHeight="1">
      <c r="A439" s="615"/>
      <c r="B439" s="529" t="s">
        <v>309</v>
      </c>
      <c r="C439" s="595">
        <v>114</v>
      </c>
      <c r="D439" s="596">
        <v>43654</v>
      </c>
      <c r="E439" s="597" t="s">
        <v>303</v>
      </c>
      <c r="F439" s="597" t="s">
        <v>332</v>
      </c>
      <c r="G439" s="598">
        <v>967145</v>
      </c>
      <c r="H439" s="599">
        <v>57</v>
      </c>
      <c r="I439" s="597" t="s">
        <v>300</v>
      </c>
      <c r="J439" s="595">
        <v>6.7850000000000001</v>
      </c>
      <c r="K439" s="598">
        <v>0</v>
      </c>
      <c r="L439" s="704"/>
      <c r="M439" s="704"/>
      <c r="N439" s="705"/>
      <c r="O439" s="706"/>
      <c r="Q439" s="523"/>
    </row>
    <row r="440" spans="1:17" s="511" customFormat="1" ht="10.15" customHeight="1">
      <c r="A440" s="615"/>
      <c r="B440" s="527" t="s">
        <v>309</v>
      </c>
      <c r="C440" s="595">
        <v>114</v>
      </c>
      <c r="D440" s="596">
        <v>43654</v>
      </c>
      <c r="E440" s="597" t="s">
        <v>303</v>
      </c>
      <c r="F440" s="597" t="s">
        <v>312</v>
      </c>
      <c r="G440" s="598">
        <v>967281</v>
      </c>
      <c r="H440" s="599">
        <v>74</v>
      </c>
      <c r="I440" s="597" t="s">
        <v>299</v>
      </c>
      <c r="J440" s="595">
        <v>4</v>
      </c>
      <c r="K440" s="598">
        <v>0</v>
      </c>
      <c r="L440" s="704"/>
      <c r="M440" s="704"/>
      <c r="N440" s="705"/>
      <c r="O440" s="706"/>
      <c r="Q440" s="523"/>
    </row>
    <row r="441" spans="1:17" s="511" customFormat="1" ht="10.15" customHeight="1">
      <c r="A441" s="615"/>
      <c r="B441" s="529" t="s">
        <v>309</v>
      </c>
      <c r="C441" s="595">
        <v>114</v>
      </c>
      <c r="D441" s="596">
        <v>43654</v>
      </c>
      <c r="E441" s="597" t="s">
        <v>303</v>
      </c>
      <c r="F441" s="597" t="s">
        <v>312</v>
      </c>
      <c r="G441" s="598">
        <v>967281</v>
      </c>
      <c r="H441" s="599">
        <v>74</v>
      </c>
      <c r="I441" s="597" t="s">
        <v>300</v>
      </c>
      <c r="J441" s="595">
        <v>6.7850000000000001</v>
      </c>
      <c r="K441" s="598">
        <v>0</v>
      </c>
      <c r="L441" s="704"/>
      <c r="M441" s="704"/>
      <c r="N441" s="705"/>
      <c r="O441" s="706"/>
      <c r="Q441" s="523"/>
    </row>
    <row r="442" spans="1:17" s="511" customFormat="1" ht="10.15" customHeight="1">
      <c r="A442" s="615"/>
      <c r="B442" s="527" t="s">
        <v>309</v>
      </c>
      <c r="C442" s="595">
        <v>114</v>
      </c>
      <c r="D442" s="596">
        <v>43654</v>
      </c>
      <c r="E442" s="597" t="s">
        <v>303</v>
      </c>
      <c r="F442" s="597" t="s">
        <v>313</v>
      </c>
      <c r="G442" s="598">
        <v>904281</v>
      </c>
      <c r="H442" s="599">
        <v>74</v>
      </c>
      <c r="I442" s="597" t="s">
        <v>299</v>
      </c>
      <c r="J442" s="595">
        <v>4</v>
      </c>
      <c r="K442" s="598">
        <v>0</v>
      </c>
      <c r="L442" s="704"/>
      <c r="M442" s="704"/>
      <c r="N442" s="705"/>
      <c r="O442" s="706"/>
      <c r="Q442" s="523"/>
    </row>
    <row r="443" spans="1:17" s="511" customFormat="1" ht="10.15" customHeight="1">
      <c r="A443" s="615"/>
      <c r="B443" s="529" t="s">
        <v>309</v>
      </c>
      <c r="C443" s="595">
        <v>114</v>
      </c>
      <c r="D443" s="596">
        <v>43654</v>
      </c>
      <c r="E443" s="597" t="s">
        <v>303</v>
      </c>
      <c r="F443" s="597" t="s">
        <v>313</v>
      </c>
      <c r="G443" s="598">
        <v>904281</v>
      </c>
      <c r="H443" s="599">
        <v>74</v>
      </c>
      <c r="I443" s="597" t="s">
        <v>300</v>
      </c>
      <c r="J443" s="595">
        <v>6.7850000000000001</v>
      </c>
      <c r="K443" s="598">
        <v>0</v>
      </c>
      <c r="L443" s="704"/>
      <c r="M443" s="704"/>
      <c r="N443" s="705"/>
      <c r="O443" s="706"/>
      <c r="Q443" s="523"/>
    </row>
    <row r="444" spans="1:17" s="511" customFormat="1" ht="10.15" customHeight="1">
      <c r="A444" s="615"/>
      <c r="B444" s="527" t="s">
        <v>309</v>
      </c>
      <c r="C444" s="595">
        <v>114</v>
      </c>
      <c r="D444" s="596">
        <v>43654</v>
      </c>
      <c r="E444" s="597" t="s">
        <v>303</v>
      </c>
      <c r="F444" s="597" t="s">
        <v>314</v>
      </c>
      <c r="G444" s="598">
        <v>967342</v>
      </c>
      <c r="H444" s="599">
        <v>74</v>
      </c>
      <c r="I444" s="597" t="s">
        <v>299</v>
      </c>
      <c r="J444" s="595">
        <v>4</v>
      </c>
      <c r="K444" s="598">
        <v>0</v>
      </c>
      <c r="L444" s="704"/>
      <c r="M444" s="704"/>
      <c r="N444" s="705"/>
      <c r="O444" s="706"/>
      <c r="Q444" s="523"/>
    </row>
    <row r="445" spans="1:17" s="511" customFormat="1" ht="10.15" customHeight="1">
      <c r="A445" s="615"/>
      <c r="B445" s="529" t="s">
        <v>309</v>
      </c>
      <c r="C445" s="595">
        <v>114</v>
      </c>
      <c r="D445" s="596">
        <v>43654</v>
      </c>
      <c r="E445" s="597" t="s">
        <v>303</v>
      </c>
      <c r="F445" s="597" t="s">
        <v>314</v>
      </c>
      <c r="G445" s="598">
        <v>967342</v>
      </c>
      <c r="H445" s="599">
        <v>74</v>
      </c>
      <c r="I445" s="597" t="s">
        <v>300</v>
      </c>
      <c r="J445" s="595">
        <v>6.7850000000000001</v>
      </c>
      <c r="K445" s="598">
        <v>0</v>
      </c>
      <c r="L445" s="704"/>
      <c r="M445" s="704"/>
      <c r="N445" s="705"/>
      <c r="O445" s="706"/>
      <c r="Q445" s="523"/>
    </row>
    <row r="446" spans="1:17" s="511" customFormat="1" ht="10.15" customHeight="1">
      <c r="A446" s="615"/>
      <c r="B446" s="527" t="s">
        <v>309</v>
      </c>
      <c r="C446" s="595">
        <v>116</v>
      </c>
      <c r="D446" s="596">
        <v>43655</v>
      </c>
      <c r="E446" s="597" t="s">
        <v>303</v>
      </c>
      <c r="F446" s="597" t="s">
        <v>310</v>
      </c>
      <c r="G446" s="598">
        <v>957800</v>
      </c>
      <c r="H446" s="599">
        <v>12</v>
      </c>
      <c r="I446" s="597" t="s">
        <v>299</v>
      </c>
      <c r="J446" s="595">
        <v>4.8330000000000002</v>
      </c>
      <c r="K446" s="598">
        <v>0</v>
      </c>
      <c r="L446" s="707">
        <f>SUM(J446:J457)</f>
        <v>105</v>
      </c>
      <c r="M446" s="707">
        <f>SUM(K446:K457)</f>
        <v>0</v>
      </c>
      <c r="N446" s="709">
        <f>L446-M446</f>
        <v>105</v>
      </c>
      <c r="O446" s="711"/>
      <c r="Q446" s="523"/>
    </row>
    <row r="447" spans="1:17" s="511" customFormat="1" ht="10.15" customHeight="1">
      <c r="A447" s="615"/>
      <c r="B447" s="529" t="s">
        <v>309</v>
      </c>
      <c r="C447" s="595">
        <v>116</v>
      </c>
      <c r="D447" s="596">
        <v>43655</v>
      </c>
      <c r="E447" s="597" t="s">
        <v>303</v>
      </c>
      <c r="F447" s="597" t="s">
        <v>310</v>
      </c>
      <c r="G447" s="598">
        <v>957800</v>
      </c>
      <c r="H447" s="599">
        <v>12</v>
      </c>
      <c r="I447" s="597" t="s">
        <v>300</v>
      </c>
      <c r="J447" s="595">
        <v>12.666</v>
      </c>
      <c r="K447" s="598">
        <v>0</v>
      </c>
      <c r="L447" s="708"/>
      <c r="M447" s="708"/>
      <c r="N447" s="710"/>
      <c r="O447" s="712"/>
      <c r="Q447" s="523"/>
    </row>
    <row r="448" spans="1:17" s="511" customFormat="1" ht="10.15" customHeight="1">
      <c r="A448" s="615"/>
      <c r="B448" s="527" t="s">
        <v>309</v>
      </c>
      <c r="C448" s="595">
        <v>116</v>
      </c>
      <c r="D448" s="596">
        <v>43655</v>
      </c>
      <c r="E448" s="597" t="s">
        <v>303</v>
      </c>
      <c r="F448" s="597" t="s">
        <v>311</v>
      </c>
      <c r="G448" s="598">
        <v>963943</v>
      </c>
      <c r="H448" s="599">
        <v>12</v>
      </c>
      <c r="I448" s="597" t="s">
        <v>299</v>
      </c>
      <c r="J448" s="595">
        <v>4.8330000000000002</v>
      </c>
      <c r="K448" s="598">
        <v>0</v>
      </c>
      <c r="L448" s="708"/>
      <c r="M448" s="708"/>
      <c r="N448" s="710"/>
      <c r="O448" s="712"/>
      <c r="Q448" s="523"/>
    </row>
    <row r="449" spans="1:17" s="511" customFormat="1" ht="10.15" customHeight="1">
      <c r="A449" s="615"/>
      <c r="B449" s="529" t="s">
        <v>309</v>
      </c>
      <c r="C449" s="595">
        <v>116</v>
      </c>
      <c r="D449" s="596">
        <v>43655</v>
      </c>
      <c r="E449" s="597" t="s">
        <v>303</v>
      </c>
      <c r="F449" s="597" t="s">
        <v>311</v>
      </c>
      <c r="G449" s="598">
        <v>963943</v>
      </c>
      <c r="H449" s="599">
        <v>12</v>
      </c>
      <c r="I449" s="597" t="s">
        <v>300</v>
      </c>
      <c r="J449" s="595">
        <v>12.666</v>
      </c>
      <c r="K449" s="598">
        <v>0</v>
      </c>
      <c r="L449" s="708"/>
      <c r="M449" s="708"/>
      <c r="N449" s="710"/>
      <c r="O449" s="712"/>
      <c r="Q449" s="523"/>
    </row>
    <row r="450" spans="1:17" s="511" customFormat="1" ht="10.15" customHeight="1">
      <c r="A450" s="615"/>
      <c r="B450" s="527" t="s">
        <v>309</v>
      </c>
      <c r="C450" s="595">
        <v>116</v>
      </c>
      <c r="D450" s="596">
        <v>43655</v>
      </c>
      <c r="E450" s="597" t="s">
        <v>303</v>
      </c>
      <c r="F450" s="597" t="s">
        <v>322</v>
      </c>
      <c r="G450" s="598">
        <v>964576</v>
      </c>
      <c r="H450" s="599">
        <v>56</v>
      </c>
      <c r="I450" s="597" t="s">
        <v>299</v>
      </c>
      <c r="J450" s="595">
        <v>4.835</v>
      </c>
      <c r="K450" s="598">
        <v>0</v>
      </c>
      <c r="L450" s="708"/>
      <c r="M450" s="708"/>
      <c r="N450" s="710"/>
      <c r="O450" s="712"/>
      <c r="Q450" s="523"/>
    </row>
    <row r="451" spans="1:17" s="511" customFormat="1" ht="10.15" customHeight="1">
      <c r="A451" s="615"/>
      <c r="B451" s="529" t="s">
        <v>309</v>
      </c>
      <c r="C451" s="595">
        <v>116</v>
      </c>
      <c r="D451" s="596">
        <v>43655</v>
      </c>
      <c r="E451" s="597" t="s">
        <v>303</v>
      </c>
      <c r="F451" s="597" t="s">
        <v>322</v>
      </c>
      <c r="G451" s="598">
        <v>964576</v>
      </c>
      <c r="H451" s="599">
        <v>56</v>
      </c>
      <c r="I451" s="597" t="s">
        <v>300</v>
      </c>
      <c r="J451" s="595">
        <v>12.67</v>
      </c>
      <c r="K451" s="598">
        <v>0</v>
      </c>
      <c r="L451" s="708"/>
      <c r="M451" s="708"/>
      <c r="N451" s="710"/>
      <c r="O451" s="712"/>
      <c r="Q451" s="523"/>
    </row>
    <row r="452" spans="1:17" s="511" customFormat="1" ht="10.15" customHeight="1">
      <c r="A452" s="615"/>
      <c r="B452" s="527" t="s">
        <v>309</v>
      </c>
      <c r="C452" s="595">
        <v>116</v>
      </c>
      <c r="D452" s="596">
        <v>43655</v>
      </c>
      <c r="E452" s="597" t="s">
        <v>303</v>
      </c>
      <c r="F452" s="597" t="s">
        <v>312</v>
      </c>
      <c r="G452" s="598">
        <v>967281</v>
      </c>
      <c r="H452" s="599">
        <v>74</v>
      </c>
      <c r="I452" s="597" t="s">
        <v>299</v>
      </c>
      <c r="J452" s="595">
        <v>4.8330000000000002</v>
      </c>
      <c r="K452" s="598">
        <v>0</v>
      </c>
      <c r="L452" s="708"/>
      <c r="M452" s="708"/>
      <c r="N452" s="710"/>
      <c r="O452" s="712"/>
      <c r="Q452" s="523"/>
    </row>
    <row r="453" spans="1:17" s="511" customFormat="1" ht="10.15" customHeight="1">
      <c r="A453" s="615"/>
      <c r="B453" s="529" t="s">
        <v>309</v>
      </c>
      <c r="C453" s="595">
        <v>116</v>
      </c>
      <c r="D453" s="596">
        <v>43655</v>
      </c>
      <c r="E453" s="597" t="s">
        <v>303</v>
      </c>
      <c r="F453" s="597" t="s">
        <v>312</v>
      </c>
      <c r="G453" s="598">
        <v>967281</v>
      </c>
      <c r="H453" s="599">
        <v>74</v>
      </c>
      <c r="I453" s="597" t="s">
        <v>300</v>
      </c>
      <c r="J453" s="595">
        <v>12.666</v>
      </c>
      <c r="K453" s="598">
        <v>0</v>
      </c>
      <c r="L453" s="708"/>
      <c r="M453" s="708"/>
      <c r="N453" s="710"/>
      <c r="O453" s="712"/>
      <c r="Q453" s="523"/>
    </row>
    <row r="454" spans="1:17" s="511" customFormat="1" ht="10.15" customHeight="1">
      <c r="A454" s="615"/>
      <c r="B454" s="527" t="s">
        <v>309</v>
      </c>
      <c r="C454" s="595">
        <v>116</v>
      </c>
      <c r="D454" s="596">
        <v>43655</v>
      </c>
      <c r="E454" s="597" t="s">
        <v>303</v>
      </c>
      <c r="F454" s="597" t="s">
        <v>313</v>
      </c>
      <c r="G454" s="598">
        <v>904281</v>
      </c>
      <c r="H454" s="599">
        <v>74</v>
      </c>
      <c r="I454" s="597" t="s">
        <v>299</v>
      </c>
      <c r="J454" s="595">
        <v>4.8330000000000002</v>
      </c>
      <c r="K454" s="598">
        <v>0</v>
      </c>
      <c r="L454" s="708"/>
      <c r="M454" s="708"/>
      <c r="N454" s="710"/>
      <c r="O454" s="712"/>
      <c r="Q454" s="523"/>
    </row>
    <row r="455" spans="1:17" s="511" customFormat="1" ht="10.15" customHeight="1">
      <c r="A455" s="615"/>
      <c r="B455" s="529" t="s">
        <v>309</v>
      </c>
      <c r="C455" s="595">
        <v>116</v>
      </c>
      <c r="D455" s="596">
        <v>43655</v>
      </c>
      <c r="E455" s="597" t="s">
        <v>303</v>
      </c>
      <c r="F455" s="597" t="s">
        <v>313</v>
      </c>
      <c r="G455" s="598">
        <v>904281</v>
      </c>
      <c r="H455" s="599">
        <v>74</v>
      </c>
      <c r="I455" s="597" t="s">
        <v>300</v>
      </c>
      <c r="J455" s="595">
        <v>12.666</v>
      </c>
      <c r="K455" s="598">
        <v>0</v>
      </c>
      <c r="L455" s="708"/>
      <c r="M455" s="708"/>
      <c r="N455" s="710"/>
      <c r="O455" s="712"/>
      <c r="Q455" s="523"/>
    </row>
    <row r="456" spans="1:17" s="511" customFormat="1" ht="10.15" customHeight="1">
      <c r="A456" s="615"/>
      <c r="B456" s="527" t="s">
        <v>309</v>
      </c>
      <c r="C456" s="595">
        <v>116</v>
      </c>
      <c r="D456" s="596">
        <v>43655</v>
      </c>
      <c r="E456" s="597" t="s">
        <v>303</v>
      </c>
      <c r="F456" s="597" t="s">
        <v>314</v>
      </c>
      <c r="G456" s="598">
        <v>967342</v>
      </c>
      <c r="H456" s="599">
        <v>74</v>
      </c>
      <c r="I456" s="597" t="s">
        <v>299</v>
      </c>
      <c r="J456" s="595">
        <v>4.8330000000000002</v>
      </c>
      <c r="K456" s="598">
        <v>0</v>
      </c>
      <c r="L456" s="708"/>
      <c r="M456" s="708"/>
      <c r="N456" s="710"/>
      <c r="O456" s="712"/>
      <c r="Q456" s="523"/>
    </row>
    <row r="457" spans="1:17" s="511" customFormat="1" ht="10.15" customHeight="1">
      <c r="A457" s="615"/>
      <c r="B457" s="529" t="s">
        <v>309</v>
      </c>
      <c r="C457" s="595">
        <v>116</v>
      </c>
      <c r="D457" s="596">
        <v>43655</v>
      </c>
      <c r="E457" s="597" t="s">
        <v>303</v>
      </c>
      <c r="F457" s="597" t="s">
        <v>314</v>
      </c>
      <c r="G457" s="598">
        <v>967342</v>
      </c>
      <c r="H457" s="599">
        <v>74</v>
      </c>
      <c r="I457" s="597" t="s">
        <v>300</v>
      </c>
      <c r="J457" s="595">
        <v>12.666</v>
      </c>
      <c r="K457" s="598">
        <v>0</v>
      </c>
      <c r="L457" s="708"/>
      <c r="M457" s="708"/>
      <c r="N457" s="710"/>
      <c r="O457" s="712"/>
      <c r="Q457" s="523"/>
    </row>
    <row r="458" spans="1:17" s="511" customFormat="1" ht="10.15" customHeight="1">
      <c r="A458" s="615"/>
      <c r="B458" s="527" t="s">
        <v>309</v>
      </c>
      <c r="C458" s="595">
        <v>118</v>
      </c>
      <c r="D458" s="596">
        <v>43656</v>
      </c>
      <c r="E458" s="597" t="s">
        <v>303</v>
      </c>
      <c r="F458" s="597" t="s">
        <v>310</v>
      </c>
      <c r="G458" s="598">
        <v>957800</v>
      </c>
      <c r="H458" s="599">
        <v>12</v>
      </c>
      <c r="I458" s="597" t="s">
        <v>299</v>
      </c>
      <c r="J458" s="595">
        <v>0.1</v>
      </c>
      <c r="K458" s="598">
        <v>0</v>
      </c>
      <c r="L458" s="713">
        <f>SUM(J458:J467)</f>
        <v>20.5</v>
      </c>
      <c r="M458" s="713">
        <f t="shared" ref="M458" si="55">SUM(K458:K467)</f>
        <v>0</v>
      </c>
      <c r="N458" s="714">
        <f>L458-M458</f>
        <v>20.5</v>
      </c>
      <c r="O458" s="715"/>
      <c r="Q458" s="523"/>
    </row>
    <row r="459" spans="1:17" s="511" customFormat="1" ht="10.15" customHeight="1">
      <c r="A459" s="615"/>
      <c r="B459" s="529" t="s">
        <v>309</v>
      </c>
      <c r="C459" s="595">
        <v>118</v>
      </c>
      <c r="D459" s="596">
        <v>43656</v>
      </c>
      <c r="E459" s="597" t="s">
        <v>303</v>
      </c>
      <c r="F459" s="597" t="s">
        <v>310</v>
      </c>
      <c r="G459" s="598">
        <v>957800</v>
      </c>
      <c r="H459" s="599">
        <v>12</v>
      </c>
      <c r="I459" s="597" t="s">
        <v>300</v>
      </c>
      <c r="J459" s="595">
        <v>4</v>
      </c>
      <c r="K459" s="598">
        <v>0</v>
      </c>
      <c r="L459" s="713"/>
      <c r="M459" s="713"/>
      <c r="N459" s="714"/>
      <c r="O459" s="715"/>
      <c r="Q459" s="523"/>
    </row>
    <row r="460" spans="1:17" s="511" customFormat="1" ht="10.15" customHeight="1">
      <c r="A460" s="615"/>
      <c r="B460" s="527" t="s">
        <v>309</v>
      </c>
      <c r="C460" s="595">
        <v>118</v>
      </c>
      <c r="D460" s="596">
        <v>43656</v>
      </c>
      <c r="E460" s="597" t="s">
        <v>303</v>
      </c>
      <c r="F460" s="597" t="s">
        <v>311</v>
      </c>
      <c r="G460" s="598">
        <v>963943</v>
      </c>
      <c r="H460" s="599">
        <v>12</v>
      </c>
      <c r="I460" s="597" t="s">
        <v>299</v>
      </c>
      <c r="J460" s="595">
        <v>0.1</v>
      </c>
      <c r="K460" s="598">
        <v>0</v>
      </c>
      <c r="L460" s="713"/>
      <c r="M460" s="713"/>
      <c r="N460" s="714"/>
      <c r="O460" s="715"/>
      <c r="Q460" s="523"/>
    </row>
    <row r="461" spans="1:17" s="511" customFormat="1" ht="10.15" customHeight="1">
      <c r="A461" s="615"/>
      <c r="B461" s="529" t="s">
        <v>309</v>
      </c>
      <c r="C461" s="595">
        <v>118</v>
      </c>
      <c r="D461" s="596">
        <v>43656</v>
      </c>
      <c r="E461" s="597" t="s">
        <v>303</v>
      </c>
      <c r="F461" s="597" t="s">
        <v>311</v>
      </c>
      <c r="G461" s="598">
        <v>963943</v>
      </c>
      <c r="H461" s="599">
        <v>12</v>
      </c>
      <c r="I461" s="597" t="s">
        <v>300</v>
      </c>
      <c r="J461" s="595">
        <v>4</v>
      </c>
      <c r="K461" s="598">
        <v>0</v>
      </c>
      <c r="L461" s="713"/>
      <c r="M461" s="713"/>
      <c r="N461" s="714"/>
      <c r="O461" s="715"/>
      <c r="Q461" s="523"/>
    </row>
    <row r="462" spans="1:17" s="511" customFormat="1" ht="10.15" customHeight="1">
      <c r="A462" s="615"/>
      <c r="B462" s="527" t="s">
        <v>309</v>
      </c>
      <c r="C462" s="595">
        <v>118</v>
      </c>
      <c r="D462" s="596">
        <v>43656</v>
      </c>
      <c r="E462" s="597" t="s">
        <v>303</v>
      </c>
      <c r="F462" s="597" t="s">
        <v>312</v>
      </c>
      <c r="G462" s="598">
        <v>967281</v>
      </c>
      <c r="H462" s="599">
        <v>74</v>
      </c>
      <c r="I462" s="597" t="s">
        <v>299</v>
      </c>
      <c r="J462" s="595">
        <v>0.1</v>
      </c>
      <c r="K462" s="598">
        <v>0</v>
      </c>
      <c r="L462" s="713"/>
      <c r="M462" s="713"/>
      <c r="N462" s="714"/>
      <c r="O462" s="715"/>
      <c r="Q462" s="523"/>
    </row>
    <row r="463" spans="1:17" s="511" customFormat="1" ht="10.15" customHeight="1">
      <c r="A463" s="615"/>
      <c r="B463" s="529" t="s">
        <v>309</v>
      </c>
      <c r="C463" s="595">
        <v>118</v>
      </c>
      <c r="D463" s="596">
        <v>43656</v>
      </c>
      <c r="E463" s="597" t="s">
        <v>303</v>
      </c>
      <c r="F463" s="597" t="s">
        <v>312</v>
      </c>
      <c r="G463" s="598">
        <v>967281</v>
      </c>
      <c r="H463" s="599">
        <v>74</v>
      </c>
      <c r="I463" s="597" t="s">
        <v>300</v>
      </c>
      <c r="J463" s="595">
        <v>4</v>
      </c>
      <c r="K463" s="598">
        <v>0</v>
      </c>
      <c r="L463" s="713"/>
      <c r="M463" s="713"/>
      <c r="N463" s="714"/>
      <c r="O463" s="715"/>
      <c r="Q463" s="523"/>
    </row>
    <row r="464" spans="1:17" s="511" customFormat="1" ht="10.15" customHeight="1">
      <c r="A464" s="615"/>
      <c r="B464" s="527" t="s">
        <v>309</v>
      </c>
      <c r="C464" s="595">
        <v>118</v>
      </c>
      <c r="D464" s="596">
        <v>43656</v>
      </c>
      <c r="E464" s="597" t="s">
        <v>303</v>
      </c>
      <c r="F464" s="597" t="s">
        <v>313</v>
      </c>
      <c r="G464" s="598">
        <v>904281</v>
      </c>
      <c r="H464" s="599">
        <v>74</v>
      </c>
      <c r="I464" s="597" t="s">
        <v>299</v>
      </c>
      <c r="J464" s="595">
        <v>0.1</v>
      </c>
      <c r="K464" s="598">
        <v>0</v>
      </c>
      <c r="L464" s="713"/>
      <c r="M464" s="713"/>
      <c r="N464" s="714"/>
      <c r="O464" s="715"/>
      <c r="Q464" s="523"/>
    </row>
    <row r="465" spans="1:17" s="511" customFormat="1" ht="10.15" customHeight="1">
      <c r="A465" s="615"/>
      <c r="B465" s="529" t="s">
        <v>309</v>
      </c>
      <c r="C465" s="595">
        <v>118</v>
      </c>
      <c r="D465" s="596">
        <v>43656</v>
      </c>
      <c r="E465" s="597" t="s">
        <v>303</v>
      </c>
      <c r="F465" s="597" t="s">
        <v>313</v>
      </c>
      <c r="G465" s="598">
        <v>904281</v>
      </c>
      <c r="H465" s="599">
        <v>74</v>
      </c>
      <c r="I465" s="597" t="s">
        <v>300</v>
      </c>
      <c r="J465" s="595">
        <v>4</v>
      </c>
      <c r="K465" s="598">
        <v>0</v>
      </c>
      <c r="L465" s="713"/>
      <c r="M465" s="713"/>
      <c r="N465" s="714"/>
      <c r="O465" s="715"/>
      <c r="Q465" s="523"/>
    </row>
    <row r="466" spans="1:17" s="511" customFormat="1" ht="10.15" customHeight="1">
      <c r="A466" s="615"/>
      <c r="B466" s="527" t="s">
        <v>309</v>
      </c>
      <c r="C466" s="595">
        <v>118</v>
      </c>
      <c r="D466" s="596">
        <v>43656</v>
      </c>
      <c r="E466" s="597" t="s">
        <v>303</v>
      </c>
      <c r="F466" s="597" t="s">
        <v>314</v>
      </c>
      <c r="G466" s="598">
        <v>967342</v>
      </c>
      <c r="H466" s="599">
        <v>74</v>
      </c>
      <c r="I466" s="597" t="s">
        <v>299</v>
      </c>
      <c r="J466" s="595">
        <v>0.1</v>
      </c>
      <c r="K466" s="598">
        <v>0</v>
      </c>
      <c r="L466" s="713"/>
      <c r="M466" s="713"/>
      <c r="N466" s="714"/>
      <c r="O466" s="715"/>
      <c r="Q466" s="523"/>
    </row>
    <row r="467" spans="1:17" s="511" customFormat="1" ht="10.15" customHeight="1" thickBot="1">
      <c r="A467" s="615"/>
      <c r="B467" s="529" t="s">
        <v>309</v>
      </c>
      <c r="C467" s="530">
        <v>118</v>
      </c>
      <c r="D467" s="531">
        <v>43656</v>
      </c>
      <c r="E467" s="532" t="s">
        <v>303</v>
      </c>
      <c r="F467" s="532" t="s">
        <v>314</v>
      </c>
      <c r="G467" s="533">
        <v>967342</v>
      </c>
      <c r="H467" s="534">
        <v>74</v>
      </c>
      <c r="I467" s="532" t="s">
        <v>300</v>
      </c>
      <c r="J467" s="530">
        <v>4</v>
      </c>
      <c r="K467" s="533">
        <v>0</v>
      </c>
      <c r="L467" s="713"/>
      <c r="M467" s="713"/>
      <c r="N467" s="714"/>
      <c r="O467" s="715"/>
      <c r="Q467" s="523"/>
    </row>
    <row r="468" spans="1:17" s="513" customFormat="1" ht="10.15" customHeight="1">
      <c r="A468" s="615"/>
      <c r="B468" s="610" t="s">
        <v>339</v>
      </c>
      <c r="C468" s="618">
        <v>73</v>
      </c>
      <c r="D468" s="619">
        <v>43601</v>
      </c>
      <c r="E468" s="620" t="s">
        <v>303</v>
      </c>
      <c r="F468" s="620" t="s">
        <v>340</v>
      </c>
      <c r="G468" s="621">
        <v>967182</v>
      </c>
      <c r="H468" s="622">
        <v>1</v>
      </c>
      <c r="I468" s="620" t="s">
        <v>299</v>
      </c>
      <c r="J468" s="622">
        <v>25</v>
      </c>
      <c r="K468" s="623"/>
      <c r="L468" s="695">
        <f>SUM(J468:J469)</f>
        <v>30</v>
      </c>
      <c r="M468" s="697">
        <f>SUM(K468:K469)</f>
        <v>0</v>
      </c>
      <c r="N468" s="699">
        <f>+L468-M468</f>
        <v>30</v>
      </c>
      <c r="O468" s="819" t="e">
        <f>+((K468+K469)+(#REF!+#REF!))/L468</f>
        <v>#REF!</v>
      </c>
      <c r="Q468" s="523"/>
    </row>
    <row r="469" spans="1:17" s="513" customFormat="1" ht="10.15" customHeight="1">
      <c r="A469" s="615"/>
      <c r="B469" s="535" t="s">
        <v>339</v>
      </c>
      <c r="C469" s="624">
        <v>73</v>
      </c>
      <c r="D469" s="625">
        <v>43601</v>
      </c>
      <c r="E469" s="626" t="s">
        <v>303</v>
      </c>
      <c r="F469" s="626" t="s">
        <v>340</v>
      </c>
      <c r="G469" s="627">
        <v>967182</v>
      </c>
      <c r="H469" s="628">
        <v>1</v>
      </c>
      <c r="I469" s="626" t="s">
        <v>300</v>
      </c>
      <c r="J469" s="628">
        <v>5</v>
      </c>
      <c r="K469" s="629"/>
      <c r="L469" s="696"/>
      <c r="M469" s="698"/>
      <c r="N469" s="700"/>
      <c r="O469" s="820"/>
      <c r="Q469" s="523"/>
    </row>
    <row r="470" spans="1:17" s="513" customFormat="1" ht="10.15" customHeight="1">
      <c r="A470" s="615"/>
      <c r="B470" s="535" t="s">
        <v>339</v>
      </c>
      <c r="C470" s="618">
        <v>1196</v>
      </c>
      <c r="D470" s="619">
        <v>43553</v>
      </c>
      <c r="E470" s="620" t="s">
        <v>304</v>
      </c>
      <c r="F470" s="620" t="s">
        <v>341</v>
      </c>
      <c r="G470" s="621">
        <v>961147</v>
      </c>
      <c r="H470" s="622">
        <v>2</v>
      </c>
      <c r="I470" s="620" t="s">
        <v>299</v>
      </c>
      <c r="J470" s="622">
        <v>170</v>
      </c>
      <c r="K470" s="623">
        <v>79.201999999999998</v>
      </c>
      <c r="L470" s="695">
        <f>J470+J471</f>
        <v>200</v>
      </c>
      <c r="M470" s="697">
        <f>SUM(K470:K471)</f>
        <v>200</v>
      </c>
      <c r="N470" s="699">
        <f>+L470-M470</f>
        <v>0</v>
      </c>
      <c r="O470" s="751" t="e">
        <f>+((K470+K471)+(#REF!+#REF!))/L470</f>
        <v>#REF!</v>
      </c>
      <c r="Q470" s="523"/>
    </row>
    <row r="471" spans="1:17" s="513" customFormat="1" ht="10.15" customHeight="1">
      <c r="A471" s="615"/>
      <c r="B471" s="535" t="s">
        <v>339</v>
      </c>
      <c r="C471" s="624">
        <v>1196</v>
      </c>
      <c r="D471" s="625">
        <v>43553</v>
      </c>
      <c r="E471" s="626" t="s">
        <v>304</v>
      </c>
      <c r="F471" s="626" t="s">
        <v>341</v>
      </c>
      <c r="G471" s="627">
        <v>961147</v>
      </c>
      <c r="H471" s="628">
        <v>2</v>
      </c>
      <c r="I471" s="626" t="s">
        <v>300</v>
      </c>
      <c r="J471" s="628">
        <v>30</v>
      </c>
      <c r="K471" s="629">
        <v>120.798</v>
      </c>
      <c r="L471" s="696"/>
      <c r="M471" s="698"/>
      <c r="N471" s="700"/>
      <c r="O471" s="752"/>
      <c r="Q471" s="523"/>
    </row>
    <row r="472" spans="1:17" s="513" customFormat="1" ht="10.15" customHeight="1">
      <c r="A472" s="615"/>
      <c r="B472" s="535" t="s">
        <v>339</v>
      </c>
      <c r="C472" s="618">
        <v>794</v>
      </c>
      <c r="D472" s="619">
        <v>43516</v>
      </c>
      <c r="E472" s="620" t="s">
        <v>304</v>
      </c>
      <c r="F472" s="620" t="s">
        <v>342</v>
      </c>
      <c r="G472" s="621">
        <v>966307</v>
      </c>
      <c r="H472" s="622">
        <v>3</v>
      </c>
      <c r="I472" s="620" t="s">
        <v>299</v>
      </c>
      <c r="J472" s="622">
        <v>10</v>
      </c>
      <c r="K472" s="623">
        <v>37.988</v>
      </c>
      <c r="L472" s="695">
        <f>J472+J473</f>
        <v>110</v>
      </c>
      <c r="M472" s="697">
        <f>SUM(K472:K473)</f>
        <v>109.07599999999999</v>
      </c>
      <c r="N472" s="699">
        <f t="shared" ref="N472" si="56">+L472-M472</f>
        <v>0.92400000000000659</v>
      </c>
      <c r="O472" s="751" t="e">
        <f>+((K472+K473)+(#REF!+#REF!))/L472</f>
        <v>#REF!</v>
      </c>
      <c r="Q472" s="523"/>
    </row>
    <row r="473" spans="1:17" s="513" customFormat="1" ht="10.15" customHeight="1">
      <c r="A473" s="615"/>
      <c r="B473" s="535" t="s">
        <v>339</v>
      </c>
      <c r="C473" s="624">
        <v>794</v>
      </c>
      <c r="D473" s="625">
        <v>43516</v>
      </c>
      <c r="E473" s="626" t="s">
        <v>304</v>
      </c>
      <c r="F473" s="626" t="s">
        <v>342</v>
      </c>
      <c r="G473" s="627">
        <v>966307</v>
      </c>
      <c r="H473" s="628">
        <v>3</v>
      </c>
      <c r="I473" s="626" t="s">
        <v>300</v>
      </c>
      <c r="J473" s="628">
        <v>100</v>
      </c>
      <c r="K473" s="629">
        <v>71.087999999999994</v>
      </c>
      <c r="L473" s="696"/>
      <c r="M473" s="698"/>
      <c r="N473" s="700"/>
      <c r="O473" s="752"/>
    </row>
    <row r="474" spans="1:17" s="513" customFormat="1" ht="10.15" customHeight="1">
      <c r="A474" s="615"/>
      <c r="B474" s="535" t="s">
        <v>339</v>
      </c>
      <c r="C474" s="618">
        <v>1462</v>
      </c>
      <c r="D474" s="619">
        <v>43572</v>
      </c>
      <c r="E474" s="620" t="s">
        <v>304</v>
      </c>
      <c r="F474" s="620" t="s">
        <v>343</v>
      </c>
      <c r="G474" s="621">
        <v>30761</v>
      </c>
      <c r="H474" s="622">
        <v>6</v>
      </c>
      <c r="I474" s="620" t="s">
        <v>299</v>
      </c>
      <c r="J474" s="622">
        <v>85</v>
      </c>
      <c r="K474" s="623">
        <v>126.765</v>
      </c>
      <c r="L474" s="695">
        <f>J474+J475</f>
        <v>316</v>
      </c>
      <c r="M474" s="697">
        <f>SUM(K474:K475)</f>
        <v>316</v>
      </c>
      <c r="N474" s="699">
        <f t="shared" ref="N474" si="57">+L474-M474</f>
        <v>0</v>
      </c>
      <c r="O474" s="751" t="e">
        <f>+((K474+K475)+(#REF!+#REF!))/L474</f>
        <v>#REF!</v>
      </c>
    </row>
    <row r="475" spans="1:17" s="513" customFormat="1" ht="10.15" customHeight="1">
      <c r="A475" s="615"/>
      <c r="B475" s="535" t="s">
        <v>339</v>
      </c>
      <c r="C475" s="624">
        <v>1462</v>
      </c>
      <c r="D475" s="625">
        <v>43572</v>
      </c>
      <c r="E475" s="626" t="s">
        <v>304</v>
      </c>
      <c r="F475" s="626" t="s">
        <v>343</v>
      </c>
      <c r="G475" s="627">
        <v>30761</v>
      </c>
      <c r="H475" s="628">
        <v>6</v>
      </c>
      <c r="I475" s="626" t="s">
        <v>300</v>
      </c>
      <c r="J475" s="628">
        <v>231</v>
      </c>
      <c r="K475" s="629">
        <v>189.23500000000001</v>
      </c>
      <c r="L475" s="696"/>
      <c r="M475" s="698"/>
      <c r="N475" s="700"/>
      <c r="O475" s="752"/>
    </row>
    <row r="476" spans="1:17" s="513" customFormat="1" ht="10.15" customHeight="1">
      <c r="A476" s="615"/>
      <c r="B476" s="535" t="s">
        <v>339</v>
      </c>
      <c r="C476" s="618">
        <v>2140</v>
      </c>
      <c r="D476" s="619">
        <v>43627</v>
      </c>
      <c r="E476" s="620" t="s">
        <v>304</v>
      </c>
      <c r="F476" s="620" t="s">
        <v>343</v>
      </c>
      <c r="G476" s="621">
        <v>30761</v>
      </c>
      <c r="H476" s="622">
        <v>6</v>
      </c>
      <c r="I476" s="620" t="s">
        <v>299</v>
      </c>
      <c r="J476" s="622">
        <v>67</v>
      </c>
      <c r="K476" s="623">
        <v>68.626000000000005</v>
      </c>
      <c r="L476" s="695">
        <f>J476+J477</f>
        <v>148</v>
      </c>
      <c r="M476" s="697">
        <f>SUM(K476:K477)</f>
        <v>148</v>
      </c>
      <c r="N476" s="699">
        <f t="shared" ref="N476" si="58">+L476-M476</f>
        <v>0</v>
      </c>
      <c r="O476" s="751" t="e">
        <f>+((K476+K477)+(#REF!+#REF!))/L476</f>
        <v>#REF!</v>
      </c>
    </row>
    <row r="477" spans="1:17" s="513" customFormat="1" ht="10.15" customHeight="1">
      <c r="A477" s="615"/>
      <c r="B477" s="535" t="s">
        <v>339</v>
      </c>
      <c r="C477" s="624">
        <v>2140</v>
      </c>
      <c r="D477" s="625">
        <v>43627</v>
      </c>
      <c r="E477" s="626" t="s">
        <v>304</v>
      </c>
      <c r="F477" s="626" t="s">
        <v>343</v>
      </c>
      <c r="G477" s="627">
        <v>30761</v>
      </c>
      <c r="H477" s="628">
        <v>6</v>
      </c>
      <c r="I477" s="626" t="s">
        <v>300</v>
      </c>
      <c r="J477" s="628">
        <v>81</v>
      </c>
      <c r="K477" s="629">
        <v>79.373999999999995</v>
      </c>
      <c r="L477" s="696"/>
      <c r="M477" s="698"/>
      <c r="N477" s="700"/>
      <c r="O477" s="752"/>
    </row>
    <row r="478" spans="1:17" s="513" customFormat="1" ht="10.15" customHeight="1">
      <c r="A478" s="615"/>
      <c r="B478" s="535" t="s">
        <v>339</v>
      </c>
      <c r="C478" s="618">
        <v>1462</v>
      </c>
      <c r="D478" s="619">
        <v>43572</v>
      </c>
      <c r="E478" s="620" t="s">
        <v>304</v>
      </c>
      <c r="F478" s="620" t="s">
        <v>344</v>
      </c>
      <c r="G478" s="621">
        <v>955448</v>
      </c>
      <c r="H478" s="622">
        <v>6</v>
      </c>
      <c r="I478" s="620" t="s">
        <v>299</v>
      </c>
      <c r="J478" s="622">
        <v>77</v>
      </c>
      <c r="K478" s="623">
        <v>153.43700000000001</v>
      </c>
      <c r="L478" s="695">
        <f>J478+J479</f>
        <v>288</v>
      </c>
      <c r="M478" s="697">
        <f>SUM(K478:K479)</f>
        <v>288</v>
      </c>
      <c r="N478" s="699">
        <f t="shared" ref="N478" si="59">+L478-M478</f>
        <v>0</v>
      </c>
      <c r="O478" s="751" t="e">
        <f>+((K478+K479)+(#REF!+#REF!))/L478</f>
        <v>#REF!</v>
      </c>
    </row>
    <row r="479" spans="1:17" s="513" customFormat="1" ht="10.15" customHeight="1">
      <c r="A479" s="615"/>
      <c r="B479" s="535" t="s">
        <v>339</v>
      </c>
      <c r="C479" s="624">
        <v>1462</v>
      </c>
      <c r="D479" s="625">
        <v>43572</v>
      </c>
      <c r="E479" s="626" t="s">
        <v>304</v>
      </c>
      <c r="F479" s="626" t="s">
        <v>344</v>
      </c>
      <c r="G479" s="627">
        <v>955448</v>
      </c>
      <c r="H479" s="628">
        <v>6</v>
      </c>
      <c r="I479" s="626" t="s">
        <v>300</v>
      </c>
      <c r="J479" s="628">
        <v>211</v>
      </c>
      <c r="K479" s="629">
        <v>134.56299999999999</v>
      </c>
      <c r="L479" s="696"/>
      <c r="M479" s="698"/>
      <c r="N479" s="700"/>
      <c r="O479" s="752"/>
    </row>
    <row r="480" spans="1:17" s="513" customFormat="1" ht="10.15" customHeight="1">
      <c r="A480" s="615"/>
      <c r="B480" s="535" t="s">
        <v>339</v>
      </c>
      <c r="C480" s="618">
        <v>2140</v>
      </c>
      <c r="D480" s="619">
        <v>43627</v>
      </c>
      <c r="E480" s="620" t="s">
        <v>304</v>
      </c>
      <c r="F480" s="620" t="s">
        <v>344</v>
      </c>
      <c r="G480" s="621">
        <v>955448</v>
      </c>
      <c r="H480" s="622">
        <v>6</v>
      </c>
      <c r="I480" s="620" t="s">
        <v>299</v>
      </c>
      <c r="J480" s="622">
        <v>67</v>
      </c>
      <c r="K480" s="623">
        <v>52.768999999999998</v>
      </c>
      <c r="L480" s="695">
        <f>J480+J481</f>
        <v>148</v>
      </c>
      <c r="M480" s="697">
        <f>SUM(K480:K481)</f>
        <v>148.17699999999999</v>
      </c>
      <c r="N480" s="699">
        <f t="shared" ref="N480" si="60">+L480-M480</f>
        <v>-0.1769999999999925</v>
      </c>
      <c r="O480" s="751" t="e">
        <f>+((K480+K481)+(#REF!+#REF!))/L480</f>
        <v>#REF!</v>
      </c>
    </row>
    <row r="481" spans="1:15" s="513" customFormat="1" ht="10.15" customHeight="1">
      <c r="A481" s="615"/>
      <c r="B481" s="535" t="s">
        <v>339</v>
      </c>
      <c r="C481" s="624">
        <v>2140</v>
      </c>
      <c r="D481" s="625">
        <v>43627</v>
      </c>
      <c r="E481" s="626" t="s">
        <v>304</v>
      </c>
      <c r="F481" s="626" t="s">
        <v>344</v>
      </c>
      <c r="G481" s="627">
        <v>955448</v>
      </c>
      <c r="H481" s="628">
        <v>6</v>
      </c>
      <c r="I481" s="626" t="s">
        <v>300</v>
      </c>
      <c r="J481" s="628">
        <v>81</v>
      </c>
      <c r="K481" s="629">
        <v>95.408000000000001</v>
      </c>
      <c r="L481" s="696"/>
      <c r="M481" s="698"/>
      <c r="N481" s="700"/>
      <c r="O481" s="752"/>
    </row>
    <row r="482" spans="1:15" s="513" customFormat="1" ht="10.15" customHeight="1">
      <c r="A482" s="615"/>
      <c r="B482" s="535" t="s">
        <v>339</v>
      </c>
      <c r="C482" s="618">
        <v>1462</v>
      </c>
      <c r="D482" s="619">
        <v>43572</v>
      </c>
      <c r="E482" s="620" t="s">
        <v>304</v>
      </c>
      <c r="F482" s="620" t="s">
        <v>345</v>
      </c>
      <c r="G482" s="621">
        <v>957939</v>
      </c>
      <c r="H482" s="622">
        <v>6</v>
      </c>
      <c r="I482" s="620" t="s">
        <v>299</v>
      </c>
      <c r="J482" s="622">
        <v>76</v>
      </c>
      <c r="K482" s="623">
        <v>95.524000000000001</v>
      </c>
      <c r="L482" s="695">
        <f>J482+J483</f>
        <v>282</v>
      </c>
      <c r="M482" s="697">
        <f>SUM(K482:K483)</f>
        <v>282</v>
      </c>
      <c r="N482" s="699">
        <f t="shared" ref="N482" si="61">+L482-M482</f>
        <v>0</v>
      </c>
      <c r="O482" s="751" t="e">
        <f>+((K482+K483)+(#REF!+#REF!))/L482</f>
        <v>#REF!</v>
      </c>
    </row>
    <row r="483" spans="1:15" s="513" customFormat="1" ht="10.15" customHeight="1">
      <c r="A483" s="615"/>
      <c r="B483" s="535" t="s">
        <v>339</v>
      </c>
      <c r="C483" s="624">
        <v>1462</v>
      </c>
      <c r="D483" s="625">
        <v>43572</v>
      </c>
      <c r="E483" s="626" t="s">
        <v>304</v>
      </c>
      <c r="F483" s="626" t="s">
        <v>345</v>
      </c>
      <c r="G483" s="627">
        <v>957939</v>
      </c>
      <c r="H483" s="628">
        <v>6</v>
      </c>
      <c r="I483" s="626" t="s">
        <v>300</v>
      </c>
      <c r="J483" s="628">
        <v>206</v>
      </c>
      <c r="K483" s="629">
        <v>186.476</v>
      </c>
      <c r="L483" s="696"/>
      <c r="M483" s="698"/>
      <c r="N483" s="700"/>
      <c r="O483" s="752"/>
    </row>
    <row r="484" spans="1:15" s="513" customFormat="1" ht="10.15" customHeight="1">
      <c r="A484" s="615"/>
      <c r="B484" s="535" t="s">
        <v>339</v>
      </c>
      <c r="C484" s="618">
        <v>2140</v>
      </c>
      <c r="D484" s="619">
        <v>43627</v>
      </c>
      <c r="E484" s="620" t="s">
        <v>304</v>
      </c>
      <c r="F484" s="620" t="s">
        <v>345</v>
      </c>
      <c r="G484" s="621">
        <v>957939</v>
      </c>
      <c r="H484" s="622">
        <v>6</v>
      </c>
      <c r="I484" s="620" t="s">
        <v>299</v>
      </c>
      <c r="J484" s="622">
        <v>67</v>
      </c>
      <c r="K484" s="623">
        <v>31.35</v>
      </c>
      <c r="L484" s="695">
        <f>J484+J485</f>
        <v>148</v>
      </c>
      <c r="M484" s="697">
        <f>SUM(K484:K485)</f>
        <v>31.35</v>
      </c>
      <c r="N484" s="699">
        <f t="shared" ref="N484" si="62">+L484-M484</f>
        <v>116.65</v>
      </c>
      <c r="O484" s="751" t="e">
        <f>+((K484+K485)+(#REF!+#REF!))/L484</f>
        <v>#REF!</v>
      </c>
    </row>
    <row r="485" spans="1:15" s="513" customFormat="1" ht="10.15" customHeight="1">
      <c r="A485" s="615"/>
      <c r="B485" s="535" t="s">
        <v>339</v>
      </c>
      <c r="C485" s="624">
        <v>2140</v>
      </c>
      <c r="D485" s="625">
        <v>43627</v>
      </c>
      <c r="E485" s="626" t="s">
        <v>304</v>
      </c>
      <c r="F485" s="626" t="s">
        <v>345</v>
      </c>
      <c r="G485" s="627">
        <v>957939</v>
      </c>
      <c r="H485" s="628">
        <v>6</v>
      </c>
      <c r="I485" s="626" t="s">
        <v>300</v>
      </c>
      <c r="J485" s="628">
        <v>81</v>
      </c>
      <c r="K485" s="629"/>
      <c r="L485" s="696"/>
      <c r="M485" s="698"/>
      <c r="N485" s="700"/>
      <c r="O485" s="752"/>
    </row>
    <row r="486" spans="1:15" s="513" customFormat="1" ht="10.15" customHeight="1">
      <c r="A486" s="615"/>
      <c r="B486" s="535" t="s">
        <v>339</v>
      </c>
      <c r="C486" s="618">
        <v>1462</v>
      </c>
      <c r="D486" s="619">
        <v>43572</v>
      </c>
      <c r="E486" s="620" t="s">
        <v>304</v>
      </c>
      <c r="F486" s="620" t="s">
        <v>346</v>
      </c>
      <c r="G486" s="621">
        <v>959986</v>
      </c>
      <c r="H486" s="622">
        <v>6</v>
      </c>
      <c r="I486" s="620" t="s">
        <v>299</v>
      </c>
      <c r="J486" s="622">
        <v>97</v>
      </c>
      <c r="K486" s="623">
        <v>198.28700000000001</v>
      </c>
      <c r="L486" s="695">
        <f>J486+J487</f>
        <v>361</v>
      </c>
      <c r="M486" s="697">
        <f>SUM(K486:K487)</f>
        <v>361</v>
      </c>
      <c r="N486" s="699">
        <f t="shared" ref="N486" si="63">+L486-M486</f>
        <v>0</v>
      </c>
      <c r="O486" s="751" t="e">
        <f>+((K486+K487)+(#REF!+#REF!))/L486</f>
        <v>#REF!</v>
      </c>
    </row>
    <row r="487" spans="1:15" s="513" customFormat="1" ht="10.15" customHeight="1">
      <c r="A487" s="615"/>
      <c r="B487" s="535" t="s">
        <v>339</v>
      </c>
      <c r="C487" s="624">
        <v>1462</v>
      </c>
      <c r="D487" s="625">
        <v>43572</v>
      </c>
      <c r="E487" s="626" t="s">
        <v>304</v>
      </c>
      <c r="F487" s="626" t="s">
        <v>346</v>
      </c>
      <c r="G487" s="627">
        <v>959986</v>
      </c>
      <c r="H487" s="628">
        <v>6</v>
      </c>
      <c r="I487" s="626" t="s">
        <v>300</v>
      </c>
      <c r="J487" s="628">
        <v>264</v>
      </c>
      <c r="K487" s="629">
        <v>162.71299999999999</v>
      </c>
      <c r="L487" s="696"/>
      <c r="M487" s="698"/>
      <c r="N487" s="700"/>
      <c r="O487" s="752"/>
    </row>
    <row r="488" spans="1:15" s="513" customFormat="1" ht="10.15" customHeight="1">
      <c r="A488" s="615"/>
      <c r="B488" s="535" t="s">
        <v>339</v>
      </c>
      <c r="C488" s="618">
        <v>2140</v>
      </c>
      <c r="D488" s="619">
        <v>43627</v>
      </c>
      <c r="E488" s="620" t="s">
        <v>304</v>
      </c>
      <c r="F488" s="620" t="s">
        <v>346</v>
      </c>
      <c r="G488" s="621">
        <v>959986</v>
      </c>
      <c r="H488" s="622">
        <v>6</v>
      </c>
      <c r="I488" s="620" t="s">
        <v>299</v>
      </c>
      <c r="J488" s="622">
        <v>67</v>
      </c>
      <c r="K488" s="623">
        <v>34.192</v>
      </c>
      <c r="L488" s="695">
        <f>J488+J489</f>
        <v>148</v>
      </c>
      <c r="M488" s="697">
        <f>SUM(K488:K489)</f>
        <v>148</v>
      </c>
      <c r="N488" s="699">
        <f t="shared" ref="N488" si="64">+L488-M488</f>
        <v>0</v>
      </c>
      <c r="O488" s="751" t="e">
        <f>+((K488+K489)+(#REF!+#REF!))/L488</f>
        <v>#REF!</v>
      </c>
    </row>
    <row r="489" spans="1:15" s="513" customFormat="1" ht="10.15" customHeight="1">
      <c r="A489" s="615"/>
      <c r="B489" s="535" t="s">
        <v>339</v>
      </c>
      <c r="C489" s="624">
        <v>2140</v>
      </c>
      <c r="D489" s="625">
        <v>43627</v>
      </c>
      <c r="E489" s="626" t="s">
        <v>304</v>
      </c>
      <c r="F489" s="626" t="s">
        <v>346</v>
      </c>
      <c r="G489" s="627">
        <v>959986</v>
      </c>
      <c r="H489" s="628">
        <v>6</v>
      </c>
      <c r="I489" s="626" t="s">
        <v>300</v>
      </c>
      <c r="J489" s="628">
        <v>81</v>
      </c>
      <c r="K489" s="629">
        <v>113.80800000000001</v>
      </c>
      <c r="L489" s="696"/>
      <c r="M489" s="698"/>
      <c r="N489" s="700"/>
      <c r="O489" s="752"/>
    </row>
    <row r="490" spans="1:15" s="513" customFormat="1" ht="10.15" customHeight="1">
      <c r="A490" s="615"/>
      <c r="B490" s="535" t="s">
        <v>339</v>
      </c>
      <c r="C490" s="618">
        <v>1462</v>
      </c>
      <c r="D490" s="619">
        <v>43572</v>
      </c>
      <c r="E490" s="620" t="s">
        <v>304</v>
      </c>
      <c r="F490" s="620" t="s">
        <v>347</v>
      </c>
      <c r="G490" s="621">
        <v>961126</v>
      </c>
      <c r="H490" s="622">
        <v>6</v>
      </c>
      <c r="I490" s="620" t="s">
        <v>299</v>
      </c>
      <c r="J490" s="622">
        <v>97</v>
      </c>
      <c r="K490" s="623">
        <v>173.90799999999999</v>
      </c>
      <c r="L490" s="695">
        <f>J490+J491</f>
        <v>361</v>
      </c>
      <c r="M490" s="697">
        <f>SUM(K490:K491)</f>
        <v>361</v>
      </c>
      <c r="N490" s="699">
        <f t="shared" ref="N490" si="65">+L490-M490</f>
        <v>0</v>
      </c>
      <c r="O490" s="751" t="e">
        <f>+((K490+K491)+(#REF!+#REF!))/L490</f>
        <v>#REF!</v>
      </c>
    </row>
    <row r="491" spans="1:15" s="513" customFormat="1" ht="10.15" customHeight="1">
      <c r="A491" s="615"/>
      <c r="B491" s="535" t="s">
        <v>339</v>
      </c>
      <c r="C491" s="624">
        <v>1462</v>
      </c>
      <c r="D491" s="625">
        <v>43572</v>
      </c>
      <c r="E491" s="626" t="s">
        <v>304</v>
      </c>
      <c r="F491" s="626" t="s">
        <v>347</v>
      </c>
      <c r="G491" s="627">
        <v>961126</v>
      </c>
      <c r="H491" s="628">
        <v>6</v>
      </c>
      <c r="I491" s="626" t="s">
        <v>300</v>
      </c>
      <c r="J491" s="628">
        <v>264</v>
      </c>
      <c r="K491" s="629">
        <v>187.09200000000001</v>
      </c>
      <c r="L491" s="696"/>
      <c r="M491" s="698"/>
      <c r="N491" s="700"/>
      <c r="O491" s="752"/>
    </row>
    <row r="492" spans="1:15" s="513" customFormat="1" ht="10.15" customHeight="1">
      <c r="A492" s="615"/>
      <c r="B492" s="535" t="s">
        <v>339</v>
      </c>
      <c r="C492" s="618">
        <v>2140</v>
      </c>
      <c r="D492" s="619">
        <v>43627</v>
      </c>
      <c r="E492" s="620" t="s">
        <v>304</v>
      </c>
      <c r="F492" s="620" t="s">
        <v>347</v>
      </c>
      <c r="G492" s="621">
        <v>961126</v>
      </c>
      <c r="H492" s="622">
        <v>6</v>
      </c>
      <c r="I492" s="620" t="s">
        <v>299</v>
      </c>
      <c r="J492" s="622">
        <v>67</v>
      </c>
      <c r="K492" s="623"/>
      <c r="L492" s="695">
        <f>J492+J493</f>
        <v>148</v>
      </c>
      <c r="M492" s="697">
        <f>SUM(K492:K493)</f>
        <v>0</v>
      </c>
      <c r="N492" s="699">
        <f t="shared" ref="N492" si="66">+L492-M492</f>
        <v>148</v>
      </c>
      <c r="O492" s="751" t="e">
        <f>+((K492+K493)+(#REF!+#REF!))/L492</f>
        <v>#REF!</v>
      </c>
    </row>
    <row r="493" spans="1:15" s="513" customFormat="1" ht="10.15" customHeight="1">
      <c r="A493" s="615"/>
      <c r="B493" s="535" t="s">
        <v>339</v>
      </c>
      <c r="C493" s="624">
        <v>2140</v>
      </c>
      <c r="D493" s="625">
        <v>43627</v>
      </c>
      <c r="E493" s="626" t="s">
        <v>304</v>
      </c>
      <c r="F493" s="626" t="s">
        <v>347</v>
      </c>
      <c r="G493" s="627">
        <v>961126</v>
      </c>
      <c r="H493" s="628">
        <v>6</v>
      </c>
      <c r="I493" s="626" t="s">
        <v>300</v>
      </c>
      <c r="J493" s="628">
        <v>81</v>
      </c>
      <c r="K493" s="629"/>
      <c r="L493" s="696"/>
      <c r="M493" s="698"/>
      <c r="N493" s="700"/>
      <c r="O493" s="752"/>
    </row>
    <row r="494" spans="1:15" s="513" customFormat="1" ht="10.15" customHeight="1">
      <c r="A494" s="615"/>
      <c r="B494" s="535" t="s">
        <v>339</v>
      </c>
      <c r="C494" s="618">
        <v>1462</v>
      </c>
      <c r="D494" s="619">
        <v>43572</v>
      </c>
      <c r="E494" s="620" t="s">
        <v>304</v>
      </c>
      <c r="F494" s="620" t="s">
        <v>348</v>
      </c>
      <c r="G494" s="621">
        <v>966577</v>
      </c>
      <c r="H494" s="622">
        <v>6</v>
      </c>
      <c r="I494" s="620" t="s">
        <v>299</v>
      </c>
      <c r="J494" s="622">
        <v>55</v>
      </c>
      <c r="K494" s="623">
        <v>55.831000000000003</v>
      </c>
      <c r="L494" s="695">
        <f>J494+J495</f>
        <v>204</v>
      </c>
      <c r="M494" s="697">
        <f>SUM(K494:K495)</f>
        <v>203.99599999999998</v>
      </c>
      <c r="N494" s="699">
        <f t="shared" ref="N494" si="67">+L494-M494</f>
        <v>4.0000000000190994E-3</v>
      </c>
      <c r="O494" s="751" t="e">
        <f>+((K494+K495)+(#REF!+#REF!))/L494</f>
        <v>#REF!</v>
      </c>
    </row>
    <row r="495" spans="1:15" s="513" customFormat="1" ht="10.15" customHeight="1">
      <c r="A495" s="615"/>
      <c r="B495" s="535" t="s">
        <v>339</v>
      </c>
      <c r="C495" s="624">
        <v>1462</v>
      </c>
      <c r="D495" s="625">
        <v>43572</v>
      </c>
      <c r="E495" s="626" t="s">
        <v>304</v>
      </c>
      <c r="F495" s="626" t="s">
        <v>348</v>
      </c>
      <c r="G495" s="627">
        <v>966577</v>
      </c>
      <c r="H495" s="628">
        <v>6</v>
      </c>
      <c r="I495" s="626" t="s">
        <v>300</v>
      </c>
      <c r="J495" s="628">
        <v>149</v>
      </c>
      <c r="K495" s="629">
        <v>148.16499999999999</v>
      </c>
      <c r="L495" s="696"/>
      <c r="M495" s="698"/>
      <c r="N495" s="700"/>
      <c r="O495" s="752"/>
    </row>
    <row r="496" spans="1:15" s="513" customFormat="1" ht="10.15" customHeight="1">
      <c r="A496" s="615"/>
      <c r="B496" s="535" t="s">
        <v>339</v>
      </c>
      <c r="C496" s="618">
        <v>2140</v>
      </c>
      <c r="D496" s="619">
        <v>43627</v>
      </c>
      <c r="E496" s="620" t="s">
        <v>304</v>
      </c>
      <c r="F496" s="620" t="s">
        <v>348</v>
      </c>
      <c r="G496" s="621">
        <v>966577</v>
      </c>
      <c r="H496" s="622">
        <v>6</v>
      </c>
      <c r="I496" s="620" t="s">
        <v>299</v>
      </c>
      <c r="J496" s="622">
        <v>67</v>
      </c>
      <c r="K496" s="623">
        <v>75.674000000000007</v>
      </c>
      <c r="L496" s="695">
        <f>J496+J497</f>
        <v>148</v>
      </c>
      <c r="M496" s="697">
        <f>SUM(K496:K497)</f>
        <v>148</v>
      </c>
      <c r="N496" s="699">
        <f t="shared" ref="N496" si="68">+L496-M496</f>
        <v>0</v>
      </c>
      <c r="O496" s="751" t="e">
        <f>+((K496+K497)+(#REF!+#REF!))/L496</f>
        <v>#REF!</v>
      </c>
    </row>
    <row r="497" spans="1:15" s="513" customFormat="1" ht="10.15" customHeight="1">
      <c r="A497" s="615"/>
      <c r="B497" s="535" t="s">
        <v>339</v>
      </c>
      <c r="C497" s="624">
        <v>2140</v>
      </c>
      <c r="D497" s="625">
        <v>43627</v>
      </c>
      <c r="E497" s="626" t="s">
        <v>304</v>
      </c>
      <c r="F497" s="626" t="s">
        <v>348</v>
      </c>
      <c r="G497" s="627">
        <v>966577</v>
      </c>
      <c r="H497" s="628">
        <v>6</v>
      </c>
      <c r="I497" s="626" t="s">
        <v>300</v>
      </c>
      <c r="J497" s="628">
        <v>81</v>
      </c>
      <c r="K497" s="629">
        <v>72.325999999999993</v>
      </c>
      <c r="L497" s="696"/>
      <c r="M497" s="698"/>
      <c r="N497" s="700"/>
      <c r="O497" s="752"/>
    </row>
    <row r="498" spans="1:15" s="513" customFormat="1" ht="10.15" customHeight="1">
      <c r="A498" s="615"/>
      <c r="B498" s="535" t="s">
        <v>339</v>
      </c>
      <c r="C498" s="618">
        <v>795</v>
      </c>
      <c r="D498" s="619">
        <v>43524</v>
      </c>
      <c r="E498" s="620" t="s">
        <v>304</v>
      </c>
      <c r="F498" s="620" t="s">
        <v>349</v>
      </c>
      <c r="G498" s="621">
        <v>966763</v>
      </c>
      <c r="H498" s="622">
        <v>6</v>
      </c>
      <c r="I498" s="620" t="s">
        <v>299</v>
      </c>
      <c r="J498" s="622">
        <v>36</v>
      </c>
      <c r="K498" s="623">
        <v>21.010999999999999</v>
      </c>
      <c r="L498" s="695">
        <f>J498+J499</f>
        <v>133</v>
      </c>
      <c r="M498" s="697">
        <f>SUM(K498:K499)</f>
        <v>133</v>
      </c>
      <c r="N498" s="699">
        <f t="shared" ref="N498" si="69">+L498-M498</f>
        <v>0</v>
      </c>
      <c r="O498" s="751" t="e">
        <f>+((K498+K499)+(#REF!+#REF!))/L498</f>
        <v>#REF!</v>
      </c>
    </row>
    <row r="499" spans="1:15" s="513" customFormat="1" ht="10.15" customHeight="1">
      <c r="A499" s="615"/>
      <c r="B499" s="535" t="s">
        <v>339</v>
      </c>
      <c r="C499" s="624">
        <v>795</v>
      </c>
      <c r="D499" s="625">
        <v>43524</v>
      </c>
      <c r="E499" s="626" t="s">
        <v>304</v>
      </c>
      <c r="F499" s="626" t="s">
        <v>349</v>
      </c>
      <c r="G499" s="627">
        <v>966763</v>
      </c>
      <c r="H499" s="628">
        <v>6</v>
      </c>
      <c r="I499" s="626" t="s">
        <v>300</v>
      </c>
      <c r="J499" s="628">
        <v>97</v>
      </c>
      <c r="K499" s="629">
        <v>111.989</v>
      </c>
      <c r="L499" s="696"/>
      <c r="M499" s="698"/>
      <c r="N499" s="700"/>
      <c r="O499" s="752"/>
    </row>
    <row r="500" spans="1:15" s="513" customFormat="1" ht="10.15" customHeight="1">
      <c r="A500" s="615"/>
      <c r="B500" s="535" t="s">
        <v>339</v>
      </c>
      <c r="C500" s="618">
        <v>1462</v>
      </c>
      <c r="D500" s="619">
        <v>43572</v>
      </c>
      <c r="E500" s="620" t="s">
        <v>304</v>
      </c>
      <c r="F500" s="620" t="s">
        <v>350</v>
      </c>
      <c r="G500" s="621">
        <v>951497</v>
      </c>
      <c r="H500" s="622">
        <v>7</v>
      </c>
      <c r="I500" s="620" t="s">
        <v>299</v>
      </c>
      <c r="J500" s="622">
        <v>62</v>
      </c>
      <c r="K500" s="623">
        <v>133.05099999999999</v>
      </c>
      <c r="L500" s="695">
        <f>J500+J501</f>
        <v>231</v>
      </c>
      <c r="M500" s="697">
        <f>SUM(K500:K501)</f>
        <v>231</v>
      </c>
      <c r="N500" s="699">
        <f t="shared" ref="N500" si="70">+L500-M500</f>
        <v>0</v>
      </c>
      <c r="O500" s="751" t="e">
        <f>+((K500+K501)+(#REF!+#REF!))/L500</f>
        <v>#REF!</v>
      </c>
    </row>
    <row r="501" spans="1:15" s="513" customFormat="1" ht="10.15" customHeight="1">
      <c r="A501" s="615"/>
      <c r="B501" s="535" t="s">
        <v>339</v>
      </c>
      <c r="C501" s="624">
        <v>1462</v>
      </c>
      <c r="D501" s="625">
        <v>43572</v>
      </c>
      <c r="E501" s="626" t="s">
        <v>304</v>
      </c>
      <c r="F501" s="626" t="s">
        <v>350</v>
      </c>
      <c r="G501" s="627">
        <v>951497</v>
      </c>
      <c r="H501" s="628">
        <v>7</v>
      </c>
      <c r="I501" s="626" t="s">
        <v>300</v>
      </c>
      <c r="J501" s="628">
        <v>169</v>
      </c>
      <c r="K501" s="629">
        <v>97.948999999999998</v>
      </c>
      <c r="L501" s="696"/>
      <c r="M501" s="698"/>
      <c r="N501" s="700"/>
      <c r="O501" s="752"/>
    </row>
    <row r="502" spans="1:15" s="513" customFormat="1" ht="10.15" customHeight="1">
      <c r="A502" s="615"/>
      <c r="B502" s="535" t="s">
        <v>339</v>
      </c>
      <c r="C502" s="618">
        <v>2140</v>
      </c>
      <c r="D502" s="619">
        <v>43627</v>
      </c>
      <c r="E502" s="620" t="s">
        <v>304</v>
      </c>
      <c r="F502" s="620" t="s">
        <v>350</v>
      </c>
      <c r="G502" s="621">
        <v>951497</v>
      </c>
      <c r="H502" s="622">
        <v>7</v>
      </c>
      <c r="I502" s="620" t="s">
        <v>299</v>
      </c>
      <c r="J502" s="622">
        <v>67</v>
      </c>
      <c r="K502" s="623">
        <v>67</v>
      </c>
      <c r="L502" s="695">
        <f>J502+J503</f>
        <v>148</v>
      </c>
      <c r="M502" s="697">
        <f>SUM(K502:K503)</f>
        <v>77.099000000000004</v>
      </c>
      <c r="N502" s="699">
        <f t="shared" ref="N502" si="71">+L502-M502</f>
        <v>70.900999999999996</v>
      </c>
      <c r="O502" s="751" t="e">
        <f>+((K502+K503)+(#REF!+#REF!))/L502</f>
        <v>#REF!</v>
      </c>
    </row>
    <row r="503" spans="1:15" s="513" customFormat="1" ht="10.15" customHeight="1">
      <c r="A503" s="615"/>
      <c r="B503" s="535" t="s">
        <v>339</v>
      </c>
      <c r="C503" s="624">
        <v>2140</v>
      </c>
      <c r="D503" s="625">
        <v>43627</v>
      </c>
      <c r="E503" s="626" t="s">
        <v>304</v>
      </c>
      <c r="F503" s="626" t="s">
        <v>350</v>
      </c>
      <c r="G503" s="627">
        <v>951497</v>
      </c>
      <c r="H503" s="628">
        <v>7</v>
      </c>
      <c r="I503" s="626" t="s">
        <v>300</v>
      </c>
      <c r="J503" s="628">
        <v>81</v>
      </c>
      <c r="K503" s="629">
        <v>10.099</v>
      </c>
      <c r="L503" s="696"/>
      <c r="M503" s="698"/>
      <c r="N503" s="700"/>
      <c r="O503" s="752"/>
    </row>
    <row r="504" spans="1:15" s="513" customFormat="1" ht="10.15" customHeight="1">
      <c r="A504" s="615"/>
      <c r="B504" s="535" t="s">
        <v>339</v>
      </c>
      <c r="C504" s="618">
        <v>1048</v>
      </c>
      <c r="D504" s="619">
        <v>43546</v>
      </c>
      <c r="E504" s="620" t="s">
        <v>304</v>
      </c>
      <c r="F504" s="620" t="s">
        <v>351</v>
      </c>
      <c r="G504" s="621">
        <v>963702</v>
      </c>
      <c r="H504" s="622">
        <v>7</v>
      </c>
      <c r="I504" s="620" t="s">
        <v>299</v>
      </c>
      <c r="J504" s="622">
        <v>48</v>
      </c>
      <c r="K504" s="623">
        <v>31.062000000000001</v>
      </c>
      <c r="L504" s="695">
        <f>J504+J505</f>
        <v>150</v>
      </c>
      <c r="M504" s="697">
        <f>SUM(K504:K505)</f>
        <v>150</v>
      </c>
      <c r="N504" s="699">
        <f t="shared" ref="N504" si="72">+L504-M504</f>
        <v>0</v>
      </c>
      <c r="O504" s="751" t="e">
        <f>+((K504+K505)+(#REF!+#REF!))/L504</f>
        <v>#REF!</v>
      </c>
    </row>
    <row r="505" spans="1:15" s="513" customFormat="1" ht="10.15" customHeight="1">
      <c r="A505" s="615"/>
      <c r="B505" s="535" t="s">
        <v>339</v>
      </c>
      <c r="C505" s="624">
        <v>1048</v>
      </c>
      <c r="D505" s="625">
        <v>43546</v>
      </c>
      <c r="E505" s="626" t="s">
        <v>304</v>
      </c>
      <c r="F505" s="626" t="s">
        <v>351</v>
      </c>
      <c r="G505" s="627">
        <v>963702</v>
      </c>
      <c r="H505" s="628">
        <v>7</v>
      </c>
      <c r="I505" s="626" t="s">
        <v>300</v>
      </c>
      <c r="J505" s="628">
        <v>102</v>
      </c>
      <c r="K505" s="629">
        <v>118.938</v>
      </c>
      <c r="L505" s="696"/>
      <c r="M505" s="698"/>
      <c r="N505" s="700"/>
      <c r="O505" s="752"/>
    </row>
    <row r="506" spans="1:15" s="513" customFormat="1" ht="10.15" customHeight="1">
      <c r="A506" s="615"/>
      <c r="B506" s="535" t="s">
        <v>339</v>
      </c>
      <c r="C506" s="618">
        <v>1638</v>
      </c>
      <c r="D506" s="619">
        <v>43585</v>
      </c>
      <c r="E506" s="620" t="s">
        <v>304</v>
      </c>
      <c r="F506" s="620" t="s">
        <v>352</v>
      </c>
      <c r="G506" s="621">
        <v>964441</v>
      </c>
      <c r="H506" s="622">
        <v>7</v>
      </c>
      <c r="I506" s="620" t="s">
        <v>299</v>
      </c>
      <c r="J506" s="622">
        <v>10</v>
      </c>
      <c r="K506" s="623">
        <v>46.356000000000002</v>
      </c>
      <c r="L506" s="695">
        <f>J506+J507</f>
        <v>100</v>
      </c>
      <c r="M506" s="697">
        <f>SUM(K506:K507)</f>
        <v>100</v>
      </c>
      <c r="N506" s="699">
        <f t="shared" ref="N506" si="73">+L506-M506</f>
        <v>0</v>
      </c>
      <c r="O506" s="751" t="e">
        <f>+((K506+K507)+(#REF!+#REF!))/L506</f>
        <v>#REF!</v>
      </c>
    </row>
    <row r="507" spans="1:15" s="513" customFormat="1" ht="10.15" customHeight="1">
      <c r="A507" s="615"/>
      <c r="B507" s="535" t="s">
        <v>339</v>
      </c>
      <c r="C507" s="624">
        <v>1638</v>
      </c>
      <c r="D507" s="625">
        <v>43585</v>
      </c>
      <c r="E507" s="626" t="s">
        <v>304</v>
      </c>
      <c r="F507" s="626" t="s">
        <v>352</v>
      </c>
      <c r="G507" s="627">
        <v>964441</v>
      </c>
      <c r="H507" s="628">
        <v>7</v>
      </c>
      <c r="I507" s="626" t="s">
        <v>300</v>
      </c>
      <c r="J507" s="628">
        <v>90</v>
      </c>
      <c r="K507" s="629">
        <v>53.643999999999998</v>
      </c>
      <c r="L507" s="696"/>
      <c r="M507" s="698"/>
      <c r="N507" s="700"/>
      <c r="O507" s="752"/>
    </row>
    <row r="508" spans="1:15" s="513" customFormat="1" ht="10.15" customHeight="1">
      <c r="A508" s="615"/>
      <c r="B508" s="535" t="s">
        <v>339</v>
      </c>
      <c r="C508" s="618">
        <v>1048</v>
      </c>
      <c r="D508" s="619">
        <v>43546</v>
      </c>
      <c r="E508" s="620" t="s">
        <v>304</v>
      </c>
      <c r="F508" s="620" t="s">
        <v>353</v>
      </c>
      <c r="G508" s="621">
        <v>966475</v>
      </c>
      <c r="H508" s="622">
        <v>7</v>
      </c>
      <c r="I508" s="620" t="s">
        <v>299</v>
      </c>
      <c r="J508" s="622">
        <v>48</v>
      </c>
      <c r="K508" s="623">
        <v>86.820999999999998</v>
      </c>
      <c r="L508" s="695">
        <f>J508+J509</f>
        <v>150</v>
      </c>
      <c r="M508" s="697">
        <f>SUM(K508:K509)</f>
        <v>150</v>
      </c>
      <c r="N508" s="699">
        <f t="shared" ref="N508" si="74">+L508-M508</f>
        <v>0</v>
      </c>
      <c r="O508" s="751" t="e">
        <f>+((K508+K509)+(#REF!+#REF!))/L508</f>
        <v>#REF!</v>
      </c>
    </row>
    <row r="509" spans="1:15" s="513" customFormat="1" ht="10.15" customHeight="1">
      <c r="A509" s="615"/>
      <c r="B509" s="535" t="s">
        <v>339</v>
      </c>
      <c r="C509" s="624">
        <v>1048</v>
      </c>
      <c r="D509" s="625">
        <v>43546</v>
      </c>
      <c r="E509" s="626" t="s">
        <v>304</v>
      </c>
      <c r="F509" s="626" t="s">
        <v>353</v>
      </c>
      <c r="G509" s="627">
        <v>966475</v>
      </c>
      <c r="H509" s="628">
        <v>7</v>
      </c>
      <c r="I509" s="626" t="s">
        <v>300</v>
      </c>
      <c r="J509" s="628">
        <v>102</v>
      </c>
      <c r="K509" s="629">
        <v>63.179000000000002</v>
      </c>
      <c r="L509" s="696"/>
      <c r="M509" s="698"/>
      <c r="N509" s="700"/>
      <c r="O509" s="752"/>
    </row>
    <row r="510" spans="1:15" s="513" customFormat="1" ht="10.15" customHeight="1">
      <c r="A510" s="615"/>
      <c r="B510" s="535" t="s">
        <v>339</v>
      </c>
      <c r="C510" s="618">
        <v>1638</v>
      </c>
      <c r="D510" s="619">
        <v>43585</v>
      </c>
      <c r="E510" s="620" t="s">
        <v>304</v>
      </c>
      <c r="F510" s="620" t="s">
        <v>354</v>
      </c>
      <c r="G510" s="621">
        <v>967596</v>
      </c>
      <c r="H510" s="622">
        <v>7</v>
      </c>
      <c r="I510" s="620" t="s">
        <v>299</v>
      </c>
      <c r="J510" s="622">
        <v>20</v>
      </c>
      <c r="K510" s="623">
        <v>63.13</v>
      </c>
      <c r="L510" s="695">
        <f>J510+J511</f>
        <v>200</v>
      </c>
      <c r="M510" s="697">
        <f>SUM(K510:K511)</f>
        <v>200</v>
      </c>
      <c r="N510" s="699">
        <f t="shared" ref="N510" si="75">+L510-M510</f>
        <v>0</v>
      </c>
      <c r="O510" s="751" t="e">
        <f>+((K510+K511)+(#REF!+#REF!))/L510</f>
        <v>#REF!</v>
      </c>
    </row>
    <row r="511" spans="1:15" s="513" customFormat="1" ht="10.15" customHeight="1">
      <c r="A511" s="615"/>
      <c r="B511" s="535" t="s">
        <v>339</v>
      </c>
      <c r="C511" s="624">
        <v>1638</v>
      </c>
      <c r="D511" s="625">
        <v>43585</v>
      </c>
      <c r="E511" s="626" t="s">
        <v>304</v>
      </c>
      <c r="F511" s="626" t="s">
        <v>354</v>
      </c>
      <c r="G511" s="627">
        <v>967596</v>
      </c>
      <c r="H511" s="628">
        <v>7</v>
      </c>
      <c r="I511" s="626" t="s">
        <v>300</v>
      </c>
      <c r="J511" s="628">
        <v>180</v>
      </c>
      <c r="K511" s="629">
        <v>136.87</v>
      </c>
      <c r="L511" s="696"/>
      <c r="M511" s="698"/>
      <c r="N511" s="700"/>
      <c r="O511" s="752"/>
    </row>
    <row r="512" spans="1:15" s="513" customFormat="1" ht="10.15" customHeight="1">
      <c r="A512" s="615"/>
      <c r="B512" s="535" t="s">
        <v>339</v>
      </c>
      <c r="C512" s="618">
        <v>2122</v>
      </c>
      <c r="D512" s="619">
        <v>43623</v>
      </c>
      <c r="E512" s="620" t="s">
        <v>304</v>
      </c>
      <c r="F512" s="620" t="s">
        <v>354</v>
      </c>
      <c r="G512" s="621">
        <v>967596</v>
      </c>
      <c r="H512" s="622">
        <v>7</v>
      </c>
      <c r="I512" s="620" t="s">
        <v>299</v>
      </c>
      <c r="J512" s="622">
        <v>25</v>
      </c>
      <c r="K512" s="623">
        <v>37.341000000000001</v>
      </c>
      <c r="L512" s="695">
        <f>J512+J513</f>
        <v>92</v>
      </c>
      <c r="M512" s="697">
        <f>SUM(K512:K513)</f>
        <v>92</v>
      </c>
      <c r="N512" s="699">
        <f t="shared" ref="N512" si="76">+L512-M512</f>
        <v>0</v>
      </c>
      <c r="O512" s="751" t="e">
        <f>+((K512+K513)+(#REF!+#REF!))/L512</f>
        <v>#REF!</v>
      </c>
    </row>
    <row r="513" spans="1:15" s="513" customFormat="1" ht="10.15" customHeight="1">
      <c r="A513" s="615"/>
      <c r="B513" s="535" t="s">
        <v>339</v>
      </c>
      <c r="C513" s="624">
        <v>2122</v>
      </c>
      <c r="D513" s="625">
        <v>43623</v>
      </c>
      <c r="E513" s="626" t="s">
        <v>304</v>
      </c>
      <c r="F513" s="626" t="s">
        <v>354</v>
      </c>
      <c r="G513" s="627">
        <v>967596</v>
      </c>
      <c r="H513" s="628">
        <v>7</v>
      </c>
      <c r="I513" s="626" t="s">
        <v>300</v>
      </c>
      <c r="J513" s="628">
        <v>67</v>
      </c>
      <c r="K513" s="629">
        <v>54.658999999999999</v>
      </c>
      <c r="L513" s="696"/>
      <c r="M513" s="698"/>
      <c r="N513" s="700"/>
      <c r="O513" s="752"/>
    </row>
    <row r="514" spans="1:15" s="513" customFormat="1" ht="10.15" customHeight="1">
      <c r="A514" s="615"/>
      <c r="B514" s="535" t="s">
        <v>339</v>
      </c>
      <c r="C514" s="618">
        <v>1638</v>
      </c>
      <c r="D514" s="619">
        <v>43585</v>
      </c>
      <c r="E514" s="620" t="s">
        <v>304</v>
      </c>
      <c r="F514" s="620" t="s">
        <v>355</v>
      </c>
      <c r="G514" s="621">
        <v>924619</v>
      </c>
      <c r="H514" s="622">
        <v>8</v>
      </c>
      <c r="I514" s="620" t="s">
        <v>299</v>
      </c>
      <c r="J514" s="622">
        <v>10</v>
      </c>
      <c r="K514" s="623">
        <v>10</v>
      </c>
      <c r="L514" s="695">
        <f>J514+J515</f>
        <v>100</v>
      </c>
      <c r="M514" s="697">
        <f>SUM(K514:K515)</f>
        <v>100</v>
      </c>
      <c r="N514" s="699">
        <f t="shared" ref="N514" si="77">+L514-M514</f>
        <v>0</v>
      </c>
      <c r="O514" s="751" t="e">
        <f>+((K514+K515)+(#REF!+#REF!))/L514</f>
        <v>#REF!</v>
      </c>
    </row>
    <row r="515" spans="1:15" s="513" customFormat="1" ht="10.15" customHeight="1">
      <c r="A515" s="615"/>
      <c r="B515" s="535" t="s">
        <v>339</v>
      </c>
      <c r="C515" s="624">
        <v>1638</v>
      </c>
      <c r="D515" s="625">
        <v>43585</v>
      </c>
      <c r="E515" s="626" t="s">
        <v>304</v>
      </c>
      <c r="F515" s="626" t="s">
        <v>355</v>
      </c>
      <c r="G515" s="627">
        <v>924619</v>
      </c>
      <c r="H515" s="628">
        <v>8</v>
      </c>
      <c r="I515" s="626" t="s">
        <v>300</v>
      </c>
      <c r="J515" s="628">
        <v>90</v>
      </c>
      <c r="K515" s="629">
        <v>90</v>
      </c>
      <c r="L515" s="696"/>
      <c r="M515" s="698"/>
      <c r="N515" s="700"/>
      <c r="O515" s="752"/>
    </row>
    <row r="516" spans="1:15" s="513" customFormat="1" ht="10.15" customHeight="1">
      <c r="A516" s="615"/>
      <c r="B516" s="535" t="s">
        <v>339</v>
      </c>
      <c r="C516" s="618">
        <v>1638</v>
      </c>
      <c r="D516" s="619">
        <v>43585</v>
      </c>
      <c r="E516" s="620" t="s">
        <v>304</v>
      </c>
      <c r="F516" s="620" t="s">
        <v>356</v>
      </c>
      <c r="G516" s="621">
        <v>963843</v>
      </c>
      <c r="H516" s="622">
        <v>8</v>
      </c>
      <c r="I516" s="620" t="s">
        <v>299</v>
      </c>
      <c r="J516" s="622">
        <v>10</v>
      </c>
      <c r="K516" s="623">
        <v>35.942</v>
      </c>
      <c r="L516" s="695">
        <f>J516+J517</f>
        <v>100</v>
      </c>
      <c r="M516" s="697">
        <f>SUM(K516:K517)</f>
        <v>100.00200000000001</v>
      </c>
      <c r="N516" s="699">
        <f t="shared" ref="N516" si="78">+L516-M516</f>
        <v>-2.0000000000095497E-3</v>
      </c>
      <c r="O516" s="751" t="e">
        <f>+((K516+K517)+(#REF!+#REF!))/L516</f>
        <v>#REF!</v>
      </c>
    </row>
    <row r="517" spans="1:15" s="513" customFormat="1" ht="10.15" customHeight="1">
      <c r="A517" s="615"/>
      <c r="B517" s="535" t="s">
        <v>339</v>
      </c>
      <c r="C517" s="624">
        <v>1638</v>
      </c>
      <c r="D517" s="625">
        <v>43585</v>
      </c>
      <c r="E517" s="626" t="s">
        <v>304</v>
      </c>
      <c r="F517" s="626" t="s">
        <v>356</v>
      </c>
      <c r="G517" s="627">
        <v>963843</v>
      </c>
      <c r="H517" s="628">
        <v>8</v>
      </c>
      <c r="I517" s="626" t="s">
        <v>300</v>
      </c>
      <c r="J517" s="628">
        <v>90</v>
      </c>
      <c r="K517" s="629">
        <v>64.06</v>
      </c>
      <c r="L517" s="696"/>
      <c r="M517" s="698"/>
      <c r="N517" s="700"/>
      <c r="O517" s="752"/>
    </row>
    <row r="518" spans="1:15" s="513" customFormat="1" ht="10.15" customHeight="1">
      <c r="A518" s="615"/>
      <c r="B518" s="535" t="s">
        <v>339</v>
      </c>
      <c r="C518" s="618">
        <v>1462</v>
      </c>
      <c r="D518" s="619">
        <v>43572</v>
      </c>
      <c r="E518" s="620" t="s">
        <v>304</v>
      </c>
      <c r="F518" s="620" t="s">
        <v>357</v>
      </c>
      <c r="G518" s="621">
        <v>923000</v>
      </c>
      <c r="H518" s="622">
        <v>9</v>
      </c>
      <c r="I518" s="620" t="s">
        <v>299</v>
      </c>
      <c r="J518" s="622">
        <v>62</v>
      </c>
      <c r="K518" s="623">
        <v>33.627000000000002</v>
      </c>
      <c r="L518" s="695">
        <f>J518+J519</f>
        <v>229</v>
      </c>
      <c r="M518" s="697">
        <f>SUM(K518:K519)</f>
        <v>229</v>
      </c>
      <c r="N518" s="699">
        <f t="shared" ref="N518" si="79">+L518-M518</f>
        <v>0</v>
      </c>
      <c r="O518" s="751" t="e">
        <f>+((K518+K519)+(#REF!+#REF!))/L518</f>
        <v>#REF!</v>
      </c>
    </row>
    <row r="519" spans="1:15" s="513" customFormat="1" ht="10.15" customHeight="1">
      <c r="A519" s="615"/>
      <c r="B519" s="535" t="s">
        <v>339</v>
      </c>
      <c r="C519" s="624">
        <v>1462</v>
      </c>
      <c r="D519" s="625">
        <v>43572</v>
      </c>
      <c r="E519" s="626" t="s">
        <v>304</v>
      </c>
      <c r="F519" s="626" t="s">
        <v>357</v>
      </c>
      <c r="G519" s="627">
        <v>923000</v>
      </c>
      <c r="H519" s="628">
        <v>9</v>
      </c>
      <c r="I519" s="626" t="s">
        <v>300</v>
      </c>
      <c r="J519" s="628">
        <v>167</v>
      </c>
      <c r="K519" s="629">
        <v>195.37299999999999</v>
      </c>
      <c r="L519" s="696"/>
      <c r="M519" s="698"/>
      <c r="N519" s="700"/>
      <c r="O519" s="752"/>
    </row>
    <row r="520" spans="1:15" s="513" customFormat="1" ht="10.15" customHeight="1">
      <c r="A520" s="615"/>
      <c r="B520" s="535" t="s">
        <v>339</v>
      </c>
      <c r="C520" s="618">
        <v>2140</v>
      </c>
      <c r="D520" s="619">
        <v>43627</v>
      </c>
      <c r="E520" s="620" t="s">
        <v>304</v>
      </c>
      <c r="F520" s="620" t="s">
        <v>357</v>
      </c>
      <c r="G520" s="621">
        <v>923000</v>
      </c>
      <c r="H520" s="622">
        <v>9</v>
      </c>
      <c r="I520" s="620" t="s">
        <v>299</v>
      </c>
      <c r="J520" s="622">
        <v>67</v>
      </c>
      <c r="K520" s="623">
        <v>31.401</v>
      </c>
      <c r="L520" s="695">
        <f>J520+J521</f>
        <v>148</v>
      </c>
      <c r="M520" s="697">
        <f>SUM(K520:K521)</f>
        <v>83.56</v>
      </c>
      <c r="N520" s="699">
        <f t="shared" ref="N520" si="80">+L520-M520</f>
        <v>64.44</v>
      </c>
      <c r="O520" s="751" t="e">
        <f>+((K520+K521)+(#REF!+#REF!))/L520</f>
        <v>#REF!</v>
      </c>
    </row>
    <row r="521" spans="1:15" s="513" customFormat="1" ht="10.15" customHeight="1">
      <c r="A521" s="615"/>
      <c r="B521" s="535" t="s">
        <v>339</v>
      </c>
      <c r="C521" s="624">
        <v>2140</v>
      </c>
      <c r="D521" s="625">
        <v>43627</v>
      </c>
      <c r="E521" s="626" t="s">
        <v>304</v>
      </c>
      <c r="F521" s="626" t="s">
        <v>357</v>
      </c>
      <c r="G521" s="627">
        <v>923000</v>
      </c>
      <c r="H521" s="628">
        <v>9</v>
      </c>
      <c r="I521" s="626" t="s">
        <v>300</v>
      </c>
      <c r="J521" s="628">
        <v>81</v>
      </c>
      <c r="K521" s="629">
        <v>52.158999999999999</v>
      </c>
      <c r="L521" s="696"/>
      <c r="M521" s="698"/>
      <c r="N521" s="700"/>
      <c r="O521" s="752"/>
    </row>
    <row r="522" spans="1:15" s="513" customFormat="1" ht="10.15" customHeight="1">
      <c r="A522" s="615"/>
      <c r="B522" s="535" t="s">
        <v>339</v>
      </c>
      <c r="C522" s="618">
        <v>795</v>
      </c>
      <c r="D522" s="619">
        <v>43524</v>
      </c>
      <c r="E522" s="620" t="s">
        <v>304</v>
      </c>
      <c r="F522" s="620" t="s">
        <v>358</v>
      </c>
      <c r="G522" s="621">
        <v>951093</v>
      </c>
      <c r="H522" s="622">
        <v>9</v>
      </c>
      <c r="I522" s="620" t="s">
        <v>299</v>
      </c>
      <c r="J522" s="622">
        <v>19</v>
      </c>
      <c r="K522" s="623">
        <v>9.2940000000000005</v>
      </c>
      <c r="L522" s="695">
        <f>J522+J523</f>
        <v>70</v>
      </c>
      <c r="M522" s="697">
        <f>SUM(K522:K523)</f>
        <v>59.769999999999996</v>
      </c>
      <c r="N522" s="699">
        <f t="shared" ref="N522" si="81">+L522-M522</f>
        <v>10.230000000000004</v>
      </c>
      <c r="O522" s="751" t="e">
        <f>+((K522+K523)+(#REF!+#REF!))/L522</f>
        <v>#REF!</v>
      </c>
    </row>
    <row r="523" spans="1:15" s="513" customFormat="1" ht="10.15" customHeight="1">
      <c r="A523" s="615"/>
      <c r="B523" s="535" t="s">
        <v>339</v>
      </c>
      <c r="C523" s="624">
        <v>795</v>
      </c>
      <c r="D523" s="625">
        <v>43524</v>
      </c>
      <c r="E523" s="626" t="s">
        <v>304</v>
      </c>
      <c r="F523" s="626" t="s">
        <v>358</v>
      </c>
      <c r="G523" s="627">
        <v>951093</v>
      </c>
      <c r="H523" s="628">
        <v>9</v>
      </c>
      <c r="I523" s="626" t="s">
        <v>300</v>
      </c>
      <c r="J523" s="628">
        <v>51</v>
      </c>
      <c r="K523" s="629">
        <v>50.475999999999999</v>
      </c>
      <c r="L523" s="696"/>
      <c r="M523" s="698"/>
      <c r="N523" s="700"/>
      <c r="O523" s="752"/>
    </row>
    <row r="524" spans="1:15" s="513" customFormat="1" ht="10.15" customHeight="1">
      <c r="A524" s="615"/>
      <c r="B524" s="535" t="s">
        <v>339</v>
      </c>
      <c r="C524" s="618">
        <v>1462</v>
      </c>
      <c r="D524" s="619">
        <v>43572</v>
      </c>
      <c r="E524" s="620" t="s">
        <v>304</v>
      </c>
      <c r="F524" s="620" t="s">
        <v>359</v>
      </c>
      <c r="G524" s="621">
        <v>951944</v>
      </c>
      <c r="H524" s="622">
        <v>9</v>
      </c>
      <c r="I524" s="620" t="s">
        <v>299</v>
      </c>
      <c r="J524" s="622">
        <v>58</v>
      </c>
      <c r="K524" s="623">
        <v>38.082999999999998</v>
      </c>
      <c r="L524" s="695">
        <f>J524+J525</f>
        <v>217</v>
      </c>
      <c r="M524" s="697">
        <f>SUM(K524:K525)</f>
        <v>88.847000000000008</v>
      </c>
      <c r="N524" s="699">
        <f t="shared" ref="N524" si="82">+L524-M524</f>
        <v>128.15299999999999</v>
      </c>
      <c r="O524" s="751" t="e">
        <f>+((K524+K525)+(#REF!+#REF!))/L524</f>
        <v>#REF!</v>
      </c>
    </row>
    <row r="525" spans="1:15" s="513" customFormat="1" ht="10.15" customHeight="1">
      <c r="A525" s="615"/>
      <c r="B525" s="535" t="s">
        <v>339</v>
      </c>
      <c r="C525" s="624">
        <v>1462</v>
      </c>
      <c r="D525" s="625">
        <v>43572</v>
      </c>
      <c r="E525" s="626" t="s">
        <v>304</v>
      </c>
      <c r="F525" s="626" t="s">
        <v>359</v>
      </c>
      <c r="G525" s="627">
        <v>951944</v>
      </c>
      <c r="H525" s="628">
        <v>9</v>
      </c>
      <c r="I525" s="626" t="s">
        <v>300</v>
      </c>
      <c r="J525" s="628">
        <v>159</v>
      </c>
      <c r="K525" s="629">
        <v>50.764000000000003</v>
      </c>
      <c r="L525" s="696"/>
      <c r="M525" s="698"/>
      <c r="N525" s="700"/>
      <c r="O525" s="752"/>
    </row>
    <row r="526" spans="1:15" s="513" customFormat="1" ht="10.15" customHeight="1">
      <c r="A526" s="615"/>
      <c r="B526" s="535" t="s">
        <v>339</v>
      </c>
      <c r="C526" s="618">
        <v>1462</v>
      </c>
      <c r="D526" s="619">
        <v>43572</v>
      </c>
      <c r="E526" s="620" t="s">
        <v>304</v>
      </c>
      <c r="F526" s="620" t="s">
        <v>360</v>
      </c>
      <c r="G526" s="621">
        <v>951974</v>
      </c>
      <c r="H526" s="622">
        <v>9</v>
      </c>
      <c r="I526" s="620" t="s">
        <v>299</v>
      </c>
      <c r="J526" s="622">
        <v>97</v>
      </c>
      <c r="K526" s="623">
        <v>131.87700000000001</v>
      </c>
      <c r="L526" s="695">
        <f>J526+J527</f>
        <v>361</v>
      </c>
      <c r="M526" s="697">
        <f>SUM(K526:K527)</f>
        <v>305.399</v>
      </c>
      <c r="N526" s="699">
        <f t="shared" ref="N526" si="83">+L526-M526</f>
        <v>55.600999999999999</v>
      </c>
      <c r="O526" s="751" t="e">
        <f>+((K526+K527)+(#REF!+#REF!))/L526</f>
        <v>#REF!</v>
      </c>
    </row>
    <row r="527" spans="1:15" s="513" customFormat="1" ht="10.15" customHeight="1">
      <c r="A527" s="615"/>
      <c r="B527" s="535" t="s">
        <v>339</v>
      </c>
      <c r="C527" s="624">
        <v>1462</v>
      </c>
      <c r="D527" s="625">
        <v>43572</v>
      </c>
      <c r="E527" s="626" t="s">
        <v>304</v>
      </c>
      <c r="F527" s="626" t="s">
        <v>360</v>
      </c>
      <c r="G527" s="627">
        <v>951974</v>
      </c>
      <c r="H527" s="628">
        <v>9</v>
      </c>
      <c r="I527" s="626" t="s">
        <v>300</v>
      </c>
      <c r="J527" s="628">
        <v>264</v>
      </c>
      <c r="K527" s="629">
        <v>173.52199999999999</v>
      </c>
      <c r="L527" s="696"/>
      <c r="M527" s="698"/>
      <c r="N527" s="700"/>
      <c r="O527" s="752"/>
    </row>
    <row r="528" spans="1:15" s="513" customFormat="1" ht="10.15" customHeight="1">
      <c r="A528" s="615"/>
      <c r="B528" s="535" t="s">
        <v>339</v>
      </c>
      <c r="C528" s="618">
        <v>2140</v>
      </c>
      <c r="D528" s="619">
        <v>43627</v>
      </c>
      <c r="E528" s="620" t="s">
        <v>304</v>
      </c>
      <c r="F528" s="620" t="s">
        <v>360</v>
      </c>
      <c r="G528" s="621">
        <v>951974</v>
      </c>
      <c r="H528" s="622">
        <v>9</v>
      </c>
      <c r="I528" s="620" t="s">
        <v>299</v>
      </c>
      <c r="J528" s="622">
        <v>67</v>
      </c>
      <c r="K528" s="623">
        <v>27.059000000000001</v>
      </c>
      <c r="L528" s="695">
        <f>J528+J529</f>
        <v>148</v>
      </c>
      <c r="M528" s="697">
        <f>SUM(K528:K529)</f>
        <v>27.059000000000001</v>
      </c>
      <c r="N528" s="699">
        <f t="shared" ref="N528" si="84">+L528-M528</f>
        <v>120.941</v>
      </c>
      <c r="O528" s="751" t="e">
        <f>+((K528+K529)+(#REF!+#REF!))/L528</f>
        <v>#REF!</v>
      </c>
    </row>
    <row r="529" spans="1:15" s="513" customFormat="1" ht="10.15" customHeight="1">
      <c r="A529" s="615"/>
      <c r="B529" s="535" t="s">
        <v>339</v>
      </c>
      <c r="C529" s="624">
        <v>2140</v>
      </c>
      <c r="D529" s="625">
        <v>43627</v>
      </c>
      <c r="E529" s="626" t="s">
        <v>304</v>
      </c>
      <c r="F529" s="626" t="s">
        <v>360</v>
      </c>
      <c r="G529" s="627">
        <v>951974</v>
      </c>
      <c r="H529" s="628">
        <v>9</v>
      </c>
      <c r="I529" s="626" t="s">
        <v>300</v>
      </c>
      <c r="J529" s="628">
        <v>81</v>
      </c>
      <c r="K529" s="629"/>
      <c r="L529" s="696"/>
      <c r="M529" s="698"/>
      <c r="N529" s="700"/>
      <c r="O529" s="752"/>
    </row>
    <row r="530" spans="1:15" s="513" customFormat="1" ht="10.15" customHeight="1">
      <c r="A530" s="615"/>
      <c r="B530" s="535" t="s">
        <v>339</v>
      </c>
      <c r="C530" s="618">
        <v>795</v>
      </c>
      <c r="D530" s="619">
        <v>43524</v>
      </c>
      <c r="E530" s="620" t="s">
        <v>304</v>
      </c>
      <c r="F530" s="620" t="s">
        <v>361</v>
      </c>
      <c r="G530" s="621">
        <v>958253</v>
      </c>
      <c r="H530" s="622">
        <v>9</v>
      </c>
      <c r="I530" s="620" t="s">
        <v>299</v>
      </c>
      <c r="J530" s="622">
        <v>24</v>
      </c>
      <c r="K530" s="623">
        <v>11.958</v>
      </c>
      <c r="L530" s="695">
        <f>J530+J531</f>
        <v>90</v>
      </c>
      <c r="M530" s="697">
        <f>SUM(K530:K531)</f>
        <v>90</v>
      </c>
      <c r="N530" s="699">
        <f t="shared" ref="N530" si="85">+L530-M530</f>
        <v>0</v>
      </c>
      <c r="O530" s="751" t="e">
        <f>+((K530+K531)+(#REF!+#REF!))/L530</f>
        <v>#REF!</v>
      </c>
    </row>
    <row r="531" spans="1:15" s="513" customFormat="1" ht="10.15" customHeight="1">
      <c r="A531" s="615"/>
      <c r="B531" s="535" t="s">
        <v>339</v>
      </c>
      <c r="C531" s="624">
        <v>795</v>
      </c>
      <c r="D531" s="625">
        <v>43524</v>
      </c>
      <c r="E531" s="626" t="s">
        <v>304</v>
      </c>
      <c r="F531" s="626" t="s">
        <v>361</v>
      </c>
      <c r="G531" s="627">
        <v>958253</v>
      </c>
      <c r="H531" s="628">
        <v>9</v>
      </c>
      <c r="I531" s="626" t="s">
        <v>300</v>
      </c>
      <c r="J531" s="628">
        <v>66</v>
      </c>
      <c r="K531" s="629">
        <v>78.042000000000002</v>
      </c>
      <c r="L531" s="696"/>
      <c r="M531" s="698"/>
      <c r="N531" s="700"/>
      <c r="O531" s="752"/>
    </row>
    <row r="532" spans="1:15" s="513" customFormat="1" ht="10.15" customHeight="1">
      <c r="A532" s="615"/>
      <c r="B532" s="535" t="s">
        <v>339</v>
      </c>
      <c r="C532" s="618">
        <v>1462</v>
      </c>
      <c r="D532" s="619">
        <v>43572</v>
      </c>
      <c r="E532" s="620" t="s">
        <v>304</v>
      </c>
      <c r="F532" s="620" t="s">
        <v>362</v>
      </c>
      <c r="G532" s="621">
        <v>960959</v>
      </c>
      <c r="H532" s="622">
        <v>9</v>
      </c>
      <c r="I532" s="620" t="s">
        <v>299</v>
      </c>
      <c r="J532" s="622">
        <v>90</v>
      </c>
      <c r="K532" s="623">
        <v>61.881</v>
      </c>
      <c r="L532" s="695">
        <f>J532+J533</f>
        <v>335</v>
      </c>
      <c r="M532" s="697">
        <f>SUM(K532:K533)</f>
        <v>321.79600000000005</v>
      </c>
      <c r="N532" s="699">
        <f t="shared" ref="N532" si="86">+L532-M532</f>
        <v>13.203999999999951</v>
      </c>
      <c r="O532" s="751" t="e">
        <f>+((K532+K533)+(#REF!+#REF!))/L532</f>
        <v>#REF!</v>
      </c>
    </row>
    <row r="533" spans="1:15" s="513" customFormat="1" ht="10.15" customHeight="1">
      <c r="A533" s="615"/>
      <c r="B533" s="535" t="s">
        <v>339</v>
      </c>
      <c r="C533" s="624">
        <v>1462</v>
      </c>
      <c r="D533" s="625">
        <v>43572</v>
      </c>
      <c r="E533" s="626" t="s">
        <v>304</v>
      </c>
      <c r="F533" s="626" t="s">
        <v>362</v>
      </c>
      <c r="G533" s="627">
        <v>960959</v>
      </c>
      <c r="H533" s="628">
        <v>9</v>
      </c>
      <c r="I533" s="626" t="s">
        <v>300</v>
      </c>
      <c r="J533" s="628">
        <v>245</v>
      </c>
      <c r="K533" s="629">
        <v>259.91500000000002</v>
      </c>
      <c r="L533" s="696"/>
      <c r="M533" s="698"/>
      <c r="N533" s="700"/>
      <c r="O533" s="752"/>
    </row>
    <row r="534" spans="1:15" s="513" customFormat="1" ht="10.15" customHeight="1">
      <c r="A534" s="615"/>
      <c r="B534" s="535" t="s">
        <v>339</v>
      </c>
      <c r="C534" s="618">
        <v>1462</v>
      </c>
      <c r="D534" s="619">
        <v>43572</v>
      </c>
      <c r="E534" s="620" t="s">
        <v>304</v>
      </c>
      <c r="F534" s="620" t="s">
        <v>363</v>
      </c>
      <c r="G534" s="621">
        <v>960143</v>
      </c>
      <c r="H534" s="622">
        <v>10</v>
      </c>
      <c r="I534" s="620" t="s">
        <v>299</v>
      </c>
      <c r="J534" s="622">
        <v>62</v>
      </c>
      <c r="K534" s="623">
        <v>90.445999999999998</v>
      </c>
      <c r="L534" s="695">
        <f>J534+J535</f>
        <v>231</v>
      </c>
      <c r="M534" s="697">
        <f>SUM(K534:K535)</f>
        <v>163.821</v>
      </c>
      <c r="N534" s="699">
        <f t="shared" ref="N534" si="87">+L534-M534</f>
        <v>67.179000000000002</v>
      </c>
      <c r="O534" s="751" t="e">
        <f>+((K534+K535)+(#REF!+#REF!))/L534</f>
        <v>#REF!</v>
      </c>
    </row>
    <row r="535" spans="1:15" s="513" customFormat="1" ht="10.15" customHeight="1">
      <c r="A535" s="615"/>
      <c r="B535" s="535" t="s">
        <v>339</v>
      </c>
      <c r="C535" s="624">
        <v>1462</v>
      </c>
      <c r="D535" s="625">
        <v>43572</v>
      </c>
      <c r="E535" s="626" t="s">
        <v>304</v>
      </c>
      <c r="F535" s="626" t="s">
        <v>363</v>
      </c>
      <c r="G535" s="627">
        <v>960143</v>
      </c>
      <c r="H535" s="628">
        <v>10</v>
      </c>
      <c r="I535" s="626" t="s">
        <v>300</v>
      </c>
      <c r="J535" s="628">
        <v>169</v>
      </c>
      <c r="K535" s="629">
        <v>73.375</v>
      </c>
      <c r="L535" s="696"/>
      <c r="M535" s="698"/>
      <c r="N535" s="700"/>
      <c r="O535" s="752"/>
    </row>
    <row r="536" spans="1:15" s="513" customFormat="1" ht="10.15" customHeight="1">
      <c r="A536" s="615"/>
      <c r="B536" s="535" t="s">
        <v>339</v>
      </c>
      <c r="C536" s="618">
        <v>2201</v>
      </c>
      <c r="D536" s="619">
        <v>43635</v>
      </c>
      <c r="E536" s="620" t="s">
        <v>304</v>
      </c>
      <c r="F536" s="620" t="s">
        <v>569</v>
      </c>
      <c r="G536" s="621">
        <v>962641</v>
      </c>
      <c r="H536" s="622">
        <v>11</v>
      </c>
      <c r="I536" s="620" t="s">
        <v>299</v>
      </c>
      <c r="J536" s="622">
        <v>163</v>
      </c>
      <c r="K536" s="623">
        <v>60.915999999999997</v>
      </c>
      <c r="L536" s="695">
        <f>J536+J537</f>
        <v>200</v>
      </c>
      <c r="M536" s="697">
        <f>SUM(K536:K537)</f>
        <v>103.625</v>
      </c>
      <c r="N536" s="699">
        <f t="shared" ref="N536" si="88">+L536-M536</f>
        <v>96.375</v>
      </c>
      <c r="O536" s="751" t="e">
        <f>+((K536+K537)+(#REF!+#REF!))/L536</f>
        <v>#REF!</v>
      </c>
    </row>
    <row r="537" spans="1:15" s="513" customFormat="1" ht="10.15" customHeight="1">
      <c r="A537" s="615"/>
      <c r="B537" s="535" t="s">
        <v>339</v>
      </c>
      <c r="C537" s="624">
        <v>2201</v>
      </c>
      <c r="D537" s="625">
        <v>43635</v>
      </c>
      <c r="E537" s="626" t="s">
        <v>304</v>
      </c>
      <c r="F537" s="626" t="s">
        <v>569</v>
      </c>
      <c r="G537" s="627">
        <v>962641</v>
      </c>
      <c r="H537" s="628">
        <v>11</v>
      </c>
      <c r="I537" s="626" t="s">
        <v>300</v>
      </c>
      <c r="J537" s="628">
        <v>37</v>
      </c>
      <c r="K537" s="629">
        <v>42.709000000000003</v>
      </c>
      <c r="L537" s="696"/>
      <c r="M537" s="698"/>
      <c r="N537" s="700"/>
      <c r="O537" s="752"/>
    </row>
    <row r="538" spans="1:15" s="513" customFormat="1" ht="10.15" customHeight="1">
      <c r="A538" s="615"/>
      <c r="B538" s="535" t="s">
        <v>339</v>
      </c>
      <c r="C538" s="618">
        <v>1638</v>
      </c>
      <c r="D538" s="619">
        <v>43585</v>
      </c>
      <c r="E538" s="620" t="s">
        <v>304</v>
      </c>
      <c r="F538" s="620" t="s">
        <v>364</v>
      </c>
      <c r="G538" s="621">
        <v>962795</v>
      </c>
      <c r="H538" s="622">
        <v>11</v>
      </c>
      <c r="I538" s="620" t="s">
        <v>299</v>
      </c>
      <c r="J538" s="622">
        <v>10</v>
      </c>
      <c r="K538" s="623">
        <v>22.693999999999999</v>
      </c>
      <c r="L538" s="695">
        <f>J538+J539</f>
        <v>100</v>
      </c>
      <c r="M538" s="697">
        <f>SUM(K538:K539)</f>
        <v>146.16</v>
      </c>
      <c r="N538" s="699">
        <f t="shared" ref="N538" si="89">+L538-M538</f>
        <v>-46.16</v>
      </c>
      <c r="O538" s="751" t="e">
        <f>+((K538+K539)+(#REF!+#REF!))/L538</f>
        <v>#REF!</v>
      </c>
    </row>
    <row r="539" spans="1:15" s="513" customFormat="1" ht="10.15" customHeight="1">
      <c r="A539" s="615"/>
      <c r="B539" s="535" t="s">
        <v>339</v>
      </c>
      <c r="C539" s="624">
        <v>1638</v>
      </c>
      <c r="D539" s="625">
        <v>43585</v>
      </c>
      <c r="E539" s="626" t="s">
        <v>304</v>
      </c>
      <c r="F539" s="626" t="s">
        <v>364</v>
      </c>
      <c r="G539" s="627">
        <v>962795</v>
      </c>
      <c r="H539" s="628">
        <v>11</v>
      </c>
      <c r="I539" s="626" t="s">
        <v>300</v>
      </c>
      <c r="J539" s="628">
        <v>90</v>
      </c>
      <c r="K539" s="629">
        <v>123.46599999999999</v>
      </c>
      <c r="L539" s="696"/>
      <c r="M539" s="698"/>
      <c r="N539" s="700"/>
      <c r="O539" s="752"/>
    </row>
    <row r="540" spans="1:15" s="513" customFormat="1" ht="10.15" customHeight="1">
      <c r="A540" s="615"/>
      <c r="B540" s="535" t="s">
        <v>339</v>
      </c>
      <c r="C540" s="618">
        <v>1638</v>
      </c>
      <c r="D540" s="619">
        <v>43585</v>
      </c>
      <c r="E540" s="620" t="s">
        <v>304</v>
      </c>
      <c r="F540" s="620" t="s">
        <v>316</v>
      </c>
      <c r="G540" s="621">
        <v>910836</v>
      </c>
      <c r="H540" s="622">
        <v>12</v>
      </c>
      <c r="I540" s="620" t="s">
        <v>299</v>
      </c>
      <c r="J540" s="622">
        <v>20</v>
      </c>
      <c r="K540" s="623">
        <v>84.41</v>
      </c>
      <c r="L540" s="695">
        <f>J540+J541</f>
        <v>100</v>
      </c>
      <c r="M540" s="697">
        <f>SUM(K540:K541)</f>
        <v>100</v>
      </c>
      <c r="N540" s="699">
        <f t="shared" ref="N540" si="90">+L540-M540</f>
        <v>0</v>
      </c>
      <c r="O540" s="751" t="e">
        <f>+((K540+K541)+(#REF!+#REF!))/L540</f>
        <v>#REF!</v>
      </c>
    </row>
    <row r="541" spans="1:15" s="513" customFormat="1" ht="10.15" customHeight="1">
      <c r="A541" s="615"/>
      <c r="B541" s="535" t="s">
        <v>339</v>
      </c>
      <c r="C541" s="624">
        <v>1638</v>
      </c>
      <c r="D541" s="625">
        <v>43585</v>
      </c>
      <c r="E541" s="626" t="s">
        <v>304</v>
      </c>
      <c r="F541" s="626" t="s">
        <v>316</v>
      </c>
      <c r="G541" s="627">
        <v>910836</v>
      </c>
      <c r="H541" s="628">
        <v>12</v>
      </c>
      <c r="I541" s="626" t="s">
        <v>300</v>
      </c>
      <c r="J541" s="628">
        <v>80</v>
      </c>
      <c r="K541" s="629">
        <v>15.59</v>
      </c>
      <c r="L541" s="696"/>
      <c r="M541" s="698"/>
      <c r="N541" s="700"/>
      <c r="O541" s="752"/>
    </row>
    <row r="542" spans="1:15" s="513" customFormat="1" ht="10.15" customHeight="1">
      <c r="A542" s="615"/>
      <c r="B542" s="535" t="s">
        <v>339</v>
      </c>
      <c r="C542" s="618">
        <v>1638</v>
      </c>
      <c r="D542" s="619">
        <v>43585</v>
      </c>
      <c r="E542" s="620" t="s">
        <v>304</v>
      </c>
      <c r="F542" s="620" t="s">
        <v>315</v>
      </c>
      <c r="G542" s="621">
        <v>924603</v>
      </c>
      <c r="H542" s="622">
        <v>12</v>
      </c>
      <c r="I542" s="620" t="s">
        <v>299</v>
      </c>
      <c r="J542" s="622">
        <v>10</v>
      </c>
      <c r="K542" s="623">
        <v>23.428000000000001</v>
      </c>
      <c r="L542" s="695">
        <f>J542+J543</f>
        <v>100</v>
      </c>
      <c r="M542" s="697">
        <f>SUM(K542:K543)</f>
        <v>89.99499999999999</v>
      </c>
      <c r="N542" s="699">
        <f t="shared" ref="N542" si="91">+L542-M542</f>
        <v>10.00500000000001</v>
      </c>
      <c r="O542" s="751" t="e">
        <f>+((K542+K543)+(#REF!+#REF!))/L542</f>
        <v>#REF!</v>
      </c>
    </row>
    <row r="543" spans="1:15" s="513" customFormat="1" ht="10.15" customHeight="1">
      <c r="A543" s="615"/>
      <c r="B543" s="535" t="s">
        <v>339</v>
      </c>
      <c r="C543" s="624">
        <v>1638</v>
      </c>
      <c r="D543" s="625">
        <v>43585</v>
      </c>
      <c r="E543" s="626" t="s">
        <v>304</v>
      </c>
      <c r="F543" s="626" t="s">
        <v>315</v>
      </c>
      <c r="G543" s="627">
        <v>924603</v>
      </c>
      <c r="H543" s="628">
        <v>12</v>
      </c>
      <c r="I543" s="626" t="s">
        <v>300</v>
      </c>
      <c r="J543" s="628">
        <v>90</v>
      </c>
      <c r="K543" s="629">
        <v>66.566999999999993</v>
      </c>
      <c r="L543" s="696"/>
      <c r="M543" s="698"/>
      <c r="N543" s="700"/>
      <c r="O543" s="752"/>
    </row>
    <row r="544" spans="1:15" s="513" customFormat="1" ht="10.15" customHeight="1">
      <c r="A544" s="615"/>
      <c r="B544" s="535" t="s">
        <v>339</v>
      </c>
      <c r="C544" s="618">
        <v>2100</v>
      </c>
      <c r="D544" s="619">
        <v>43623</v>
      </c>
      <c r="E544" s="620" t="s">
        <v>303</v>
      </c>
      <c r="F544" s="620" t="s">
        <v>310</v>
      </c>
      <c r="G544" s="621">
        <v>957800</v>
      </c>
      <c r="H544" s="622">
        <v>12</v>
      </c>
      <c r="I544" s="620" t="s">
        <v>299</v>
      </c>
      <c r="J544" s="622">
        <v>0</v>
      </c>
      <c r="K544" s="623"/>
      <c r="L544" s="695">
        <f>J544+J545</f>
        <v>65</v>
      </c>
      <c r="M544" s="697">
        <f>SUM(K544:K545)</f>
        <v>0</v>
      </c>
      <c r="N544" s="699">
        <f t="shared" ref="N544" si="92">+L544-M544</f>
        <v>65</v>
      </c>
      <c r="O544" s="751" t="e">
        <f>+((K544+K545)+(#REF!+#REF!))/L544</f>
        <v>#REF!</v>
      </c>
    </row>
    <row r="545" spans="1:15" s="513" customFormat="1" ht="10.15" customHeight="1">
      <c r="A545" s="615"/>
      <c r="B545" s="535" t="s">
        <v>339</v>
      </c>
      <c r="C545" s="624">
        <v>2100</v>
      </c>
      <c r="D545" s="625">
        <v>43623</v>
      </c>
      <c r="E545" s="626" t="s">
        <v>303</v>
      </c>
      <c r="F545" s="626" t="s">
        <v>310</v>
      </c>
      <c r="G545" s="627">
        <v>957800</v>
      </c>
      <c r="H545" s="628">
        <v>12</v>
      </c>
      <c r="I545" s="626" t="s">
        <v>300</v>
      </c>
      <c r="J545" s="628">
        <v>65</v>
      </c>
      <c r="K545" s="629"/>
      <c r="L545" s="696"/>
      <c r="M545" s="698"/>
      <c r="N545" s="700"/>
      <c r="O545" s="752"/>
    </row>
    <row r="546" spans="1:15" s="513" customFormat="1" ht="10.15" customHeight="1">
      <c r="A546" s="615"/>
      <c r="B546" s="535" t="s">
        <v>339</v>
      </c>
      <c r="C546" s="618">
        <v>2100</v>
      </c>
      <c r="D546" s="619">
        <v>43623</v>
      </c>
      <c r="E546" s="620" t="s">
        <v>303</v>
      </c>
      <c r="F546" s="620" t="s">
        <v>311</v>
      </c>
      <c r="G546" s="621">
        <v>963943</v>
      </c>
      <c r="H546" s="622">
        <v>12</v>
      </c>
      <c r="I546" s="620" t="s">
        <v>299</v>
      </c>
      <c r="J546" s="622">
        <v>50</v>
      </c>
      <c r="K546" s="623"/>
      <c r="L546" s="695">
        <f>J546+J547</f>
        <v>50</v>
      </c>
      <c r="M546" s="697">
        <f>SUM(K546:K547)</f>
        <v>0</v>
      </c>
      <c r="N546" s="699">
        <f t="shared" ref="N546" si="93">+L546-M546</f>
        <v>50</v>
      </c>
      <c r="O546" s="751" t="e">
        <f>+((K546+K547)+(#REF!+#REF!))/L546</f>
        <v>#REF!</v>
      </c>
    </row>
    <row r="547" spans="1:15" s="513" customFormat="1" ht="10.15" customHeight="1">
      <c r="A547" s="615"/>
      <c r="B547" s="535" t="s">
        <v>339</v>
      </c>
      <c r="C547" s="624">
        <v>2100</v>
      </c>
      <c r="D547" s="625">
        <v>43623</v>
      </c>
      <c r="E547" s="626" t="s">
        <v>303</v>
      </c>
      <c r="F547" s="626" t="s">
        <v>311</v>
      </c>
      <c r="G547" s="627">
        <v>963943</v>
      </c>
      <c r="H547" s="628">
        <v>12</v>
      </c>
      <c r="I547" s="626" t="s">
        <v>300</v>
      </c>
      <c r="J547" s="628">
        <v>0</v>
      </c>
      <c r="K547" s="629"/>
      <c r="L547" s="696"/>
      <c r="M547" s="698"/>
      <c r="N547" s="700"/>
      <c r="O547" s="752"/>
    </row>
    <row r="548" spans="1:15" s="513" customFormat="1" ht="10.15" customHeight="1">
      <c r="A548" s="615"/>
      <c r="B548" s="535" t="s">
        <v>339</v>
      </c>
      <c r="C548" s="618">
        <v>1638</v>
      </c>
      <c r="D548" s="619">
        <v>43585</v>
      </c>
      <c r="E548" s="620" t="s">
        <v>304</v>
      </c>
      <c r="F548" s="620" t="s">
        <v>365</v>
      </c>
      <c r="G548" s="621">
        <v>963197</v>
      </c>
      <c r="H548" s="622">
        <v>13</v>
      </c>
      <c r="I548" s="620" t="s">
        <v>299</v>
      </c>
      <c r="J548" s="622">
        <v>20</v>
      </c>
      <c r="K548" s="623">
        <v>20</v>
      </c>
      <c r="L548" s="695">
        <f>J548+J549</f>
        <v>100</v>
      </c>
      <c r="M548" s="697">
        <f>SUM(K548:K549)</f>
        <v>100</v>
      </c>
      <c r="N548" s="699">
        <f t="shared" ref="N548" si="94">+L548-M548</f>
        <v>0</v>
      </c>
      <c r="O548" s="751" t="e">
        <f>+((K548+K549)+(#REF!+#REF!))/L548</f>
        <v>#REF!</v>
      </c>
    </row>
    <row r="549" spans="1:15" s="513" customFormat="1" ht="10.15" customHeight="1">
      <c r="A549" s="615"/>
      <c r="B549" s="535" t="s">
        <v>339</v>
      </c>
      <c r="C549" s="624">
        <v>1638</v>
      </c>
      <c r="D549" s="625">
        <v>43585</v>
      </c>
      <c r="E549" s="626" t="s">
        <v>304</v>
      </c>
      <c r="F549" s="626" t="s">
        <v>365</v>
      </c>
      <c r="G549" s="627">
        <v>963197</v>
      </c>
      <c r="H549" s="628">
        <v>13</v>
      </c>
      <c r="I549" s="626" t="s">
        <v>300</v>
      </c>
      <c r="J549" s="628">
        <v>80</v>
      </c>
      <c r="K549" s="629">
        <v>80</v>
      </c>
      <c r="L549" s="696"/>
      <c r="M549" s="698"/>
      <c r="N549" s="700"/>
      <c r="O549" s="752"/>
    </row>
    <row r="550" spans="1:15" s="513" customFormat="1" ht="10.15" customHeight="1">
      <c r="A550" s="615"/>
      <c r="B550" s="535" t="s">
        <v>339</v>
      </c>
      <c r="C550" s="618">
        <v>1638</v>
      </c>
      <c r="D550" s="619">
        <v>43585</v>
      </c>
      <c r="E550" s="620" t="s">
        <v>304</v>
      </c>
      <c r="F550" s="620" t="s">
        <v>366</v>
      </c>
      <c r="G550" s="621">
        <v>965677</v>
      </c>
      <c r="H550" s="622">
        <v>13</v>
      </c>
      <c r="I550" s="620" t="s">
        <v>299</v>
      </c>
      <c r="J550" s="622">
        <v>20</v>
      </c>
      <c r="K550" s="623">
        <v>20</v>
      </c>
      <c r="L550" s="695">
        <f>J550+J551</f>
        <v>100</v>
      </c>
      <c r="M550" s="697">
        <f>SUM(K550:K551)</f>
        <v>100</v>
      </c>
      <c r="N550" s="699">
        <f t="shared" ref="N550" si="95">+L550-M550</f>
        <v>0</v>
      </c>
      <c r="O550" s="751" t="e">
        <f>+((K550+K551)+(#REF!+#REF!))/L550</f>
        <v>#REF!</v>
      </c>
    </row>
    <row r="551" spans="1:15" s="513" customFormat="1" ht="10.15" customHeight="1">
      <c r="A551" s="615"/>
      <c r="B551" s="535" t="s">
        <v>339</v>
      </c>
      <c r="C551" s="624">
        <v>1638</v>
      </c>
      <c r="D551" s="625">
        <v>43585</v>
      </c>
      <c r="E551" s="626" t="s">
        <v>304</v>
      </c>
      <c r="F551" s="626" t="s">
        <v>366</v>
      </c>
      <c r="G551" s="627">
        <v>965677</v>
      </c>
      <c r="H551" s="628">
        <v>13</v>
      </c>
      <c r="I551" s="626" t="s">
        <v>300</v>
      </c>
      <c r="J551" s="628">
        <v>80</v>
      </c>
      <c r="K551" s="629">
        <v>80</v>
      </c>
      <c r="L551" s="696"/>
      <c r="M551" s="698"/>
      <c r="N551" s="700"/>
      <c r="O551" s="752"/>
    </row>
    <row r="552" spans="1:15" s="513" customFormat="1" ht="10.15" customHeight="1">
      <c r="A552" s="615"/>
      <c r="B552" s="535" t="s">
        <v>339</v>
      </c>
      <c r="C552" s="618">
        <v>1594</v>
      </c>
      <c r="D552" s="619">
        <v>43581</v>
      </c>
      <c r="E552" s="620" t="s">
        <v>304</v>
      </c>
      <c r="F552" s="620" t="s">
        <v>367</v>
      </c>
      <c r="G552" s="621">
        <v>962640</v>
      </c>
      <c r="H552" s="622">
        <v>14</v>
      </c>
      <c r="I552" s="620" t="s">
        <v>299</v>
      </c>
      <c r="J552" s="622">
        <v>6</v>
      </c>
      <c r="K552" s="623"/>
      <c r="L552" s="695">
        <f>J552+J553</f>
        <v>40</v>
      </c>
      <c r="M552" s="697">
        <f>SUM(K552:K553)</f>
        <v>0</v>
      </c>
      <c r="N552" s="699">
        <f t="shared" ref="N552" si="96">+L552-M552</f>
        <v>40</v>
      </c>
      <c r="O552" s="751" t="e">
        <f>+((K552+K553)+(#REF!+#REF!))/L552</f>
        <v>#REF!</v>
      </c>
    </row>
    <row r="553" spans="1:15" s="513" customFormat="1" ht="10.15" customHeight="1">
      <c r="A553" s="615"/>
      <c r="B553" s="535" t="s">
        <v>339</v>
      </c>
      <c r="C553" s="624">
        <v>1594</v>
      </c>
      <c r="D553" s="625">
        <v>43581</v>
      </c>
      <c r="E553" s="626" t="s">
        <v>304</v>
      </c>
      <c r="F553" s="626" t="s">
        <v>367</v>
      </c>
      <c r="G553" s="627">
        <v>962640</v>
      </c>
      <c r="H553" s="628">
        <v>14</v>
      </c>
      <c r="I553" s="626" t="s">
        <v>300</v>
      </c>
      <c r="J553" s="628">
        <v>34</v>
      </c>
      <c r="K553" s="629"/>
      <c r="L553" s="696"/>
      <c r="M553" s="698"/>
      <c r="N553" s="700"/>
      <c r="O553" s="752"/>
    </row>
    <row r="554" spans="1:15" s="513" customFormat="1" ht="10.15" customHeight="1">
      <c r="A554" s="615"/>
      <c r="B554" s="535" t="s">
        <v>339</v>
      </c>
      <c r="C554" s="618">
        <v>1528</v>
      </c>
      <c r="D554" s="619">
        <v>43578</v>
      </c>
      <c r="E554" s="620" t="s">
        <v>304</v>
      </c>
      <c r="F554" s="620" t="s">
        <v>368</v>
      </c>
      <c r="G554" s="621">
        <v>923960</v>
      </c>
      <c r="H554" s="622">
        <v>16</v>
      </c>
      <c r="I554" s="620" t="s">
        <v>299</v>
      </c>
      <c r="J554" s="622">
        <v>20</v>
      </c>
      <c r="K554" s="623">
        <v>96.686999999999998</v>
      </c>
      <c r="L554" s="695">
        <f>J554+J555</f>
        <v>220</v>
      </c>
      <c r="M554" s="697">
        <f>SUM(K554:K555)</f>
        <v>183.892</v>
      </c>
      <c r="N554" s="699">
        <f t="shared" ref="N554" si="97">+L554-M554</f>
        <v>36.108000000000004</v>
      </c>
      <c r="O554" s="751" t="e">
        <f>+((K554+K555)+(#REF!+#REF!))/L554</f>
        <v>#REF!</v>
      </c>
    </row>
    <row r="555" spans="1:15" s="513" customFormat="1" ht="10.15" customHeight="1">
      <c r="A555" s="615"/>
      <c r="B555" s="535" t="s">
        <v>339</v>
      </c>
      <c r="C555" s="624">
        <v>1528</v>
      </c>
      <c r="D555" s="625">
        <v>43578</v>
      </c>
      <c r="E555" s="626" t="s">
        <v>304</v>
      </c>
      <c r="F555" s="626" t="s">
        <v>368</v>
      </c>
      <c r="G555" s="627">
        <v>923960</v>
      </c>
      <c r="H555" s="628">
        <v>16</v>
      </c>
      <c r="I555" s="626" t="s">
        <v>300</v>
      </c>
      <c r="J555" s="628">
        <v>200</v>
      </c>
      <c r="K555" s="629">
        <v>87.204999999999998</v>
      </c>
      <c r="L555" s="696"/>
      <c r="M555" s="698"/>
      <c r="N555" s="700"/>
      <c r="O555" s="752"/>
    </row>
    <row r="556" spans="1:15" s="513" customFormat="1" ht="10.15" customHeight="1">
      <c r="A556" s="615"/>
      <c r="B556" s="535" t="s">
        <v>339</v>
      </c>
      <c r="C556" s="618">
        <v>1048</v>
      </c>
      <c r="D556" s="619">
        <v>43546</v>
      </c>
      <c r="E556" s="620" t="s">
        <v>304</v>
      </c>
      <c r="F556" s="620" t="s">
        <v>369</v>
      </c>
      <c r="G556" s="621">
        <v>924606</v>
      </c>
      <c r="H556" s="622">
        <v>16</v>
      </c>
      <c r="I556" s="620" t="s">
        <v>299</v>
      </c>
      <c r="J556" s="622">
        <v>16</v>
      </c>
      <c r="K556" s="623">
        <v>16</v>
      </c>
      <c r="L556" s="695">
        <f>J556+J557</f>
        <v>50</v>
      </c>
      <c r="M556" s="697">
        <f>SUM(K556:K557)</f>
        <v>50</v>
      </c>
      <c r="N556" s="699">
        <f t="shared" ref="N556" si="98">+L556-M556</f>
        <v>0</v>
      </c>
      <c r="O556" s="751" t="e">
        <f>+((K556+K557)+(#REF!+#REF!))/L556</f>
        <v>#REF!</v>
      </c>
    </row>
    <row r="557" spans="1:15" s="513" customFormat="1" ht="10.15" customHeight="1">
      <c r="A557" s="615"/>
      <c r="B557" s="535" t="s">
        <v>339</v>
      </c>
      <c r="C557" s="624">
        <v>1048</v>
      </c>
      <c r="D557" s="625">
        <v>43546</v>
      </c>
      <c r="E557" s="626" t="s">
        <v>304</v>
      </c>
      <c r="F557" s="626" t="s">
        <v>369</v>
      </c>
      <c r="G557" s="627">
        <v>924606</v>
      </c>
      <c r="H557" s="628">
        <v>16</v>
      </c>
      <c r="I557" s="626" t="s">
        <v>300</v>
      </c>
      <c r="J557" s="628">
        <v>34</v>
      </c>
      <c r="K557" s="629">
        <v>34</v>
      </c>
      <c r="L557" s="696"/>
      <c r="M557" s="698"/>
      <c r="N557" s="700"/>
      <c r="O557" s="752"/>
    </row>
    <row r="558" spans="1:15" s="513" customFormat="1" ht="10.15" customHeight="1">
      <c r="A558" s="615"/>
      <c r="B558" s="535" t="s">
        <v>339</v>
      </c>
      <c r="C558" s="618">
        <v>94</v>
      </c>
      <c r="D558" s="619">
        <v>43613</v>
      </c>
      <c r="E558" s="620" t="s">
        <v>303</v>
      </c>
      <c r="F558" s="620" t="s">
        <v>527</v>
      </c>
      <c r="G558" s="621">
        <v>926065</v>
      </c>
      <c r="H558" s="622">
        <v>16</v>
      </c>
      <c r="I558" s="620" t="s">
        <v>299</v>
      </c>
      <c r="J558" s="622">
        <v>4.4000000000000004</v>
      </c>
      <c r="K558" s="623"/>
      <c r="L558" s="695">
        <f>J558+J559</f>
        <v>16.8</v>
      </c>
      <c r="M558" s="697">
        <f>SUM(K558:K559)</f>
        <v>0</v>
      </c>
      <c r="N558" s="699">
        <f t="shared" ref="N558" si="99">+L558-M558</f>
        <v>16.8</v>
      </c>
      <c r="O558" s="751" t="e">
        <f>+((K558+K559)+(#REF!+#REF!))/L558</f>
        <v>#REF!</v>
      </c>
    </row>
    <row r="559" spans="1:15" s="513" customFormat="1" ht="10.15" customHeight="1">
      <c r="A559" s="615"/>
      <c r="B559" s="535" t="s">
        <v>339</v>
      </c>
      <c r="C559" s="624">
        <v>94</v>
      </c>
      <c r="D559" s="625">
        <v>43613</v>
      </c>
      <c r="E559" s="626" t="s">
        <v>303</v>
      </c>
      <c r="F559" s="626" t="s">
        <v>527</v>
      </c>
      <c r="G559" s="627">
        <v>926065</v>
      </c>
      <c r="H559" s="628">
        <v>16</v>
      </c>
      <c r="I559" s="626" t="s">
        <v>300</v>
      </c>
      <c r="J559" s="628">
        <v>12.4</v>
      </c>
      <c r="K559" s="629"/>
      <c r="L559" s="696"/>
      <c r="M559" s="698"/>
      <c r="N559" s="700"/>
      <c r="O559" s="752"/>
    </row>
    <row r="560" spans="1:15" s="513" customFormat="1" ht="10.15" customHeight="1">
      <c r="A560" s="615"/>
      <c r="B560" s="535" t="s">
        <v>339</v>
      </c>
      <c r="C560" s="618">
        <v>2053</v>
      </c>
      <c r="D560" s="619">
        <v>43613</v>
      </c>
      <c r="E560" s="620" t="s">
        <v>304</v>
      </c>
      <c r="F560" s="620" t="s">
        <v>527</v>
      </c>
      <c r="G560" s="621">
        <v>926065</v>
      </c>
      <c r="H560" s="622">
        <v>16</v>
      </c>
      <c r="I560" s="620" t="s">
        <v>299</v>
      </c>
      <c r="J560" s="622">
        <v>20</v>
      </c>
      <c r="K560" s="623">
        <v>44.975000000000001</v>
      </c>
      <c r="L560" s="695">
        <f>J560+J561</f>
        <v>220</v>
      </c>
      <c r="M560" s="697">
        <f>SUM(K560:K561)</f>
        <v>72.490000000000009</v>
      </c>
      <c r="N560" s="699">
        <f t="shared" ref="N560" si="100">+L560-M560</f>
        <v>147.51</v>
      </c>
      <c r="O560" s="751" t="e">
        <f>+((K560+K561)+(#REF!+#REF!))/L560</f>
        <v>#REF!</v>
      </c>
    </row>
    <row r="561" spans="1:15" s="513" customFormat="1" ht="10.15" customHeight="1">
      <c r="A561" s="615"/>
      <c r="B561" s="535" t="s">
        <v>339</v>
      </c>
      <c r="C561" s="624">
        <v>2053</v>
      </c>
      <c r="D561" s="625">
        <v>43613</v>
      </c>
      <c r="E561" s="626" t="s">
        <v>304</v>
      </c>
      <c r="F561" s="626" t="s">
        <v>527</v>
      </c>
      <c r="G561" s="627">
        <v>926065</v>
      </c>
      <c r="H561" s="628">
        <v>16</v>
      </c>
      <c r="I561" s="626" t="s">
        <v>300</v>
      </c>
      <c r="J561" s="628">
        <v>200</v>
      </c>
      <c r="K561" s="629">
        <v>27.515000000000001</v>
      </c>
      <c r="L561" s="696"/>
      <c r="M561" s="698"/>
      <c r="N561" s="700"/>
      <c r="O561" s="752"/>
    </row>
    <row r="562" spans="1:15" s="513" customFormat="1" ht="10.15" customHeight="1">
      <c r="A562" s="615"/>
      <c r="B562" s="535" t="s">
        <v>339</v>
      </c>
      <c r="C562" s="618">
        <v>2446</v>
      </c>
      <c r="D562" s="619">
        <v>43651</v>
      </c>
      <c r="E562" s="620" t="s">
        <v>304</v>
      </c>
      <c r="F562" s="620" t="s">
        <v>527</v>
      </c>
      <c r="G562" s="621">
        <v>926065</v>
      </c>
      <c r="H562" s="622">
        <v>16</v>
      </c>
      <c r="I562" s="620" t="s">
        <v>299</v>
      </c>
      <c r="J562" s="622">
        <v>47.223999999999997</v>
      </c>
      <c r="K562" s="623"/>
      <c r="L562" s="695">
        <f>J562+J563</f>
        <v>99.25</v>
      </c>
      <c r="M562" s="697">
        <f>SUM(K562:K563)</f>
        <v>0</v>
      </c>
      <c r="N562" s="699">
        <f t="shared" ref="N562" si="101">+L562-M562</f>
        <v>99.25</v>
      </c>
      <c r="O562" s="751" t="e">
        <f>+((K562+K563)+(#REF!+#REF!))/L562</f>
        <v>#REF!</v>
      </c>
    </row>
    <row r="563" spans="1:15" s="513" customFormat="1" ht="10.15" customHeight="1">
      <c r="A563" s="615"/>
      <c r="B563" s="535" t="s">
        <v>339</v>
      </c>
      <c r="C563" s="624">
        <v>2446</v>
      </c>
      <c r="D563" s="625">
        <v>43651</v>
      </c>
      <c r="E563" s="626" t="s">
        <v>304</v>
      </c>
      <c r="F563" s="626" t="s">
        <v>527</v>
      </c>
      <c r="G563" s="627">
        <v>926065</v>
      </c>
      <c r="H563" s="628">
        <v>16</v>
      </c>
      <c r="I563" s="626" t="s">
        <v>300</v>
      </c>
      <c r="J563" s="628">
        <v>52.026000000000003</v>
      </c>
      <c r="K563" s="629"/>
      <c r="L563" s="696"/>
      <c r="M563" s="698"/>
      <c r="N563" s="700"/>
      <c r="O563" s="752"/>
    </row>
    <row r="564" spans="1:15" s="513" customFormat="1" ht="10.15" customHeight="1">
      <c r="A564" s="615"/>
      <c r="B564" s="535" t="s">
        <v>339</v>
      </c>
      <c r="C564" s="618">
        <v>794</v>
      </c>
      <c r="D564" s="619">
        <v>43516</v>
      </c>
      <c r="E564" s="620" t="s">
        <v>304</v>
      </c>
      <c r="F564" s="620" t="s">
        <v>370</v>
      </c>
      <c r="G564" s="621">
        <v>950991</v>
      </c>
      <c r="H564" s="622">
        <v>16</v>
      </c>
      <c r="I564" s="620" t="s">
        <v>299</v>
      </c>
      <c r="J564" s="622">
        <v>10</v>
      </c>
      <c r="K564" s="623">
        <v>10</v>
      </c>
      <c r="L564" s="695">
        <f>J564+J565</f>
        <v>110</v>
      </c>
      <c r="M564" s="697">
        <f>SUM(K564:K565)</f>
        <v>110</v>
      </c>
      <c r="N564" s="699">
        <f t="shared" ref="N564" si="102">+L564-M564</f>
        <v>0</v>
      </c>
      <c r="O564" s="751" t="e">
        <f>+((K564+K565)+(#REF!+#REF!))/L564</f>
        <v>#REF!</v>
      </c>
    </row>
    <row r="565" spans="1:15" s="513" customFormat="1" ht="10.15" customHeight="1">
      <c r="A565" s="615"/>
      <c r="B565" s="535" t="s">
        <v>339</v>
      </c>
      <c r="C565" s="624">
        <v>794</v>
      </c>
      <c r="D565" s="625">
        <v>43516</v>
      </c>
      <c r="E565" s="626" t="s">
        <v>304</v>
      </c>
      <c r="F565" s="626" t="s">
        <v>370</v>
      </c>
      <c r="G565" s="627">
        <v>950991</v>
      </c>
      <c r="H565" s="628">
        <v>16</v>
      </c>
      <c r="I565" s="626" t="s">
        <v>300</v>
      </c>
      <c r="J565" s="628">
        <v>100</v>
      </c>
      <c r="K565" s="629">
        <v>100</v>
      </c>
      <c r="L565" s="696"/>
      <c r="M565" s="698"/>
      <c r="N565" s="700"/>
      <c r="O565" s="752"/>
    </row>
    <row r="566" spans="1:15" s="513" customFormat="1" ht="10.15" customHeight="1">
      <c r="A566" s="615"/>
      <c r="B566" s="535" t="s">
        <v>339</v>
      </c>
      <c r="C566" s="618">
        <v>794</v>
      </c>
      <c r="D566" s="619">
        <v>43516</v>
      </c>
      <c r="E566" s="620" t="s">
        <v>304</v>
      </c>
      <c r="F566" s="620" t="s">
        <v>371</v>
      </c>
      <c r="G566" s="621">
        <v>951038</v>
      </c>
      <c r="H566" s="622">
        <v>16</v>
      </c>
      <c r="I566" s="620" t="s">
        <v>299</v>
      </c>
      <c r="J566" s="622">
        <v>10</v>
      </c>
      <c r="K566" s="623">
        <v>21.045999999999999</v>
      </c>
      <c r="L566" s="695">
        <f>J566+J567</f>
        <v>110</v>
      </c>
      <c r="M566" s="697">
        <f>SUM(K566:K567)</f>
        <v>101.745</v>
      </c>
      <c r="N566" s="699">
        <f t="shared" ref="N566" si="103">+L566-M566</f>
        <v>8.2549999999999955</v>
      </c>
      <c r="O566" s="751" t="e">
        <f>+((K566+K567)+(#REF!+#REF!))/L566</f>
        <v>#REF!</v>
      </c>
    </row>
    <row r="567" spans="1:15" s="513" customFormat="1" ht="10.15" customHeight="1">
      <c r="A567" s="615"/>
      <c r="B567" s="535" t="s">
        <v>339</v>
      </c>
      <c r="C567" s="624">
        <v>794</v>
      </c>
      <c r="D567" s="625">
        <v>43516</v>
      </c>
      <c r="E567" s="626" t="s">
        <v>304</v>
      </c>
      <c r="F567" s="626" t="s">
        <v>371</v>
      </c>
      <c r="G567" s="627">
        <v>951038</v>
      </c>
      <c r="H567" s="628">
        <v>16</v>
      </c>
      <c r="I567" s="626" t="s">
        <v>300</v>
      </c>
      <c r="J567" s="628">
        <v>100</v>
      </c>
      <c r="K567" s="629">
        <v>80.698999999999998</v>
      </c>
      <c r="L567" s="696"/>
      <c r="M567" s="698"/>
      <c r="N567" s="700"/>
      <c r="O567" s="752"/>
    </row>
    <row r="568" spans="1:15" s="513" customFormat="1" ht="10.15" customHeight="1">
      <c r="A568" s="615"/>
      <c r="B568" s="535" t="s">
        <v>339</v>
      </c>
      <c r="C568" s="618">
        <v>2139</v>
      </c>
      <c r="D568" s="619">
        <v>43627</v>
      </c>
      <c r="E568" s="620" t="s">
        <v>304</v>
      </c>
      <c r="F568" s="620" t="s">
        <v>371</v>
      </c>
      <c r="G568" s="621">
        <v>951038</v>
      </c>
      <c r="H568" s="622">
        <v>16</v>
      </c>
      <c r="I568" s="620" t="s">
        <v>299</v>
      </c>
      <c r="J568" s="622">
        <v>20</v>
      </c>
      <c r="K568" s="623"/>
      <c r="L568" s="695">
        <f>J568+J569</f>
        <v>120</v>
      </c>
      <c r="M568" s="697">
        <f>SUM(K568:K569)</f>
        <v>0</v>
      </c>
      <c r="N568" s="699">
        <f t="shared" ref="N568" si="104">+L568-M568</f>
        <v>120</v>
      </c>
      <c r="O568" s="751" t="e">
        <f>+((K568+K569)+(#REF!+#REF!))/L568</f>
        <v>#REF!</v>
      </c>
    </row>
    <row r="569" spans="1:15" s="513" customFormat="1" ht="10.15" customHeight="1">
      <c r="A569" s="615"/>
      <c r="B569" s="535" t="s">
        <v>339</v>
      </c>
      <c r="C569" s="624">
        <v>2139</v>
      </c>
      <c r="D569" s="625">
        <v>43627</v>
      </c>
      <c r="E569" s="626" t="s">
        <v>304</v>
      </c>
      <c r="F569" s="626" t="s">
        <v>371</v>
      </c>
      <c r="G569" s="627">
        <v>951038</v>
      </c>
      <c r="H569" s="628">
        <v>16</v>
      </c>
      <c r="I569" s="626" t="s">
        <v>300</v>
      </c>
      <c r="J569" s="628">
        <v>100</v>
      </c>
      <c r="K569" s="629"/>
      <c r="L569" s="696"/>
      <c r="M569" s="698"/>
      <c r="N569" s="700"/>
      <c r="O569" s="752"/>
    </row>
    <row r="570" spans="1:15" s="513" customFormat="1" ht="10.15" customHeight="1">
      <c r="A570" s="615"/>
      <c r="B570" s="535" t="s">
        <v>339</v>
      </c>
      <c r="C570" s="618">
        <v>1528</v>
      </c>
      <c r="D570" s="619">
        <v>43578</v>
      </c>
      <c r="E570" s="620" t="s">
        <v>304</v>
      </c>
      <c r="F570" s="620" t="s">
        <v>372</v>
      </c>
      <c r="G570" s="621">
        <v>951221</v>
      </c>
      <c r="H570" s="622">
        <v>16</v>
      </c>
      <c r="I570" s="620" t="s">
        <v>299</v>
      </c>
      <c r="J570" s="622">
        <v>20</v>
      </c>
      <c r="K570" s="623">
        <v>72.677000000000007</v>
      </c>
      <c r="L570" s="695">
        <f>J570+J571</f>
        <v>220</v>
      </c>
      <c r="M570" s="697">
        <f>SUM(K570:K571)</f>
        <v>220</v>
      </c>
      <c r="N570" s="699">
        <f t="shared" ref="N570" si="105">+L570-M570</f>
        <v>0</v>
      </c>
      <c r="O570" s="751" t="e">
        <f>+((K570+K571)+(#REF!+#REF!))/L570</f>
        <v>#REF!</v>
      </c>
    </row>
    <row r="571" spans="1:15" s="513" customFormat="1" ht="10.15" customHeight="1">
      <c r="A571" s="615"/>
      <c r="B571" s="535" t="s">
        <v>339</v>
      </c>
      <c r="C571" s="624">
        <v>1528</v>
      </c>
      <c r="D571" s="625">
        <v>43578</v>
      </c>
      <c r="E571" s="626" t="s">
        <v>304</v>
      </c>
      <c r="F571" s="626" t="s">
        <v>372</v>
      </c>
      <c r="G571" s="627">
        <v>951221</v>
      </c>
      <c r="H571" s="628">
        <v>16</v>
      </c>
      <c r="I571" s="626" t="s">
        <v>300</v>
      </c>
      <c r="J571" s="628">
        <v>200</v>
      </c>
      <c r="K571" s="629">
        <v>147.32300000000001</v>
      </c>
      <c r="L571" s="696"/>
      <c r="M571" s="698"/>
      <c r="N571" s="700"/>
      <c r="O571" s="752"/>
    </row>
    <row r="572" spans="1:15" s="513" customFormat="1" ht="10.15" customHeight="1">
      <c r="A572" s="615"/>
      <c r="B572" s="535" t="s">
        <v>339</v>
      </c>
      <c r="C572" s="618">
        <v>98</v>
      </c>
      <c r="D572" s="619">
        <v>43614</v>
      </c>
      <c r="E572" s="620" t="s">
        <v>303</v>
      </c>
      <c r="F572" s="620" t="s">
        <v>373</v>
      </c>
      <c r="G572" s="621">
        <v>953832</v>
      </c>
      <c r="H572" s="622">
        <v>16</v>
      </c>
      <c r="I572" s="620" t="s">
        <v>299</v>
      </c>
      <c r="J572" s="622">
        <v>1</v>
      </c>
      <c r="K572" s="623"/>
      <c r="L572" s="695">
        <f>J572+J573</f>
        <v>3.7</v>
      </c>
      <c r="M572" s="697">
        <f>SUM(K572:K573)</f>
        <v>0</v>
      </c>
      <c r="N572" s="699">
        <f t="shared" ref="N572" si="106">+L572-M572</f>
        <v>3.7</v>
      </c>
      <c r="O572" s="751" t="e">
        <f>+((K572+K573)+(#REF!+#REF!))/L572</f>
        <v>#REF!</v>
      </c>
    </row>
    <row r="573" spans="1:15" s="513" customFormat="1" ht="10.15" customHeight="1">
      <c r="A573" s="615"/>
      <c r="B573" s="535" t="s">
        <v>339</v>
      </c>
      <c r="C573" s="624">
        <v>98</v>
      </c>
      <c r="D573" s="625">
        <v>43614</v>
      </c>
      <c r="E573" s="626" t="s">
        <v>303</v>
      </c>
      <c r="F573" s="626" t="s">
        <v>373</v>
      </c>
      <c r="G573" s="627">
        <v>953832</v>
      </c>
      <c r="H573" s="628">
        <v>16</v>
      </c>
      <c r="I573" s="626" t="s">
        <v>300</v>
      </c>
      <c r="J573" s="628">
        <v>2.7</v>
      </c>
      <c r="K573" s="629"/>
      <c r="L573" s="696"/>
      <c r="M573" s="698"/>
      <c r="N573" s="700"/>
      <c r="O573" s="752"/>
    </row>
    <row r="574" spans="1:15" s="513" customFormat="1" ht="10.15" customHeight="1">
      <c r="A574" s="615"/>
      <c r="B574" s="535" t="s">
        <v>339</v>
      </c>
      <c r="C574" s="618">
        <v>105</v>
      </c>
      <c r="D574" s="619">
        <v>43622</v>
      </c>
      <c r="E574" s="620" t="s">
        <v>303</v>
      </c>
      <c r="F574" s="620" t="s">
        <v>373</v>
      </c>
      <c r="G574" s="621">
        <v>953832</v>
      </c>
      <c r="H574" s="622">
        <v>16</v>
      </c>
      <c r="I574" s="620" t="s">
        <v>299</v>
      </c>
      <c r="J574" s="622">
        <v>50</v>
      </c>
      <c r="K574" s="623">
        <v>20.655000000000001</v>
      </c>
      <c r="L574" s="695">
        <f>J574+J575</f>
        <v>110</v>
      </c>
      <c r="M574" s="697">
        <f>SUM(K574:K575)</f>
        <v>67.081999999999994</v>
      </c>
      <c r="N574" s="699">
        <f t="shared" ref="N574" si="107">+L574-M574</f>
        <v>42.918000000000006</v>
      </c>
      <c r="O574" s="751" t="e">
        <f>+((K574+K575)+(#REF!+#REF!))/L574</f>
        <v>#REF!</v>
      </c>
    </row>
    <row r="575" spans="1:15" s="513" customFormat="1" ht="10.15" customHeight="1">
      <c r="A575" s="615"/>
      <c r="B575" s="535" t="s">
        <v>339</v>
      </c>
      <c r="C575" s="624">
        <v>105</v>
      </c>
      <c r="D575" s="625">
        <v>43622</v>
      </c>
      <c r="E575" s="626" t="s">
        <v>303</v>
      </c>
      <c r="F575" s="626" t="s">
        <v>373</v>
      </c>
      <c r="G575" s="627">
        <v>953832</v>
      </c>
      <c r="H575" s="628">
        <v>16</v>
      </c>
      <c r="I575" s="626" t="s">
        <v>300</v>
      </c>
      <c r="J575" s="628">
        <v>60</v>
      </c>
      <c r="K575" s="629">
        <v>46.427</v>
      </c>
      <c r="L575" s="696"/>
      <c r="M575" s="698"/>
      <c r="N575" s="700"/>
      <c r="O575" s="752"/>
    </row>
    <row r="576" spans="1:15" s="513" customFormat="1" ht="10.15" customHeight="1">
      <c r="A576" s="615"/>
      <c r="B576" s="535" t="s">
        <v>339</v>
      </c>
      <c r="C576" s="618">
        <v>1110</v>
      </c>
      <c r="D576" s="619">
        <v>43553</v>
      </c>
      <c r="E576" s="620" t="s">
        <v>304</v>
      </c>
      <c r="F576" s="620" t="s">
        <v>373</v>
      </c>
      <c r="G576" s="621">
        <v>953832</v>
      </c>
      <c r="H576" s="622">
        <v>16</v>
      </c>
      <c r="I576" s="620" t="s">
        <v>299</v>
      </c>
      <c r="J576" s="622">
        <v>10</v>
      </c>
      <c r="K576" s="623">
        <v>18.800999999999998</v>
      </c>
      <c r="L576" s="695">
        <f>J576+J577</f>
        <v>110</v>
      </c>
      <c r="M576" s="697">
        <f>SUM(K576:K577)</f>
        <v>110</v>
      </c>
      <c r="N576" s="699">
        <f t="shared" ref="N576" si="108">+L576-M576</f>
        <v>0</v>
      </c>
      <c r="O576" s="751" t="e">
        <f>+((K576+K577)+(#REF!+#REF!))/L576</f>
        <v>#REF!</v>
      </c>
    </row>
    <row r="577" spans="1:15" s="513" customFormat="1" ht="10.15" customHeight="1">
      <c r="A577" s="615"/>
      <c r="B577" s="535" t="s">
        <v>339</v>
      </c>
      <c r="C577" s="624">
        <v>1110</v>
      </c>
      <c r="D577" s="625">
        <v>43553</v>
      </c>
      <c r="E577" s="626" t="s">
        <v>304</v>
      </c>
      <c r="F577" s="626" t="s">
        <v>373</v>
      </c>
      <c r="G577" s="627">
        <v>953832</v>
      </c>
      <c r="H577" s="628">
        <v>16</v>
      </c>
      <c r="I577" s="626" t="s">
        <v>300</v>
      </c>
      <c r="J577" s="628">
        <v>100</v>
      </c>
      <c r="K577" s="629">
        <v>91.198999999999998</v>
      </c>
      <c r="L577" s="696"/>
      <c r="M577" s="698"/>
      <c r="N577" s="700"/>
      <c r="O577" s="752"/>
    </row>
    <row r="578" spans="1:15" s="513" customFormat="1" ht="10.15" customHeight="1">
      <c r="A578" s="615"/>
      <c r="B578" s="535" t="s">
        <v>339</v>
      </c>
      <c r="C578" s="618">
        <v>2139</v>
      </c>
      <c r="D578" s="619">
        <v>43627</v>
      </c>
      <c r="E578" s="620" t="s">
        <v>304</v>
      </c>
      <c r="F578" s="620" t="s">
        <v>373</v>
      </c>
      <c r="G578" s="621">
        <v>953832</v>
      </c>
      <c r="H578" s="622">
        <v>16</v>
      </c>
      <c r="I578" s="620" t="s">
        <v>299</v>
      </c>
      <c r="J578" s="622">
        <v>20</v>
      </c>
      <c r="K578" s="623">
        <v>75.055000000000007</v>
      </c>
      <c r="L578" s="695">
        <f>J578+J579</f>
        <v>150</v>
      </c>
      <c r="M578" s="697">
        <f>SUM(K578:K579)</f>
        <v>150</v>
      </c>
      <c r="N578" s="699">
        <f t="shared" ref="N578" si="109">+L578-M578</f>
        <v>0</v>
      </c>
      <c r="O578" s="751" t="e">
        <f>+((K578+K579)+(#REF!+#REF!))/L578</f>
        <v>#REF!</v>
      </c>
    </row>
    <row r="579" spans="1:15" s="513" customFormat="1" ht="10.15" customHeight="1">
      <c r="A579" s="615"/>
      <c r="B579" s="535" t="s">
        <v>339</v>
      </c>
      <c r="C579" s="624">
        <v>2139</v>
      </c>
      <c r="D579" s="625">
        <v>43627</v>
      </c>
      <c r="E579" s="626" t="s">
        <v>304</v>
      </c>
      <c r="F579" s="626" t="s">
        <v>373</v>
      </c>
      <c r="G579" s="627">
        <v>953832</v>
      </c>
      <c r="H579" s="628">
        <v>16</v>
      </c>
      <c r="I579" s="626" t="s">
        <v>300</v>
      </c>
      <c r="J579" s="628">
        <v>130</v>
      </c>
      <c r="K579" s="629">
        <v>74.944999999999993</v>
      </c>
      <c r="L579" s="696"/>
      <c r="M579" s="698"/>
      <c r="N579" s="700"/>
      <c r="O579" s="752"/>
    </row>
    <row r="580" spans="1:15" s="513" customFormat="1" ht="10.15" customHeight="1">
      <c r="A580" s="615"/>
      <c r="B580" s="535" t="s">
        <v>339</v>
      </c>
      <c r="C580" s="618">
        <v>2257</v>
      </c>
      <c r="D580" s="619">
        <v>43637</v>
      </c>
      <c r="E580" s="620" t="s">
        <v>303</v>
      </c>
      <c r="F580" s="620" t="s">
        <v>373</v>
      </c>
      <c r="G580" s="621">
        <v>953832</v>
      </c>
      <c r="H580" s="622">
        <v>16</v>
      </c>
      <c r="I580" s="620" t="s">
        <v>299</v>
      </c>
      <c r="J580" s="622">
        <v>40</v>
      </c>
      <c r="K580" s="623"/>
      <c r="L580" s="695">
        <f>J580+J581</f>
        <v>80</v>
      </c>
      <c r="M580" s="697">
        <f>SUM(K580:K581)</f>
        <v>0</v>
      </c>
      <c r="N580" s="699">
        <f t="shared" ref="N580" si="110">+L580-M580</f>
        <v>80</v>
      </c>
      <c r="O580" s="751" t="e">
        <f>+((K580+K581)+(#REF!+#REF!))/L580</f>
        <v>#REF!</v>
      </c>
    </row>
    <row r="581" spans="1:15" s="513" customFormat="1" ht="10.15" customHeight="1">
      <c r="A581" s="615"/>
      <c r="B581" s="535" t="s">
        <v>339</v>
      </c>
      <c r="C581" s="624">
        <v>2257</v>
      </c>
      <c r="D581" s="625">
        <v>43637</v>
      </c>
      <c r="E581" s="626" t="s">
        <v>303</v>
      </c>
      <c r="F581" s="626" t="s">
        <v>373</v>
      </c>
      <c r="G581" s="627">
        <v>953832</v>
      </c>
      <c r="H581" s="628">
        <v>16</v>
      </c>
      <c r="I581" s="626" t="s">
        <v>300</v>
      </c>
      <c r="J581" s="628">
        <v>40</v>
      </c>
      <c r="K581" s="629"/>
      <c r="L581" s="696"/>
      <c r="M581" s="698"/>
      <c r="N581" s="700"/>
      <c r="O581" s="752"/>
    </row>
    <row r="582" spans="1:15" s="513" customFormat="1" ht="10.15" customHeight="1">
      <c r="A582" s="615"/>
      <c r="B582" s="535" t="s">
        <v>339</v>
      </c>
      <c r="C582" s="618">
        <v>11</v>
      </c>
      <c r="D582" s="619">
        <v>43521</v>
      </c>
      <c r="E582" s="620" t="s">
        <v>303</v>
      </c>
      <c r="F582" s="620" t="s">
        <v>374</v>
      </c>
      <c r="G582" s="621">
        <v>953964</v>
      </c>
      <c r="H582" s="622">
        <v>16</v>
      </c>
      <c r="I582" s="620" t="s">
        <v>299</v>
      </c>
      <c r="J582" s="622">
        <v>5.54</v>
      </c>
      <c r="K582" s="623"/>
      <c r="L582" s="695">
        <f>J582+J583</f>
        <v>24</v>
      </c>
      <c r="M582" s="697">
        <f>SUM(K582:K583)</f>
        <v>24</v>
      </c>
      <c r="N582" s="699">
        <f t="shared" ref="N582" si="111">+L582-M582</f>
        <v>0</v>
      </c>
      <c r="O582" s="751" t="e">
        <f>+((K582+K583)+(#REF!+#REF!))/L582</f>
        <v>#REF!</v>
      </c>
    </row>
    <row r="583" spans="1:15" s="513" customFormat="1" ht="10.15" customHeight="1">
      <c r="A583" s="615"/>
      <c r="B583" s="535" t="s">
        <v>339</v>
      </c>
      <c r="C583" s="624">
        <v>11</v>
      </c>
      <c r="D583" s="625">
        <v>43521</v>
      </c>
      <c r="E583" s="626" t="s">
        <v>303</v>
      </c>
      <c r="F583" s="626" t="s">
        <v>374</v>
      </c>
      <c r="G583" s="627">
        <v>953964</v>
      </c>
      <c r="H583" s="628">
        <v>16</v>
      </c>
      <c r="I583" s="626" t="s">
        <v>300</v>
      </c>
      <c r="J583" s="628">
        <v>18.46</v>
      </c>
      <c r="K583" s="629">
        <v>24</v>
      </c>
      <c r="L583" s="696"/>
      <c r="M583" s="698"/>
      <c r="N583" s="700"/>
      <c r="O583" s="752"/>
    </row>
    <row r="584" spans="1:15" s="513" customFormat="1" ht="10.15" customHeight="1">
      <c r="A584" s="615"/>
      <c r="B584" s="535" t="s">
        <v>339</v>
      </c>
      <c r="C584" s="618">
        <v>12</v>
      </c>
      <c r="D584" s="619">
        <v>43521</v>
      </c>
      <c r="E584" s="620" t="s">
        <v>303</v>
      </c>
      <c r="F584" s="620" t="s">
        <v>374</v>
      </c>
      <c r="G584" s="621">
        <v>953964</v>
      </c>
      <c r="H584" s="622">
        <v>16</v>
      </c>
      <c r="I584" s="620" t="s">
        <v>299</v>
      </c>
      <c r="J584" s="622">
        <v>18.55</v>
      </c>
      <c r="K584" s="623"/>
      <c r="L584" s="695">
        <f>J584+J585</f>
        <v>91.49</v>
      </c>
      <c r="M584" s="697">
        <f>SUM(K584:K585)</f>
        <v>91.49</v>
      </c>
      <c r="N584" s="699">
        <f t="shared" ref="N584" si="112">+L584-M584</f>
        <v>0</v>
      </c>
      <c r="O584" s="751" t="e">
        <f>+((K584+K585)+(#REF!+#REF!))/L584</f>
        <v>#REF!</v>
      </c>
    </row>
    <row r="585" spans="1:15" s="513" customFormat="1" ht="10.15" customHeight="1">
      <c r="A585" s="615"/>
      <c r="B585" s="535" t="s">
        <v>339</v>
      </c>
      <c r="C585" s="624">
        <v>12</v>
      </c>
      <c r="D585" s="625">
        <v>43521</v>
      </c>
      <c r="E585" s="626" t="s">
        <v>303</v>
      </c>
      <c r="F585" s="626" t="s">
        <v>374</v>
      </c>
      <c r="G585" s="627">
        <v>953964</v>
      </c>
      <c r="H585" s="628">
        <v>16</v>
      </c>
      <c r="I585" s="626" t="s">
        <v>300</v>
      </c>
      <c r="J585" s="628">
        <v>72.94</v>
      </c>
      <c r="K585" s="629">
        <v>91.49</v>
      </c>
      <c r="L585" s="696"/>
      <c r="M585" s="698"/>
      <c r="N585" s="700"/>
      <c r="O585" s="752"/>
    </row>
    <row r="586" spans="1:15" s="513" customFormat="1" ht="10.15" customHeight="1">
      <c r="A586" s="615"/>
      <c r="B586" s="535" t="s">
        <v>339</v>
      </c>
      <c r="C586" s="618">
        <v>63</v>
      </c>
      <c r="D586" s="619">
        <v>43593</v>
      </c>
      <c r="E586" s="620" t="s">
        <v>303</v>
      </c>
      <c r="F586" s="620" t="s">
        <v>374</v>
      </c>
      <c r="G586" s="621">
        <v>953964</v>
      </c>
      <c r="H586" s="622">
        <v>16</v>
      </c>
      <c r="I586" s="620" t="s">
        <v>299</v>
      </c>
      <c r="J586" s="622">
        <v>0</v>
      </c>
      <c r="K586" s="623"/>
      <c r="L586" s="695">
        <f>J586+J587</f>
        <v>60</v>
      </c>
      <c r="M586" s="697">
        <f>SUM(K586:K587)</f>
        <v>60</v>
      </c>
      <c r="N586" s="699">
        <f t="shared" ref="N586" si="113">+L586-M586</f>
        <v>0</v>
      </c>
      <c r="O586" s="751" t="e">
        <f>+((K586+K587)+(#REF!+#REF!))/L586</f>
        <v>#REF!</v>
      </c>
    </row>
    <row r="587" spans="1:15" s="513" customFormat="1" ht="10.15" customHeight="1">
      <c r="A587" s="615"/>
      <c r="B587" s="535" t="s">
        <v>339</v>
      </c>
      <c r="C587" s="624">
        <v>63</v>
      </c>
      <c r="D587" s="625">
        <v>43593</v>
      </c>
      <c r="E587" s="626" t="s">
        <v>303</v>
      </c>
      <c r="F587" s="626" t="s">
        <v>374</v>
      </c>
      <c r="G587" s="627">
        <v>953964</v>
      </c>
      <c r="H587" s="628">
        <v>16</v>
      </c>
      <c r="I587" s="626" t="s">
        <v>300</v>
      </c>
      <c r="J587" s="628">
        <v>60</v>
      </c>
      <c r="K587" s="629">
        <v>60</v>
      </c>
      <c r="L587" s="696"/>
      <c r="M587" s="698"/>
      <c r="N587" s="700"/>
      <c r="O587" s="752"/>
    </row>
    <row r="588" spans="1:15" s="513" customFormat="1" ht="10.15" customHeight="1">
      <c r="A588" s="615"/>
      <c r="B588" s="535" t="s">
        <v>339</v>
      </c>
      <c r="C588" s="618">
        <v>105</v>
      </c>
      <c r="D588" s="619">
        <v>43622</v>
      </c>
      <c r="E588" s="620" t="s">
        <v>303</v>
      </c>
      <c r="F588" s="620" t="s">
        <v>374</v>
      </c>
      <c r="G588" s="621">
        <v>953964</v>
      </c>
      <c r="H588" s="622">
        <v>16</v>
      </c>
      <c r="I588" s="620" t="s">
        <v>299</v>
      </c>
      <c r="J588" s="622">
        <v>50</v>
      </c>
      <c r="K588" s="623">
        <v>50</v>
      </c>
      <c r="L588" s="695">
        <f>J588+J589</f>
        <v>100</v>
      </c>
      <c r="M588" s="697">
        <f>SUM(K588:K589)</f>
        <v>100</v>
      </c>
      <c r="N588" s="699">
        <f t="shared" ref="N588" si="114">+L588-M588</f>
        <v>0</v>
      </c>
      <c r="O588" s="751" t="e">
        <f>+((K588+K589)+(#REF!+#REF!))/L588</f>
        <v>#REF!</v>
      </c>
    </row>
    <row r="589" spans="1:15" s="513" customFormat="1" ht="10.15" customHeight="1">
      <c r="A589" s="615"/>
      <c r="B589" s="535" t="s">
        <v>339</v>
      </c>
      <c r="C589" s="624">
        <v>105</v>
      </c>
      <c r="D589" s="625">
        <v>43622</v>
      </c>
      <c r="E589" s="626" t="s">
        <v>303</v>
      </c>
      <c r="F589" s="626" t="s">
        <v>374</v>
      </c>
      <c r="G589" s="627">
        <v>953964</v>
      </c>
      <c r="H589" s="628">
        <v>16</v>
      </c>
      <c r="I589" s="626" t="s">
        <v>300</v>
      </c>
      <c r="J589" s="628">
        <v>50</v>
      </c>
      <c r="K589" s="629">
        <v>50</v>
      </c>
      <c r="L589" s="696"/>
      <c r="M589" s="698"/>
      <c r="N589" s="700"/>
      <c r="O589" s="752"/>
    </row>
    <row r="590" spans="1:15" s="513" customFormat="1" ht="10.15" customHeight="1">
      <c r="A590" s="615"/>
      <c r="B590" s="535" t="s">
        <v>339</v>
      </c>
      <c r="C590" s="618">
        <v>1110</v>
      </c>
      <c r="D590" s="619">
        <v>43553</v>
      </c>
      <c r="E590" s="620" t="s">
        <v>304</v>
      </c>
      <c r="F590" s="620" t="s">
        <v>374</v>
      </c>
      <c r="G590" s="621">
        <v>953964</v>
      </c>
      <c r="H590" s="622">
        <v>16</v>
      </c>
      <c r="I590" s="620" t="s">
        <v>299</v>
      </c>
      <c r="J590" s="622">
        <v>30</v>
      </c>
      <c r="K590" s="623">
        <v>77.984999999999999</v>
      </c>
      <c r="L590" s="695">
        <f>J590+J591</f>
        <v>300</v>
      </c>
      <c r="M590" s="697">
        <f>SUM(K590:K591)</f>
        <v>300</v>
      </c>
      <c r="N590" s="699">
        <f t="shared" ref="N590" si="115">+L590-M590</f>
        <v>0</v>
      </c>
      <c r="O590" s="751" t="e">
        <f>+((K590+K591)+(#REF!+#REF!))/L590</f>
        <v>#REF!</v>
      </c>
    </row>
    <row r="591" spans="1:15" s="513" customFormat="1" ht="10.15" customHeight="1">
      <c r="A591" s="615"/>
      <c r="B591" s="535" t="s">
        <v>339</v>
      </c>
      <c r="C591" s="624">
        <v>1110</v>
      </c>
      <c r="D591" s="625">
        <v>43553</v>
      </c>
      <c r="E591" s="626" t="s">
        <v>304</v>
      </c>
      <c r="F591" s="626" t="s">
        <v>374</v>
      </c>
      <c r="G591" s="627">
        <v>953964</v>
      </c>
      <c r="H591" s="628">
        <v>16</v>
      </c>
      <c r="I591" s="626" t="s">
        <v>300</v>
      </c>
      <c r="J591" s="628">
        <v>270</v>
      </c>
      <c r="K591" s="629">
        <v>222.01499999999999</v>
      </c>
      <c r="L591" s="696"/>
      <c r="M591" s="698"/>
      <c r="N591" s="700"/>
      <c r="O591" s="752"/>
    </row>
    <row r="592" spans="1:15" s="513" customFormat="1" ht="10.15" customHeight="1">
      <c r="A592" s="615"/>
      <c r="B592" s="535" t="s">
        <v>339</v>
      </c>
      <c r="C592" s="618">
        <v>2139</v>
      </c>
      <c r="D592" s="619">
        <v>43627</v>
      </c>
      <c r="E592" s="620" t="s">
        <v>304</v>
      </c>
      <c r="F592" s="620" t="s">
        <v>374</v>
      </c>
      <c r="G592" s="621">
        <v>953964</v>
      </c>
      <c r="H592" s="622">
        <v>16</v>
      </c>
      <c r="I592" s="620" t="s">
        <v>299</v>
      </c>
      <c r="J592" s="622">
        <v>20</v>
      </c>
      <c r="K592" s="623">
        <v>1.004</v>
      </c>
      <c r="L592" s="695">
        <f>J592+J593</f>
        <v>200</v>
      </c>
      <c r="M592" s="697">
        <f>SUM(K592:K593)</f>
        <v>26.134</v>
      </c>
      <c r="N592" s="699">
        <f t="shared" ref="N592" si="116">+L592-M592</f>
        <v>173.86599999999999</v>
      </c>
      <c r="O592" s="751" t="e">
        <f>+((K592+K593)+(#REF!+#REF!))/L592</f>
        <v>#REF!</v>
      </c>
    </row>
    <row r="593" spans="1:15" s="513" customFormat="1" ht="10.15" customHeight="1">
      <c r="A593" s="615"/>
      <c r="B593" s="535" t="s">
        <v>339</v>
      </c>
      <c r="C593" s="624">
        <v>2139</v>
      </c>
      <c r="D593" s="625">
        <v>43627</v>
      </c>
      <c r="E593" s="626" t="s">
        <v>304</v>
      </c>
      <c r="F593" s="626" t="s">
        <v>374</v>
      </c>
      <c r="G593" s="627">
        <v>953964</v>
      </c>
      <c r="H593" s="628">
        <v>16</v>
      </c>
      <c r="I593" s="626" t="s">
        <v>300</v>
      </c>
      <c r="J593" s="628">
        <v>180</v>
      </c>
      <c r="K593" s="629">
        <v>25.13</v>
      </c>
      <c r="L593" s="696"/>
      <c r="M593" s="698"/>
      <c r="N593" s="700"/>
      <c r="O593" s="752"/>
    </row>
    <row r="594" spans="1:15" s="513" customFormat="1" ht="10.15" customHeight="1">
      <c r="A594" s="615"/>
      <c r="B594" s="535" t="s">
        <v>339</v>
      </c>
      <c r="C594" s="618">
        <v>2257</v>
      </c>
      <c r="D594" s="619">
        <v>43637</v>
      </c>
      <c r="E594" s="620" t="s">
        <v>303</v>
      </c>
      <c r="F594" s="620" t="s">
        <v>374</v>
      </c>
      <c r="G594" s="621">
        <v>953964</v>
      </c>
      <c r="H594" s="622">
        <v>16</v>
      </c>
      <c r="I594" s="620" t="s">
        <v>299</v>
      </c>
      <c r="J594" s="622">
        <v>40</v>
      </c>
      <c r="K594" s="623">
        <v>20.553000000000001</v>
      </c>
      <c r="L594" s="695">
        <f>J594+J595</f>
        <v>80</v>
      </c>
      <c r="M594" s="697">
        <f>SUM(K594:K595)</f>
        <v>26.35</v>
      </c>
      <c r="N594" s="699">
        <f t="shared" ref="N594" si="117">+L594-M594</f>
        <v>53.65</v>
      </c>
      <c r="O594" s="751" t="e">
        <f>+((K594+K595)+(#REF!+#REF!))/L594</f>
        <v>#REF!</v>
      </c>
    </row>
    <row r="595" spans="1:15" s="513" customFormat="1" ht="10.15" customHeight="1">
      <c r="A595" s="615"/>
      <c r="B595" s="535" t="s">
        <v>339</v>
      </c>
      <c r="C595" s="624">
        <v>2257</v>
      </c>
      <c r="D595" s="625">
        <v>43637</v>
      </c>
      <c r="E595" s="626" t="s">
        <v>303</v>
      </c>
      <c r="F595" s="626" t="s">
        <v>374</v>
      </c>
      <c r="G595" s="627">
        <v>953964</v>
      </c>
      <c r="H595" s="628">
        <v>16</v>
      </c>
      <c r="I595" s="626" t="s">
        <v>300</v>
      </c>
      <c r="J595" s="628">
        <v>40</v>
      </c>
      <c r="K595" s="629">
        <v>5.7969999999999997</v>
      </c>
      <c r="L595" s="696"/>
      <c r="M595" s="698"/>
      <c r="N595" s="700"/>
      <c r="O595" s="752"/>
    </row>
    <row r="596" spans="1:15" s="513" customFormat="1" ht="10.15" customHeight="1">
      <c r="A596" s="615"/>
      <c r="B596" s="535" t="s">
        <v>339</v>
      </c>
      <c r="C596" s="618">
        <v>795</v>
      </c>
      <c r="D596" s="619">
        <v>43524</v>
      </c>
      <c r="E596" s="620" t="s">
        <v>304</v>
      </c>
      <c r="F596" s="620" t="s">
        <v>375</v>
      </c>
      <c r="G596" s="621">
        <v>954645</v>
      </c>
      <c r="H596" s="622">
        <v>16</v>
      </c>
      <c r="I596" s="620" t="s">
        <v>299</v>
      </c>
      <c r="J596" s="622">
        <v>5</v>
      </c>
      <c r="K596" s="623">
        <v>2.9929999999999999</v>
      </c>
      <c r="L596" s="695">
        <f>J596+J597</f>
        <v>18</v>
      </c>
      <c r="M596" s="697">
        <f>SUM(K596:K597)</f>
        <v>18</v>
      </c>
      <c r="N596" s="699">
        <f t="shared" ref="N596" si="118">+L596-M596</f>
        <v>0</v>
      </c>
      <c r="O596" s="751" t="e">
        <f>+((K596+K597)+(#REF!+#REF!))/L596</f>
        <v>#REF!</v>
      </c>
    </row>
    <row r="597" spans="1:15" s="513" customFormat="1" ht="10.15" customHeight="1">
      <c r="A597" s="615"/>
      <c r="B597" s="535" t="s">
        <v>339</v>
      </c>
      <c r="C597" s="624">
        <v>795</v>
      </c>
      <c r="D597" s="625">
        <v>43524</v>
      </c>
      <c r="E597" s="626" t="s">
        <v>304</v>
      </c>
      <c r="F597" s="626" t="s">
        <v>375</v>
      </c>
      <c r="G597" s="627">
        <v>954645</v>
      </c>
      <c r="H597" s="628">
        <v>16</v>
      </c>
      <c r="I597" s="626" t="s">
        <v>300</v>
      </c>
      <c r="J597" s="628">
        <v>13</v>
      </c>
      <c r="K597" s="629">
        <v>15.007</v>
      </c>
      <c r="L597" s="696"/>
      <c r="M597" s="698"/>
      <c r="N597" s="700"/>
      <c r="O597" s="752"/>
    </row>
    <row r="598" spans="1:15" s="513" customFormat="1" ht="10.15" customHeight="1">
      <c r="A598" s="615"/>
      <c r="B598" s="535" t="s">
        <v>339</v>
      </c>
      <c r="C598" s="618">
        <v>794</v>
      </c>
      <c r="D598" s="619">
        <v>43516</v>
      </c>
      <c r="E598" s="620" t="s">
        <v>304</v>
      </c>
      <c r="F598" s="620" t="s">
        <v>376</v>
      </c>
      <c r="G598" s="621">
        <v>955168</v>
      </c>
      <c r="H598" s="622">
        <v>16</v>
      </c>
      <c r="I598" s="620" t="s">
        <v>299</v>
      </c>
      <c r="J598" s="622">
        <v>10</v>
      </c>
      <c r="K598" s="623">
        <v>26.201000000000001</v>
      </c>
      <c r="L598" s="695">
        <f>J598+J599</f>
        <v>110</v>
      </c>
      <c r="M598" s="697">
        <f>SUM(K598:K599)</f>
        <v>110</v>
      </c>
      <c r="N598" s="699">
        <f t="shared" ref="N598" si="119">+L598-M598</f>
        <v>0</v>
      </c>
      <c r="O598" s="751" t="e">
        <f>+((K598+K599)+(#REF!+#REF!))/L598</f>
        <v>#REF!</v>
      </c>
    </row>
    <row r="599" spans="1:15" s="513" customFormat="1" ht="10.15" customHeight="1">
      <c r="A599" s="615"/>
      <c r="B599" s="535" t="s">
        <v>339</v>
      </c>
      <c r="C599" s="624">
        <v>794</v>
      </c>
      <c r="D599" s="625">
        <v>43516</v>
      </c>
      <c r="E599" s="626" t="s">
        <v>304</v>
      </c>
      <c r="F599" s="626" t="s">
        <v>376</v>
      </c>
      <c r="G599" s="627">
        <v>955168</v>
      </c>
      <c r="H599" s="628">
        <v>16</v>
      </c>
      <c r="I599" s="626" t="s">
        <v>300</v>
      </c>
      <c r="J599" s="628">
        <v>100</v>
      </c>
      <c r="K599" s="629">
        <v>83.799000000000007</v>
      </c>
      <c r="L599" s="696"/>
      <c r="M599" s="698"/>
      <c r="N599" s="700"/>
      <c r="O599" s="752"/>
    </row>
    <row r="600" spans="1:15" s="513" customFormat="1" ht="10.15" customHeight="1">
      <c r="A600" s="615"/>
      <c r="B600" s="535" t="s">
        <v>339</v>
      </c>
      <c r="C600" s="618">
        <v>8</v>
      </c>
      <c r="D600" s="619">
        <v>43517</v>
      </c>
      <c r="E600" s="620" t="s">
        <v>303</v>
      </c>
      <c r="F600" s="620" t="s">
        <v>377</v>
      </c>
      <c r="G600" s="621">
        <v>955189</v>
      </c>
      <c r="H600" s="622">
        <v>16</v>
      </c>
      <c r="I600" s="620" t="s">
        <v>299</v>
      </c>
      <c r="J600" s="622">
        <v>59</v>
      </c>
      <c r="K600" s="623">
        <v>59</v>
      </c>
      <c r="L600" s="695">
        <f>J600+J601</f>
        <v>264</v>
      </c>
      <c r="M600" s="697">
        <f>SUM(K600:K601)</f>
        <v>264</v>
      </c>
      <c r="N600" s="699">
        <f t="shared" ref="N600" si="120">+L600-M600</f>
        <v>0</v>
      </c>
      <c r="O600" s="751" t="e">
        <f>+((K600+K601)+(#REF!+#REF!))/L600</f>
        <v>#REF!</v>
      </c>
    </row>
    <row r="601" spans="1:15" s="513" customFormat="1" ht="10.15" customHeight="1">
      <c r="A601" s="615"/>
      <c r="B601" s="535" t="s">
        <v>339</v>
      </c>
      <c r="C601" s="624">
        <v>8</v>
      </c>
      <c r="D601" s="625">
        <v>43517</v>
      </c>
      <c r="E601" s="626" t="s">
        <v>303</v>
      </c>
      <c r="F601" s="626" t="s">
        <v>377</v>
      </c>
      <c r="G601" s="627">
        <v>955189</v>
      </c>
      <c r="H601" s="628">
        <v>16</v>
      </c>
      <c r="I601" s="626" t="s">
        <v>300</v>
      </c>
      <c r="J601" s="628">
        <v>205</v>
      </c>
      <c r="K601" s="629">
        <v>205</v>
      </c>
      <c r="L601" s="696"/>
      <c r="M601" s="698"/>
      <c r="N601" s="700"/>
      <c r="O601" s="752"/>
    </row>
    <row r="602" spans="1:15" s="513" customFormat="1" ht="10.15" customHeight="1">
      <c r="A602" s="615"/>
      <c r="B602" s="535" t="s">
        <v>339</v>
      </c>
      <c r="C602" s="618">
        <v>795</v>
      </c>
      <c r="D602" s="619">
        <v>43524</v>
      </c>
      <c r="E602" s="620" t="s">
        <v>304</v>
      </c>
      <c r="F602" s="620" t="s">
        <v>377</v>
      </c>
      <c r="G602" s="621">
        <v>955189</v>
      </c>
      <c r="H602" s="622">
        <v>16</v>
      </c>
      <c r="I602" s="620" t="s">
        <v>299</v>
      </c>
      <c r="J602" s="622">
        <v>19</v>
      </c>
      <c r="K602" s="623">
        <v>19</v>
      </c>
      <c r="L602" s="695">
        <f>J602+J603</f>
        <v>69</v>
      </c>
      <c r="M602" s="697">
        <f>SUM(K602:K603)</f>
        <v>69</v>
      </c>
      <c r="N602" s="699">
        <f t="shared" ref="N602" si="121">+L602-M602</f>
        <v>0</v>
      </c>
      <c r="O602" s="751" t="e">
        <f>+((K602+K603)+(#REF!+#REF!))/L602</f>
        <v>#REF!</v>
      </c>
    </row>
    <row r="603" spans="1:15" s="513" customFormat="1" ht="10.15" customHeight="1">
      <c r="A603" s="615"/>
      <c r="B603" s="535" t="s">
        <v>339</v>
      </c>
      <c r="C603" s="624">
        <v>795</v>
      </c>
      <c r="D603" s="625">
        <v>43524</v>
      </c>
      <c r="E603" s="626" t="s">
        <v>304</v>
      </c>
      <c r="F603" s="626" t="s">
        <v>377</v>
      </c>
      <c r="G603" s="627">
        <v>955189</v>
      </c>
      <c r="H603" s="628">
        <v>16</v>
      </c>
      <c r="I603" s="626" t="s">
        <v>300</v>
      </c>
      <c r="J603" s="628">
        <v>50</v>
      </c>
      <c r="K603" s="629">
        <v>50</v>
      </c>
      <c r="L603" s="696"/>
      <c r="M603" s="698"/>
      <c r="N603" s="700"/>
      <c r="O603" s="752"/>
    </row>
    <row r="604" spans="1:15" s="513" customFormat="1" ht="10.15" customHeight="1">
      <c r="A604" s="615"/>
      <c r="B604" s="535" t="s">
        <v>339</v>
      </c>
      <c r="C604" s="618">
        <v>1528</v>
      </c>
      <c r="D604" s="619">
        <v>43578</v>
      </c>
      <c r="E604" s="620" t="s">
        <v>304</v>
      </c>
      <c r="F604" s="620" t="s">
        <v>378</v>
      </c>
      <c r="G604" s="621">
        <v>955374</v>
      </c>
      <c r="H604" s="622">
        <v>16</v>
      </c>
      <c r="I604" s="620" t="s">
        <v>299</v>
      </c>
      <c r="J604" s="622">
        <v>10</v>
      </c>
      <c r="K604" s="623">
        <v>46.095999999999997</v>
      </c>
      <c r="L604" s="695">
        <f>J604+J605</f>
        <v>210</v>
      </c>
      <c r="M604" s="697">
        <f>SUM(K604:K605)</f>
        <v>210</v>
      </c>
      <c r="N604" s="699">
        <f t="shared" ref="N604" si="122">+L604-M604</f>
        <v>0</v>
      </c>
      <c r="O604" s="751" t="e">
        <f>+((K604+K605)+(#REF!+#REF!))/L604</f>
        <v>#REF!</v>
      </c>
    </row>
    <row r="605" spans="1:15" s="513" customFormat="1" ht="10.15" customHeight="1">
      <c r="A605" s="615"/>
      <c r="B605" s="535" t="s">
        <v>339</v>
      </c>
      <c r="C605" s="624">
        <v>1528</v>
      </c>
      <c r="D605" s="625">
        <v>43578</v>
      </c>
      <c r="E605" s="626" t="s">
        <v>304</v>
      </c>
      <c r="F605" s="626" t="s">
        <v>378</v>
      </c>
      <c r="G605" s="627">
        <v>955374</v>
      </c>
      <c r="H605" s="628">
        <v>16</v>
      </c>
      <c r="I605" s="626" t="s">
        <v>300</v>
      </c>
      <c r="J605" s="628">
        <v>200</v>
      </c>
      <c r="K605" s="629">
        <v>163.904</v>
      </c>
      <c r="L605" s="696"/>
      <c r="M605" s="698"/>
      <c r="N605" s="700"/>
      <c r="O605" s="752"/>
    </row>
    <row r="606" spans="1:15" s="513" customFormat="1" ht="10.15" customHeight="1">
      <c r="A606" s="615"/>
      <c r="B606" s="535" t="s">
        <v>339</v>
      </c>
      <c r="C606" s="618">
        <v>2257</v>
      </c>
      <c r="D606" s="619">
        <v>43637</v>
      </c>
      <c r="E606" s="620" t="s">
        <v>303</v>
      </c>
      <c r="F606" s="620" t="s">
        <v>378</v>
      </c>
      <c r="G606" s="621">
        <v>955374</v>
      </c>
      <c r="H606" s="622">
        <v>16</v>
      </c>
      <c r="I606" s="620" t="s">
        <v>299</v>
      </c>
      <c r="J606" s="622">
        <v>20</v>
      </c>
      <c r="K606" s="623"/>
      <c r="L606" s="695">
        <f>J606+J607</f>
        <v>120</v>
      </c>
      <c r="M606" s="697">
        <f>SUM(K606:K607)</f>
        <v>0</v>
      </c>
      <c r="N606" s="699">
        <f t="shared" ref="N606" si="123">+L606-M606</f>
        <v>120</v>
      </c>
      <c r="O606" s="751" t="e">
        <f>+((K606+K607)+(#REF!+#REF!))/L606</f>
        <v>#REF!</v>
      </c>
    </row>
    <row r="607" spans="1:15" s="513" customFormat="1" ht="10.15" customHeight="1">
      <c r="A607" s="615"/>
      <c r="B607" s="535" t="s">
        <v>339</v>
      </c>
      <c r="C607" s="624">
        <v>2257</v>
      </c>
      <c r="D607" s="625">
        <v>43637</v>
      </c>
      <c r="E607" s="626" t="s">
        <v>303</v>
      </c>
      <c r="F607" s="626" t="s">
        <v>378</v>
      </c>
      <c r="G607" s="627">
        <v>955374</v>
      </c>
      <c r="H607" s="628">
        <v>16</v>
      </c>
      <c r="I607" s="626" t="s">
        <v>300</v>
      </c>
      <c r="J607" s="628">
        <v>100</v>
      </c>
      <c r="K607" s="629"/>
      <c r="L607" s="696"/>
      <c r="M607" s="698"/>
      <c r="N607" s="700"/>
      <c r="O607" s="752"/>
    </row>
    <row r="608" spans="1:15" s="513" customFormat="1" ht="10.15" customHeight="1">
      <c r="A608" s="615"/>
      <c r="B608" s="535" t="s">
        <v>339</v>
      </c>
      <c r="C608" s="618">
        <v>794</v>
      </c>
      <c r="D608" s="619">
        <v>43516</v>
      </c>
      <c r="E608" s="620" t="s">
        <v>304</v>
      </c>
      <c r="F608" s="620" t="s">
        <v>379</v>
      </c>
      <c r="G608" s="621">
        <v>955877</v>
      </c>
      <c r="H608" s="622">
        <v>16</v>
      </c>
      <c r="I608" s="620" t="s">
        <v>299</v>
      </c>
      <c r="J608" s="622">
        <v>10</v>
      </c>
      <c r="K608" s="623">
        <v>26.016999999999999</v>
      </c>
      <c r="L608" s="695">
        <f>J608+J609</f>
        <v>110</v>
      </c>
      <c r="M608" s="697">
        <f>SUM(K608:K609)</f>
        <v>110</v>
      </c>
      <c r="N608" s="699">
        <f t="shared" ref="N608" si="124">+L608-M608</f>
        <v>0</v>
      </c>
      <c r="O608" s="751" t="e">
        <f>+((K608+K609)+(#REF!+#REF!))/L608</f>
        <v>#REF!</v>
      </c>
    </row>
    <row r="609" spans="1:15" s="513" customFormat="1" ht="10.15" customHeight="1">
      <c r="A609" s="615"/>
      <c r="B609" s="535" t="s">
        <v>339</v>
      </c>
      <c r="C609" s="624">
        <v>794</v>
      </c>
      <c r="D609" s="625">
        <v>43516</v>
      </c>
      <c r="E609" s="626" t="s">
        <v>304</v>
      </c>
      <c r="F609" s="626" t="s">
        <v>379</v>
      </c>
      <c r="G609" s="627">
        <v>955877</v>
      </c>
      <c r="H609" s="628">
        <v>16</v>
      </c>
      <c r="I609" s="626" t="s">
        <v>300</v>
      </c>
      <c r="J609" s="628">
        <v>100</v>
      </c>
      <c r="K609" s="629">
        <v>83.983000000000004</v>
      </c>
      <c r="L609" s="696"/>
      <c r="M609" s="698"/>
      <c r="N609" s="700"/>
      <c r="O609" s="752"/>
    </row>
    <row r="610" spans="1:15" s="513" customFormat="1" ht="10.15" customHeight="1">
      <c r="A610" s="615"/>
      <c r="B610" s="535" t="s">
        <v>339</v>
      </c>
      <c r="C610" s="618">
        <v>1462</v>
      </c>
      <c r="D610" s="619">
        <v>43572</v>
      </c>
      <c r="E610" s="620" t="s">
        <v>304</v>
      </c>
      <c r="F610" s="620" t="s">
        <v>380</v>
      </c>
      <c r="G610" s="621">
        <v>957821</v>
      </c>
      <c r="H610" s="622">
        <v>16</v>
      </c>
      <c r="I610" s="620" t="s">
        <v>299</v>
      </c>
      <c r="J610" s="622">
        <v>19</v>
      </c>
      <c r="K610" s="623">
        <v>28.326000000000001</v>
      </c>
      <c r="L610" s="695">
        <f>J610+J611</f>
        <v>70</v>
      </c>
      <c r="M610" s="697">
        <f>SUM(K610:K611)</f>
        <v>70</v>
      </c>
      <c r="N610" s="699">
        <f t="shared" ref="N610" si="125">+L610-M610</f>
        <v>0</v>
      </c>
      <c r="O610" s="751" t="e">
        <f>+((K610+K611)+(#REF!+#REF!))/L610</f>
        <v>#REF!</v>
      </c>
    </row>
    <row r="611" spans="1:15" s="513" customFormat="1" ht="10.15" customHeight="1">
      <c r="A611" s="615"/>
      <c r="B611" s="535" t="s">
        <v>339</v>
      </c>
      <c r="C611" s="624">
        <v>1462</v>
      </c>
      <c r="D611" s="625">
        <v>43572</v>
      </c>
      <c r="E611" s="626" t="s">
        <v>304</v>
      </c>
      <c r="F611" s="626" t="s">
        <v>380</v>
      </c>
      <c r="G611" s="627">
        <v>957821</v>
      </c>
      <c r="H611" s="628">
        <v>16</v>
      </c>
      <c r="I611" s="626" t="s">
        <v>300</v>
      </c>
      <c r="J611" s="628">
        <v>51</v>
      </c>
      <c r="K611" s="629">
        <v>41.673999999999999</v>
      </c>
      <c r="L611" s="696"/>
      <c r="M611" s="698"/>
      <c r="N611" s="700"/>
      <c r="O611" s="752"/>
    </row>
    <row r="612" spans="1:15" s="513" customFormat="1" ht="10.15" customHeight="1">
      <c r="A612" s="615"/>
      <c r="B612" s="535" t="s">
        <v>339</v>
      </c>
      <c r="C612" s="618">
        <v>795</v>
      </c>
      <c r="D612" s="619">
        <v>43524</v>
      </c>
      <c r="E612" s="620" t="s">
        <v>304</v>
      </c>
      <c r="F612" s="620" t="s">
        <v>381</v>
      </c>
      <c r="G612" s="621">
        <v>958006</v>
      </c>
      <c r="H612" s="622">
        <v>16</v>
      </c>
      <c r="I612" s="620" t="s">
        <v>299</v>
      </c>
      <c r="J612" s="622">
        <v>38</v>
      </c>
      <c r="K612" s="623">
        <v>12.364000000000001</v>
      </c>
      <c r="L612" s="695">
        <f>J612+J613</f>
        <v>138</v>
      </c>
      <c r="M612" s="697">
        <f>SUM(K612:K613)</f>
        <v>138</v>
      </c>
      <c r="N612" s="699">
        <f t="shared" ref="N612" si="126">+L612-M612</f>
        <v>0</v>
      </c>
      <c r="O612" s="751" t="e">
        <f>+((K612+K613)+(#REF!+#REF!))/L612</f>
        <v>#REF!</v>
      </c>
    </row>
    <row r="613" spans="1:15" s="513" customFormat="1" ht="10.15" customHeight="1">
      <c r="A613" s="615"/>
      <c r="B613" s="535" t="s">
        <v>339</v>
      </c>
      <c r="C613" s="624">
        <v>795</v>
      </c>
      <c r="D613" s="625">
        <v>43524</v>
      </c>
      <c r="E613" s="626" t="s">
        <v>304</v>
      </c>
      <c r="F613" s="626" t="s">
        <v>381</v>
      </c>
      <c r="G613" s="627">
        <v>958006</v>
      </c>
      <c r="H613" s="628">
        <v>16</v>
      </c>
      <c r="I613" s="626" t="s">
        <v>300</v>
      </c>
      <c r="J613" s="628">
        <v>100</v>
      </c>
      <c r="K613" s="629">
        <v>125.636</v>
      </c>
      <c r="L613" s="696"/>
      <c r="M613" s="698"/>
      <c r="N613" s="700"/>
      <c r="O613" s="752"/>
    </row>
    <row r="614" spans="1:15" s="513" customFormat="1" ht="10.15" customHeight="1">
      <c r="A614" s="615"/>
      <c r="B614" s="535" t="s">
        <v>339</v>
      </c>
      <c r="C614" s="618">
        <v>1462</v>
      </c>
      <c r="D614" s="619">
        <v>43572</v>
      </c>
      <c r="E614" s="620" t="s">
        <v>304</v>
      </c>
      <c r="F614" s="620" t="s">
        <v>382</v>
      </c>
      <c r="G614" s="621">
        <v>959366</v>
      </c>
      <c r="H614" s="622">
        <v>16</v>
      </c>
      <c r="I614" s="620" t="s">
        <v>299</v>
      </c>
      <c r="J614" s="622">
        <v>85</v>
      </c>
      <c r="K614" s="623">
        <v>211.4</v>
      </c>
      <c r="L614" s="695">
        <f>J614+J615</f>
        <v>316</v>
      </c>
      <c r="M614" s="697">
        <f>SUM(K614:K615)</f>
        <v>316</v>
      </c>
      <c r="N614" s="699">
        <f t="shared" ref="N614" si="127">+L614-M614</f>
        <v>0</v>
      </c>
      <c r="O614" s="751" t="e">
        <f>+((K614+K615)+(#REF!+#REF!))/L614</f>
        <v>#REF!</v>
      </c>
    </row>
    <row r="615" spans="1:15" s="513" customFormat="1" ht="10.15" customHeight="1">
      <c r="A615" s="615"/>
      <c r="B615" s="535" t="s">
        <v>339</v>
      </c>
      <c r="C615" s="624">
        <v>1462</v>
      </c>
      <c r="D615" s="625">
        <v>43572</v>
      </c>
      <c r="E615" s="626" t="s">
        <v>304</v>
      </c>
      <c r="F615" s="626" t="s">
        <v>382</v>
      </c>
      <c r="G615" s="627">
        <v>959366</v>
      </c>
      <c r="H615" s="628">
        <v>16</v>
      </c>
      <c r="I615" s="626" t="s">
        <v>300</v>
      </c>
      <c r="J615" s="628">
        <v>231</v>
      </c>
      <c r="K615" s="629">
        <v>104.6</v>
      </c>
      <c r="L615" s="696"/>
      <c r="M615" s="698"/>
      <c r="N615" s="700"/>
      <c r="O615" s="752"/>
    </row>
    <row r="616" spans="1:15" s="513" customFormat="1" ht="10.15" customHeight="1">
      <c r="A616" s="615"/>
      <c r="B616" s="535" t="s">
        <v>339</v>
      </c>
      <c r="C616" s="618">
        <v>2140</v>
      </c>
      <c r="D616" s="619">
        <v>43627</v>
      </c>
      <c r="E616" s="620" t="s">
        <v>304</v>
      </c>
      <c r="F616" s="620" t="s">
        <v>382</v>
      </c>
      <c r="G616" s="621">
        <v>959366</v>
      </c>
      <c r="H616" s="622">
        <v>16</v>
      </c>
      <c r="I616" s="620" t="s">
        <v>299</v>
      </c>
      <c r="J616" s="622">
        <v>67</v>
      </c>
      <c r="K616" s="623">
        <v>78.525999999999996</v>
      </c>
      <c r="L616" s="695">
        <f>J616+J617</f>
        <v>148</v>
      </c>
      <c r="M616" s="697">
        <f>SUM(K616:K617)</f>
        <v>148</v>
      </c>
      <c r="N616" s="699">
        <f t="shared" ref="N616" si="128">+L616-M616</f>
        <v>0</v>
      </c>
      <c r="O616" s="751" t="e">
        <f>+((K616+K617)+(#REF!+#REF!))/L616</f>
        <v>#REF!</v>
      </c>
    </row>
    <row r="617" spans="1:15" s="513" customFormat="1" ht="10.15" customHeight="1">
      <c r="A617" s="615"/>
      <c r="B617" s="535" t="s">
        <v>339</v>
      </c>
      <c r="C617" s="624">
        <v>2140</v>
      </c>
      <c r="D617" s="625">
        <v>43627</v>
      </c>
      <c r="E617" s="626" t="s">
        <v>304</v>
      </c>
      <c r="F617" s="626" t="s">
        <v>382</v>
      </c>
      <c r="G617" s="627">
        <v>959366</v>
      </c>
      <c r="H617" s="628">
        <v>16</v>
      </c>
      <c r="I617" s="626" t="s">
        <v>300</v>
      </c>
      <c r="J617" s="628">
        <v>81</v>
      </c>
      <c r="K617" s="629">
        <v>69.474000000000004</v>
      </c>
      <c r="L617" s="696"/>
      <c r="M617" s="698"/>
      <c r="N617" s="700"/>
      <c r="O617" s="752"/>
    </row>
    <row r="618" spans="1:15" s="513" customFormat="1" ht="10.15" customHeight="1">
      <c r="A618" s="615"/>
      <c r="B618" s="535" t="s">
        <v>339</v>
      </c>
      <c r="C618" s="618">
        <v>1638</v>
      </c>
      <c r="D618" s="619">
        <v>43585</v>
      </c>
      <c r="E618" s="620" t="s">
        <v>304</v>
      </c>
      <c r="F618" s="620" t="s">
        <v>383</v>
      </c>
      <c r="G618" s="621">
        <v>959370</v>
      </c>
      <c r="H618" s="622">
        <v>16</v>
      </c>
      <c r="I618" s="620" t="s">
        <v>299</v>
      </c>
      <c r="J618" s="622">
        <v>20</v>
      </c>
      <c r="K618" s="623">
        <v>27.856999999999999</v>
      </c>
      <c r="L618" s="695">
        <f>J618+J619</f>
        <v>100</v>
      </c>
      <c r="M618" s="697">
        <f>SUM(K618:K619)</f>
        <v>100</v>
      </c>
      <c r="N618" s="699">
        <f t="shared" ref="N618" si="129">+L618-M618</f>
        <v>0</v>
      </c>
      <c r="O618" s="751" t="e">
        <f>+((K618+K619)+(#REF!+#REF!))/L618</f>
        <v>#REF!</v>
      </c>
    </row>
    <row r="619" spans="1:15" s="513" customFormat="1" ht="10.15" customHeight="1">
      <c r="A619" s="615"/>
      <c r="B619" s="535" t="s">
        <v>339</v>
      </c>
      <c r="C619" s="624">
        <v>1638</v>
      </c>
      <c r="D619" s="625">
        <v>43585</v>
      </c>
      <c r="E619" s="626" t="s">
        <v>304</v>
      </c>
      <c r="F619" s="626" t="s">
        <v>383</v>
      </c>
      <c r="G619" s="627">
        <v>959370</v>
      </c>
      <c r="H619" s="628">
        <v>16</v>
      </c>
      <c r="I619" s="626" t="s">
        <v>300</v>
      </c>
      <c r="J619" s="628">
        <v>80</v>
      </c>
      <c r="K619" s="629">
        <v>72.143000000000001</v>
      </c>
      <c r="L619" s="696"/>
      <c r="M619" s="698"/>
      <c r="N619" s="700"/>
      <c r="O619" s="752"/>
    </row>
    <row r="620" spans="1:15" s="513" customFormat="1" ht="10.15" customHeight="1">
      <c r="A620" s="615"/>
      <c r="B620" s="535" t="s">
        <v>339</v>
      </c>
      <c r="C620" s="618">
        <v>1462</v>
      </c>
      <c r="D620" s="619">
        <v>43572</v>
      </c>
      <c r="E620" s="620" t="s">
        <v>304</v>
      </c>
      <c r="F620" s="620" t="s">
        <v>384</v>
      </c>
      <c r="G620" s="621">
        <v>959954</v>
      </c>
      <c r="H620" s="622">
        <v>16</v>
      </c>
      <c r="I620" s="620" t="s">
        <v>299</v>
      </c>
      <c r="J620" s="622">
        <v>97</v>
      </c>
      <c r="K620" s="623">
        <v>125.488</v>
      </c>
      <c r="L620" s="695">
        <f>J620+J621</f>
        <v>364</v>
      </c>
      <c r="M620" s="697">
        <f>SUM(K620:K621)</f>
        <v>364</v>
      </c>
      <c r="N620" s="699">
        <f t="shared" ref="N620" si="130">+L620-M620</f>
        <v>0</v>
      </c>
      <c r="O620" s="751" t="e">
        <f>+((K620+K621)+(#REF!+#REF!))/L620</f>
        <v>#REF!</v>
      </c>
    </row>
    <row r="621" spans="1:15" s="513" customFormat="1" ht="10.15" customHeight="1">
      <c r="A621" s="615"/>
      <c r="B621" s="535" t="s">
        <v>339</v>
      </c>
      <c r="C621" s="624">
        <v>1462</v>
      </c>
      <c r="D621" s="625">
        <v>43572</v>
      </c>
      <c r="E621" s="626" t="s">
        <v>304</v>
      </c>
      <c r="F621" s="626" t="s">
        <v>384</v>
      </c>
      <c r="G621" s="627">
        <v>959954</v>
      </c>
      <c r="H621" s="628">
        <v>16</v>
      </c>
      <c r="I621" s="626" t="s">
        <v>300</v>
      </c>
      <c r="J621" s="628">
        <v>267</v>
      </c>
      <c r="K621" s="629">
        <v>238.512</v>
      </c>
      <c r="L621" s="696"/>
      <c r="M621" s="698"/>
      <c r="N621" s="700"/>
      <c r="O621" s="752"/>
    </row>
    <row r="622" spans="1:15" s="513" customFormat="1" ht="10.15" customHeight="1">
      <c r="A622" s="615"/>
      <c r="B622" s="535" t="s">
        <v>339</v>
      </c>
      <c r="C622" s="618">
        <v>2140</v>
      </c>
      <c r="D622" s="619">
        <v>43627</v>
      </c>
      <c r="E622" s="620" t="s">
        <v>304</v>
      </c>
      <c r="F622" s="620" t="s">
        <v>384</v>
      </c>
      <c r="G622" s="621">
        <v>959954</v>
      </c>
      <c r="H622" s="622">
        <v>16</v>
      </c>
      <c r="I622" s="620" t="s">
        <v>299</v>
      </c>
      <c r="J622" s="622">
        <v>67</v>
      </c>
      <c r="K622" s="623">
        <v>56.478999999999999</v>
      </c>
      <c r="L622" s="695">
        <f>J622+J623</f>
        <v>148</v>
      </c>
      <c r="M622" s="697">
        <f>SUM(K622:K623)</f>
        <v>148</v>
      </c>
      <c r="N622" s="699">
        <f t="shared" ref="N622" si="131">+L622-M622</f>
        <v>0</v>
      </c>
      <c r="O622" s="751" t="e">
        <f>+((K622+K623)+(#REF!+#REF!))/L622</f>
        <v>#REF!</v>
      </c>
    </row>
    <row r="623" spans="1:15" s="513" customFormat="1" ht="10.15" customHeight="1">
      <c r="A623" s="615"/>
      <c r="B623" s="535" t="s">
        <v>339</v>
      </c>
      <c r="C623" s="624">
        <v>2140</v>
      </c>
      <c r="D623" s="625">
        <v>43627</v>
      </c>
      <c r="E623" s="626" t="s">
        <v>304</v>
      </c>
      <c r="F623" s="626" t="s">
        <v>384</v>
      </c>
      <c r="G623" s="627">
        <v>959954</v>
      </c>
      <c r="H623" s="628">
        <v>16</v>
      </c>
      <c r="I623" s="626" t="s">
        <v>300</v>
      </c>
      <c r="J623" s="628">
        <v>81</v>
      </c>
      <c r="K623" s="629">
        <v>91.521000000000001</v>
      </c>
      <c r="L623" s="696"/>
      <c r="M623" s="698"/>
      <c r="N623" s="700"/>
      <c r="O623" s="752"/>
    </row>
    <row r="624" spans="1:15" s="513" customFormat="1" ht="10.15" customHeight="1">
      <c r="A624" s="615"/>
      <c r="B624" s="535" t="s">
        <v>339</v>
      </c>
      <c r="C624" s="618">
        <v>1462</v>
      </c>
      <c r="D624" s="619">
        <v>43572</v>
      </c>
      <c r="E624" s="620" t="s">
        <v>304</v>
      </c>
      <c r="F624" s="620" t="s">
        <v>385</v>
      </c>
      <c r="G624" s="621">
        <v>959993</v>
      </c>
      <c r="H624" s="622">
        <v>16</v>
      </c>
      <c r="I624" s="620" t="s">
        <v>299</v>
      </c>
      <c r="J624" s="622">
        <v>0</v>
      </c>
      <c r="K624" s="623"/>
      <c r="L624" s="695">
        <f>J624+J625</f>
        <v>0</v>
      </c>
      <c r="M624" s="697">
        <f>SUM(K624:K625)</f>
        <v>0</v>
      </c>
      <c r="N624" s="699">
        <f t="shared" ref="N624" si="132">+L624-M624</f>
        <v>0</v>
      </c>
      <c r="O624" s="751" t="e">
        <f>+((K624+K625)+(#REF!+#REF!))/L624</f>
        <v>#REF!</v>
      </c>
    </row>
    <row r="625" spans="1:15" s="513" customFormat="1" ht="10.15" customHeight="1">
      <c r="A625" s="615"/>
      <c r="B625" s="535" t="s">
        <v>339</v>
      </c>
      <c r="C625" s="624">
        <v>1462</v>
      </c>
      <c r="D625" s="625">
        <v>43572</v>
      </c>
      <c r="E625" s="626" t="s">
        <v>304</v>
      </c>
      <c r="F625" s="626" t="s">
        <v>385</v>
      </c>
      <c r="G625" s="627">
        <v>959993</v>
      </c>
      <c r="H625" s="628">
        <v>16</v>
      </c>
      <c r="I625" s="626" t="s">
        <v>300</v>
      </c>
      <c r="J625" s="628">
        <v>0</v>
      </c>
      <c r="K625" s="629"/>
      <c r="L625" s="696"/>
      <c r="M625" s="698"/>
      <c r="N625" s="700"/>
      <c r="O625" s="752"/>
    </row>
    <row r="626" spans="1:15" s="513" customFormat="1" ht="10.15" customHeight="1">
      <c r="A626" s="615"/>
      <c r="B626" s="535" t="s">
        <v>339</v>
      </c>
      <c r="C626" s="618">
        <v>847</v>
      </c>
      <c r="D626" s="619">
        <v>43530</v>
      </c>
      <c r="E626" s="620" t="s">
        <v>304</v>
      </c>
      <c r="F626" s="620" t="s">
        <v>386</v>
      </c>
      <c r="G626" s="621">
        <v>961377</v>
      </c>
      <c r="H626" s="622">
        <v>16</v>
      </c>
      <c r="I626" s="620" t="s">
        <v>299</v>
      </c>
      <c r="J626" s="622">
        <v>50</v>
      </c>
      <c r="K626" s="623">
        <v>57.328000000000003</v>
      </c>
      <c r="L626" s="695">
        <f>J626+J627</f>
        <v>350</v>
      </c>
      <c r="M626" s="697">
        <f>SUM(K626:K627)</f>
        <v>350</v>
      </c>
      <c r="N626" s="699">
        <f t="shared" ref="N626" si="133">+L626-M626</f>
        <v>0</v>
      </c>
      <c r="O626" s="751" t="e">
        <f>+((K626+K627)+(#REF!+#REF!))/L626</f>
        <v>#REF!</v>
      </c>
    </row>
    <row r="627" spans="1:15" s="513" customFormat="1" ht="10.15" customHeight="1">
      <c r="A627" s="615"/>
      <c r="B627" s="535" t="s">
        <v>339</v>
      </c>
      <c r="C627" s="624">
        <v>847</v>
      </c>
      <c r="D627" s="625">
        <v>43530</v>
      </c>
      <c r="E627" s="626" t="s">
        <v>304</v>
      </c>
      <c r="F627" s="626" t="s">
        <v>386</v>
      </c>
      <c r="G627" s="627">
        <v>961377</v>
      </c>
      <c r="H627" s="628">
        <v>16</v>
      </c>
      <c r="I627" s="626" t="s">
        <v>300</v>
      </c>
      <c r="J627" s="628">
        <v>300</v>
      </c>
      <c r="K627" s="629">
        <v>292.67200000000003</v>
      </c>
      <c r="L627" s="696"/>
      <c r="M627" s="698"/>
      <c r="N627" s="700"/>
      <c r="O627" s="752"/>
    </row>
    <row r="628" spans="1:15" s="513" customFormat="1" ht="10.15" customHeight="1">
      <c r="A628" s="615"/>
      <c r="B628" s="535" t="s">
        <v>339</v>
      </c>
      <c r="C628" s="618">
        <v>2139</v>
      </c>
      <c r="D628" s="619">
        <v>43627</v>
      </c>
      <c r="E628" s="620" t="s">
        <v>304</v>
      </c>
      <c r="F628" s="620" t="s">
        <v>386</v>
      </c>
      <c r="G628" s="621">
        <v>961377</v>
      </c>
      <c r="H628" s="622">
        <v>16</v>
      </c>
      <c r="I628" s="620" t="s">
        <v>299</v>
      </c>
      <c r="J628" s="622">
        <v>30</v>
      </c>
      <c r="K628" s="623">
        <v>31.748999999999999</v>
      </c>
      <c r="L628" s="695">
        <f>J628+J629</f>
        <v>170</v>
      </c>
      <c r="M628" s="697">
        <f>SUM(K628:K629)</f>
        <v>170</v>
      </c>
      <c r="N628" s="699">
        <f t="shared" ref="N628" si="134">+L628-M628</f>
        <v>0</v>
      </c>
      <c r="O628" s="751" t="e">
        <f>+((K628+K629)+(#REF!+#REF!))/L628</f>
        <v>#REF!</v>
      </c>
    </row>
    <row r="629" spans="1:15" s="513" customFormat="1" ht="10.15" customHeight="1">
      <c r="A629" s="615"/>
      <c r="B629" s="535" t="s">
        <v>339</v>
      </c>
      <c r="C629" s="624">
        <v>2139</v>
      </c>
      <c r="D629" s="625">
        <v>43627</v>
      </c>
      <c r="E629" s="626" t="s">
        <v>304</v>
      </c>
      <c r="F629" s="626" t="s">
        <v>386</v>
      </c>
      <c r="G629" s="627">
        <v>961377</v>
      </c>
      <c r="H629" s="628">
        <v>16</v>
      </c>
      <c r="I629" s="626" t="s">
        <v>300</v>
      </c>
      <c r="J629" s="628">
        <v>140</v>
      </c>
      <c r="K629" s="629">
        <v>138.251</v>
      </c>
      <c r="L629" s="696"/>
      <c r="M629" s="698"/>
      <c r="N629" s="700"/>
      <c r="O629" s="752"/>
    </row>
    <row r="630" spans="1:15" s="513" customFormat="1" ht="10.15" customHeight="1">
      <c r="A630" s="615"/>
      <c r="B630" s="535" t="s">
        <v>339</v>
      </c>
      <c r="C630" s="618">
        <v>2122</v>
      </c>
      <c r="D630" s="619">
        <v>43623</v>
      </c>
      <c r="E630" s="620" t="s">
        <v>304</v>
      </c>
      <c r="F630" s="620" t="s">
        <v>549</v>
      </c>
      <c r="G630" s="621">
        <v>963966</v>
      </c>
      <c r="H630" s="622">
        <v>16</v>
      </c>
      <c r="I630" s="620" t="s">
        <v>299</v>
      </c>
      <c r="J630" s="622">
        <v>20</v>
      </c>
      <c r="K630" s="623"/>
      <c r="L630" s="695">
        <f>J630+J631</f>
        <v>50</v>
      </c>
      <c r="M630" s="697">
        <f>SUM(K630:K631)</f>
        <v>0</v>
      </c>
      <c r="N630" s="699">
        <f t="shared" ref="N630" si="135">+L630-M630</f>
        <v>50</v>
      </c>
      <c r="O630" s="751" t="e">
        <f>+((K630+K631)+(#REF!+#REF!))/L630</f>
        <v>#REF!</v>
      </c>
    </row>
    <row r="631" spans="1:15" s="513" customFormat="1" ht="10.15" customHeight="1">
      <c r="A631" s="615"/>
      <c r="B631" s="535" t="s">
        <v>339</v>
      </c>
      <c r="C631" s="624">
        <v>2122</v>
      </c>
      <c r="D631" s="625">
        <v>43623</v>
      </c>
      <c r="E631" s="626" t="s">
        <v>304</v>
      </c>
      <c r="F631" s="626" t="s">
        <v>549</v>
      </c>
      <c r="G631" s="627">
        <v>963966</v>
      </c>
      <c r="H631" s="628">
        <v>16</v>
      </c>
      <c r="I631" s="626" t="s">
        <v>300</v>
      </c>
      <c r="J631" s="628">
        <v>30</v>
      </c>
      <c r="K631" s="629"/>
      <c r="L631" s="696"/>
      <c r="M631" s="698"/>
      <c r="N631" s="700"/>
      <c r="O631" s="752"/>
    </row>
    <row r="632" spans="1:15" s="513" customFormat="1" ht="10.15" customHeight="1">
      <c r="A632" s="615"/>
      <c r="B632" s="535" t="s">
        <v>339</v>
      </c>
      <c r="C632" s="618">
        <v>1638</v>
      </c>
      <c r="D632" s="619">
        <v>43585</v>
      </c>
      <c r="E632" s="620" t="s">
        <v>304</v>
      </c>
      <c r="F632" s="620" t="s">
        <v>387</v>
      </c>
      <c r="G632" s="621">
        <v>964409</v>
      </c>
      <c r="H632" s="622">
        <v>16</v>
      </c>
      <c r="I632" s="620" t="s">
        <v>299</v>
      </c>
      <c r="J632" s="622">
        <v>20</v>
      </c>
      <c r="K632" s="623">
        <v>34.152999999999999</v>
      </c>
      <c r="L632" s="695">
        <f>J632+J633</f>
        <v>100</v>
      </c>
      <c r="M632" s="697">
        <f>SUM(K632:K633)</f>
        <v>100</v>
      </c>
      <c r="N632" s="699">
        <f t="shared" ref="N632" si="136">+L632-M632</f>
        <v>0</v>
      </c>
      <c r="O632" s="751" t="e">
        <f>+((K632+K633)+(#REF!+#REF!))/L632</f>
        <v>#REF!</v>
      </c>
    </row>
    <row r="633" spans="1:15" s="513" customFormat="1" ht="10.15" customHeight="1">
      <c r="A633" s="615"/>
      <c r="B633" s="535" t="s">
        <v>339</v>
      </c>
      <c r="C633" s="624">
        <v>1638</v>
      </c>
      <c r="D633" s="625">
        <v>43585</v>
      </c>
      <c r="E633" s="626" t="s">
        <v>304</v>
      </c>
      <c r="F633" s="626" t="s">
        <v>387</v>
      </c>
      <c r="G633" s="627">
        <v>964409</v>
      </c>
      <c r="H633" s="628">
        <v>16</v>
      </c>
      <c r="I633" s="626" t="s">
        <v>300</v>
      </c>
      <c r="J633" s="628">
        <v>80</v>
      </c>
      <c r="K633" s="629">
        <v>65.846999999999994</v>
      </c>
      <c r="L633" s="696"/>
      <c r="M633" s="698"/>
      <c r="N633" s="700"/>
      <c r="O633" s="752"/>
    </row>
    <row r="634" spans="1:15" s="513" customFormat="1" ht="10.15" customHeight="1">
      <c r="A634" s="615"/>
      <c r="B634" s="535" t="s">
        <v>339</v>
      </c>
      <c r="C634" s="618">
        <v>2122</v>
      </c>
      <c r="D634" s="619">
        <v>43623</v>
      </c>
      <c r="E634" s="620" t="s">
        <v>304</v>
      </c>
      <c r="F634" s="620" t="s">
        <v>387</v>
      </c>
      <c r="G634" s="621">
        <v>964409</v>
      </c>
      <c r="H634" s="622">
        <v>16</v>
      </c>
      <c r="I634" s="620" t="s">
        <v>299</v>
      </c>
      <c r="J634" s="622">
        <v>20</v>
      </c>
      <c r="K634" s="623">
        <v>4.2770000000000001</v>
      </c>
      <c r="L634" s="695">
        <f>J634+J635</f>
        <v>70</v>
      </c>
      <c r="M634" s="697">
        <f>SUM(K634:K635)</f>
        <v>70</v>
      </c>
      <c r="N634" s="699">
        <f t="shared" ref="N634" si="137">+L634-M634</f>
        <v>0</v>
      </c>
      <c r="O634" s="751" t="e">
        <f>+((K634+K635)+(#REF!+#REF!))/L634</f>
        <v>#REF!</v>
      </c>
    </row>
    <row r="635" spans="1:15" s="513" customFormat="1" ht="10.15" customHeight="1">
      <c r="A635" s="615"/>
      <c r="B635" s="535" t="s">
        <v>339</v>
      </c>
      <c r="C635" s="624">
        <v>2122</v>
      </c>
      <c r="D635" s="625">
        <v>43623</v>
      </c>
      <c r="E635" s="626" t="s">
        <v>304</v>
      </c>
      <c r="F635" s="626" t="s">
        <v>387</v>
      </c>
      <c r="G635" s="627">
        <v>964409</v>
      </c>
      <c r="H635" s="628">
        <v>16</v>
      </c>
      <c r="I635" s="626" t="s">
        <v>300</v>
      </c>
      <c r="J635" s="628">
        <v>50</v>
      </c>
      <c r="K635" s="629">
        <v>65.722999999999999</v>
      </c>
      <c r="L635" s="696"/>
      <c r="M635" s="698"/>
      <c r="N635" s="700"/>
      <c r="O635" s="752"/>
    </row>
    <row r="636" spans="1:15" s="513" customFormat="1" ht="10.15" customHeight="1">
      <c r="A636" s="615"/>
      <c r="B636" s="535" t="s">
        <v>339</v>
      </c>
      <c r="C636" s="618">
        <v>1528</v>
      </c>
      <c r="D636" s="619">
        <v>43578</v>
      </c>
      <c r="E636" s="620" t="s">
        <v>304</v>
      </c>
      <c r="F636" s="620" t="s">
        <v>388</v>
      </c>
      <c r="G636" s="621">
        <v>965070</v>
      </c>
      <c r="H636" s="622">
        <v>16</v>
      </c>
      <c r="I636" s="620" t="s">
        <v>299</v>
      </c>
      <c r="J636" s="622">
        <v>10</v>
      </c>
      <c r="K636" s="623">
        <v>83.942999999999998</v>
      </c>
      <c r="L636" s="695">
        <f>J636+J637</f>
        <v>210</v>
      </c>
      <c r="M636" s="697">
        <f>SUM(K636:K637)</f>
        <v>210</v>
      </c>
      <c r="N636" s="699">
        <f t="shared" ref="N636" si="138">+L636-M636</f>
        <v>0</v>
      </c>
      <c r="O636" s="751" t="e">
        <f>+((K636+K637)+(#REF!+#REF!))/L636</f>
        <v>#REF!</v>
      </c>
    </row>
    <row r="637" spans="1:15" s="513" customFormat="1" ht="10.15" customHeight="1">
      <c r="A637" s="615"/>
      <c r="B637" s="535" t="s">
        <v>339</v>
      </c>
      <c r="C637" s="624">
        <v>1528</v>
      </c>
      <c r="D637" s="625">
        <v>43578</v>
      </c>
      <c r="E637" s="626" t="s">
        <v>304</v>
      </c>
      <c r="F637" s="626" t="s">
        <v>388</v>
      </c>
      <c r="G637" s="627">
        <v>965070</v>
      </c>
      <c r="H637" s="628">
        <v>16</v>
      </c>
      <c r="I637" s="626" t="s">
        <v>300</v>
      </c>
      <c r="J637" s="628">
        <v>200</v>
      </c>
      <c r="K637" s="629">
        <v>126.057</v>
      </c>
      <c r="L637" s="696"/>
      <c r="M637" s="698"/>
      <c r="N637" s="700"/>
      <c r="O637" s="752"/>
    </row>
    <row r="638" spans="1:15" s="513" customFormat="1" ht="10.15" customHeight="1">
      <c r="A638" s="615"/>
      <c r="B638" s="535" t="s">
        <v>339</v>
      </c>
      <c r="C638" s="618">
        <v>2257</v>
      </c>
      <c r="D638" s="619">
        <v>43637</v>
      </c>
      <c r="E638" s="620" t="s">
        <v>303</v>
      </c>
      <c r="F638" s="620" t="s">
        <v>388</v>
      </c>
      <c r="G638" s="621">
        <v>965070</v>
      </c>
      <c r="H638" s="622">
        <v>16</v>
      </c>
      <c r="I638" s="620" t="s">
        <v>299</v>
      </c>
      <c r="J638" s="622">
        <v>30</v>
      </c>
      <c r="K638" s="623"/>
      <c r="L638" s="695">
        <f>J638+J639</f>
        <v>150</v>
      </c>
      <c r="M638" s="697">
        <f>SUM(K638:K639)</f>
        <v>0</v>
      </c>
      <c r="N638" s="699">
        <f t="shared" ref="N638" si="139">+L638-M638</f>
        <v>150</v>
      </c>
      <c r="O638" s="751" t="e">
        <f>+((K638+K639)+(#REF!+#REF!))/L638</f>
        <v>#REF!</v>
      </c>
    </row>
    <row r="639" spans="1:15" s="513" customFormat="1" ht="10.15" customHeight="1">
      <c r="A639" s="615"/>
      <c r="B639" s="535" t="s">
        <v>339</v>
      </c>
      <c r="C639" s="624">
        <v>2257</v>
      </c>
      <c r="D639" s="625">
        <v>43637</v>
      </c>
      <c r="E639" s="626" t="s">
        <v>303</v>
      </c>
      <c r="F639" s="626" t="s">
        <v>388</v>
      </c>
      <c r="G639" s="627">
        <v>965070</v>
      </c>
      <c r="H639" s="628">
        <v>16</v>
      </c>
      <c r="I639" s="626" t="s">
        <v>300</v>
      </c>
      <c r="J639" s="628">
        <v>120</v>
      </c>
      <c r="K639" s="629"/>
      <c r="L639" s="696"/>
      <c r="M639" s="698"/>
      <c r="N639" s="700"/>
      <c r="O639" s="752"/>
    </row>
    <row r="640" spans="1:15" s="513" customFormat="1" ht="10.15" customHeight="1">
      <c r="A640" s="615"/>
      <c r="B640" s="535" t="s">
        <v>339</v>
      </c>
      <c r="C640" s="618">
        <v>2122</v>
      </c>
      <c r="D640" s="619">
        <v>43623</v>
      </c>
      <c r="E640" s="620" t="s">
        <v>304</v>
      </c>
      <c r="F640" s="620" t="s">
        <v>550</v>
      </c>
      <c r="G640" s="621">
        <v>966146</v>
      </c>
      <c r="H640" s="622">
        <v>16</v>
      </c>
      <c r="I640" s="620" t="s">
        <v>299</v>
      </c>
      <c r="J640" s="622">
        <v>10</v>
      </c>
      <c r="K640" s="623">
        <v>42</v>
      </c>
      <c r="L640" s="695">
        <f>J640+J641</f>
        <v>80</v>
      </c>
      <c r="M640" s="697">
        <f>SUM(K640:K641)</f>
        <v>80</v>
      </c>
      <c r="N640" s="699">
        <f t="shared" ref="N640" si="140">+L640-M640</f>
        <v>0</v>
      </c>
      <c r="O640" s="751" t="e">
        <f>+((K640+K641)+(#REF!+#REF!))/L640</f>
        <v>#REF!</v>
      </c>
    </row>
    <row r="641" spans="1:15" s="513" customFormat="1" ht="10.15" customHeight="1">
      <c r="A641" s="615"/>
      <c r="B641" s="535" t="s">
        <v>339</v>
      </c>
      <c r="C641" s="624">
        <v>2122</v>
      </c>
      <c r="D641" s="625">
        <v>43623</v>
      </c>
      <c r="E641" s="626" t="s">
        <v>304</v>
      </c>
      <c r="F641" s="626" t="s">
        <v>550</v>
      </c>
      <c r="G641" s="627">
        <v>966146</v>
      </c>
      <c r="H641" s="628">
        <v>16</v>
      </c>
      <c r="I641" s="626" t="s">
        <v>300</v>
      </c>
      <c r="J641" s="628">
        <v>70</v>
      </c>
      <c r="K641" s="629">
        <v>38</v>
      </c>
      <c r="L641" s="696"/>
      <c r="M641" s="698"/>
      <c r="N641" s="700"/>
      <c r="O641" s="752"/>
    </row>
    <row r="642" spans="1:15" s="513" customFormat="1" ht="10.15" customHeight="1">
      <c r="A642" s="615"/>
      <c r="B642" s="535" t="s">
        <v>339</v>
      </c>
      <c r="C642" s="618">
        <v>1638</v>
      </c>
      <c r="D642" s="619">
        <v>43585</v>
      </c>
      <c r="E642" s="620" t="s">
        <v>304</v>
      </c>
      <c r="F642" s="620" t="s">
        <v>389</v>
      </c>
      <c r="G642" s="621">
        <v>966403</v>
      </c>
      <c r="H642" s="622">
        <v>16</v>
      </c>
      <c r="I642" s="620" t="s">
        <v>299</v>
      </c>
      <c r="J642" s="622">
        <v>20</v>
      </c>
      <c r="K642" s="623">
        <v>15.411</v>
      </c>
      <c r="L642" s="695">
        <f>J642+J643</f>
        <v>100</v>
      </c>
      <c r="M642" s="697">
        <f>SUM(K642:K643)</f>
        <v>99.912999999999997</v>
      </c>
      <c r="N642" s="699">
        <f t="shared" ref="N642" si="141">+L642-M642</f>
        <v>8.7000000000003297E-2</v>
      </c>
      <c r="O642" s="751" t="e">
        <f>+((K642+K643)+(#REF!+#REF!))/L642</f>
        <v>#REF!</v>
      </c>
    </row>
    <row r="643" spans="1:15" s="513" customFormat="1" ht="10.15" customHeight="1">
      <c r="A643" s="615"/>
      <c r="B643" s="535" t="s">
        <v>339</v>
      </c>
      <c r="C643" s="624">
        <v>1638</v>
      </c>
      <c r="D643" s="625">
        <v>43585</v>
      </c>
      <c r="E643" s="626" t="s">
        <v>304</v>
      </c>
      <c r="F643" s="626" t="s">
        <v>389</v>
      </c>
      <c r="G643" s="627">
        <v>966403</v>
      </c>
      <c r="H643" s="628">
        <v>16</v>
      </c>
      <c r="I643" s="626" t="s">
        <v>300</v>
      </c>
      <c r="J643" s="628">
        <v>80</v>
      </c>
      <c r="K643" s="629">
        <v>84.501999999999995</v>
      </c>
      <c r="L643" s="696"/>
      <c r="M643" s="698"/>
      <c r="N643" s="700"/>
      <c r="O643" s="752"/>
    </row>
    <row r="644" spans="1:15" s="513" customFormat="1" ht="10.15" customHeight="1">
      <c r="A644" s="615"/>
      <c r="B644" s="535" t="s">
        <v>339</v>
      </c>
      <c r="C644" s="618">
        <v>2122</v>
      </c>
      <c r="D644" s="619">
        <v>43623</v>
      </c>
      <c r="E644" s="620" t="s">
        <v>304</v>
      </c>
      <c r="F644" s="620" t="s">
        <v>389</v>
      </c>
      <c r="G644" s="621">
        <v>966403</v>
      </c>
      <c r="H644" s="622">
        <v>16</v>
      </c>
      <c r="I644" s="620" t="s">
        <v>299</v>
      </c>
      <c r="J644" s="622">
        <v>20</v>
      </c>
      <c r="K644" s="623">
        <v>41.762999999999998</v>
      </c>
      <c r="L644" s="695">
        <f>J644+J645</f>
        <v>70</v>
      </c>
      <c r="M644" s="697">
        <f>SUM(K644:K645)</f>
        <v>70</v>
      </c>
      <c r="N644" s="699">
        <f t="shared" ref="N644" si="142">+L644-M644</f>
        <v>0</v>
      </c>
      <c r="O644" s="751" t="e">
        <f>+((K644+K645)+(#REF!+#REF!))/L644</f>
        <v>#REF!</v>
      </c>
    </row>
    <row r="645" spans="1:15" s="513" customFormat="1" ht="10.15" customHeight="1">
      <c r="A645" s="615"/>
      <c r="B645" s="535" t="s">
        <v>339</v>
      </c>
      <c r="C645" s="624">
        <v>2122</v>
      </c>
      <c r="D645" s="625">
        <v>43623</v>
      </c>
      <c r="E645" s="626" t="s">
        <v>304</v>
      </c>
      <c r="F645" s="626" t="s">
        <v>389</v>
      </c>
      <c r="G645" s="627">
        <v>966403</v>
      </c>
      <c r="H645" s="628">
        <v>16</v>
      </c>
      <c r="I645" s="626" t="s">
        <v>300</v>
      </c>
      <c r="J645" s="628">
        <v>50</v>
      </c>
      <c r="K645" s="629">
        <v>28.236999999999998</v>
      </c>
      <c r="L645" s="696"/>
      <c r="M645" s="698"/>
      <c r="N645" s="700"/>
      <c r="O645" s="752"/>
    </row>
    <row r="646" spans="1:15" s="513" customFormat="1" ht="10.15" customHeight="1">
      <c r="A646" s="615"/>
      <c r="B646" s="535" t="s">
        <v>339</v>
      </c>
      <c r="C646" s="618">
        <v>1528</v>
      </c>
      <c r="D646" s="619">
        <v>43578</v>
      </c>
      <c r="E646" s="620" t="s">
        <v>304</v>
      </c>
      <c r="F646" s="620" t="s">
        <v>390</v>
      </c>
      <c r="G646" s="621">
        <v>910708</v>
      </c>
      <c r="H646" s="622">
        <v>18</v>
      </c>
      <c r="I646" s="620" t="s">
        <v>299</v>
      </c>
      <c r="J646" s="622">
        <v>10</v>
      </c>
      <c r="K646" s="623">
        <v>14.058</v>
      </c>
      <c r="L646" s="695">
        <f>J646+J647</f>
        <v>160</v>
      </c>
      <c r="M646" s="697">
        <f>SUM(K646:K647)</f>
        <v>25.555</v>
      </c>
      <c r="N646" s="699">
        <f t="shared" ref="N646" si="143">+L646-M646</f>
        <v>134.44499999999999</v>
      </c>
      <c r="O646" s="751" t="e">
        <f>+((K646+K647)+(#REF!+#REF!))/L646</f>
        <v>#REF!</v>
      </c>
    </row>
    <row r="647" spans="1:15" s="513" customFormat="1" ht="10.15" customHeight="1">
      <c r="A647" s="615"/>
      <c r="B647" s="535" t="s">
        <v>339</v>
      </c>
      <c r="C647" s="624">
        <v>1528</v>
      </c>
      <c r="D647" s="625">
        <v>43578</v>
      </c>
      <c r="E647" s="626" t="s">
        <v>304</v>
      </c>
      <c r="F647" s="626" t="s">
        <v>390</v>
      </c>
      <c r="G647" s="627">
        <v>910708</v>
      </c>
      <c r="H647" s="628">
        <v>18</v>
      </c>
      <c r="I647" s="626" t="s">
        <v>300</v>
      </c>
      <c r="J647" s="628">
        <v>150</v>
      </c>
      <c r="K647" s="629">
        <v>11.497</v>
      </c>
      <c r="L647" s="696"/>
      <c r="M647" s="698"/>
      <c r="N647" s="700"/>
      <c r="O647" s="752"/>
    </row>
    <row r="648" spans="1:15" s="513" customFormat="1" ht="10.15" customHeight="1">
      <c r="A648" s="615"/>
      <c r="B648" s="535" t="s">
        <v>339</v>
      </c>
      <c r="C648" s="618">
        <v>1528</v>
      </c>
      <c r="D648" s="619">
        <v>43578</v>
      </c>
      <c r="E648" s="620" t="s">
        <v>304</v>
      </c>
      <c r="F648" s="620" t="s">
        <v>391</v>
      </c>
      <c r="G648" s="621">
        <v>923215</v>
      </c>
      <c r="H648" s="622">
        <v>18</v>
      </c>
      <c r="I648" s="620" t="s">
        <v>299</v>
      </c>
      <c r="J648" s="622">
        <v>20</v>
      </c>
      <c r="K648" s="623">
        <v>88</v>
      </c>
      <c r="L648" s="695">
        <f>J648+J649</f>
        <v>220</v>
      </c>
      <c r="M648" s="697">
        <f>SUM(K648:K649)</f>
        <v>207.358</v>
      </c>
      <c r="N648" s="699">
        <f t="shared" ref="N648" si="144">+L648-M648</f>
        <v>12.641999999999996</v>
      </c>
      <c r="O648" s="751" t="e">
        <f>+((K648+K649)+(#REF!+#REF!))/L648</f>
        <v>#REF!</v>
      </c>
    </row>
    <row r="649" spans="1:15" s="513" customFormat="1" ht="10.15" customHeight="1">
      <c r="A649" s="615"/>
      <c r="B649" s="535" t="s">
        <v>339</v>
      </c>
      <c r="C649" s="624">
        <v>1528</v>
      </c>
      <c r="D649" s="625">
        <v>43578</v>
      </c>
      <c r="E649" s="626" t="s">
        <v>304</v>
      </c>
      <c r="F649" s="626" t="s">
        <v>391</v>
      </c>
      <c r="G649" s="627">
        <v>923215</v>
      </c>
      <c r="H649" s="628">
        <v>18</v>
      </c>
      <c r="I649" s="626" t="s">
        <v>300</v>
      </c>
      <c r="J649" s="628">
        <v>200</v>
      </c>
      <c r="K649" s="629">
        <v>119.358</v>
      </c>
      <c r="L649" s="696"/>
      <c r="M649" s="698"/>
      <c r="N649" s="700"/>
      <c r="O649" s="752"/>
    </row>
    <row r="650" spans="1:15" s="513" customFormat="1" ht="10.15" customHeight="1">
      <c r="A650" s="615"/>
      <c r="B650" s="535" t="s">
        <v>339</v>
      </c>
      <c r="C650" s="618">
        <v>2139</v>
      </c>
      <c r="D650" s="619">
        <v>43627</v>
      </c>
      <c r="E650" s="620" t="s">
        <v>304</v>
      </c>
      <c r="F650" s="620" t="s">
        <v>391</v>
      </c>
      <c r="G650" s="621">
        <v>923215</v>
      </c>
      <c r="H650" s="622">
        <v>18</v>
      </c>
      <c r="I650" s="620" t="s">
        <v>299</v>
      </c>
      <c r="J650" s="622">
        <v>30</v>
      </c>
      <c r="K650" s="623"/>
      <c r="L650" s="695">
        <f>J650+J651</f>
        <v>190</v>
      </c>
      <c r="M650" s="697">
        <f>SUM(K650:K651)</f>
        <v>80.87</v>
      </c>
      <c r="N650" s="699">
        <f t="shared" ref="N650" si="145">+L650-M650</f>
        <v>109.13</v>
      </c>
      <c r="O650" s="751" t="e">
        <f>+((K650+K651)+(#REF!+#REF!))/L650</f>
        <v>#REF!</v>
      </c>
    </row>
    <row r="651" spans="1:15" s="513" customFormat="1" ht="10.15" customHeight="1">
      <c r="A651" s="615"/>
      <c r="B651" s="535" t="s">
        <v>339</v>
      </c>
      <c r="C651" s="624">
        <v>2139</v>
      </c>
      <c r="D651" s="625">
        <v>43627</v>
      </c>
      <c r="E651" s="626" t="s">
        <v>304</v>
      </c>
      <c r="F651" s="626" t="s">
        <v>391</v>
      </c>
      <c r="G651" s="627">
        <v>923215</v>
      </c>
      <c r="H651" s="628">
        <v>18</v>
      </c>
      <c r="I651" s="626" t="s">
        <v>300</v>
      </c>
      <c r="J651" s="628">
        <v>160</v>
      </c>
      <c r="K651" s="629">
        <v>80.87</v>
      </c>
      <c r="L651" s="696"/>
      <c r="M651" s="698"/>
      <c r="N651" s="700"/>
      <c r="O651" s="752"/>
    </row>
    <row r="652" spans="1:15" s="513" customFormat="1" ht="10.15" customHeight="1">
      <c r="A652" s="615"/>
      <c r="B652" s="535" t="s">
        <v>339</v>
      </c>
      <c r="C652" s="618">
        <v>1462</v>
      </c>
      <c r="D652" s="619">
        <v>43572</v>
      </c>
      <c r="E652" s="620" t="s">
        <v>304</v>
      </c>
      <c r="F652" s="620" t="s">
        <v>392</v>
      </c>
      <c r="G652" s="621">
        <v>951916</v>
      </c>
      <c r="H652" s="622">
        <v>18</v>
      </c>
      <c r="I652" s="620" t="s">
        <v>299</v>
      </c>
      <c r="J652" s="622">
        <v>106</v>
      </c>
      <c r="K652" s="623">
        <v>150.512</v>
      </c>
      <c r="L652" s="695">
        <f>J652+J653</f>
        <v>394</v>
      </c>
      <c r="M652" s="697">
        <f>SUM(K652:K653)</f>
        <v>394</v>
      </c>
      <c r="N652" s="699">
        <f t="shared" ref="N652" si="146">+L652-M652</f>
        <v>0</v>
      </c>
      <c r="O652" s="751" t="e">
        <f>+((K652+K653)+(#REF!+#REF!))/L652</f>
        <v>#REF!</v>
      </c>
    </row>
    <row r="653" spans="1:15" s="513" customFormat="1" ht="10.15" customHeight="1">
      <c r="A653" s="615"/>
      <c r="B653" s="535" t="s">
        <v>339</v>
      </c>
      <c r="C653" s="624">
        <v>1462</v>
      </c>
      <c r="D653" s="625">
        <v>43572</v>
      </c>
      <c r="E653" s="626" t="s">
        <v>304</v>
      </c>
      <c r="F653" s="626" t="s">
        <v>392</v>
      </c>
      <c r="G653" s="627">
        <v>951916</v>
      </c>
      <c r="H653" s="628">
        <v>18</v>
      </c>
      <c r="I653" s="626" t="s">
        <v>300</v>
      </c>
      <c r="J653" s="628">
        <v>288</v>
      </c>
      <c r="K653" s="629">
        <v>243.488</v>
      </c>
      <c r="L653" s="696"/>
      <c r="M653" s="698"/>
      <c r="N653" s="700"/>
      <c r="O653" s="752"/>
    </row>
    <row r="654" spans="1:15" s="513" customFormat="1" ht="10.15" customHeight="1">
      <c r="A654" s="615"/>
      <c r="B654" s="535" t="s">
        <v>339</v>
      </c>
      <c r="C654" s="618">
        <v>2140</v>
      </c>
      <c r="D654" s="619">
        <v>43627</v>
      </c>
      <c r="E654" s="620" t="s">
        <v>304</v>
      </c>
      <c r="F654" s="620" t="s">
        <v>392</v>
      </c>
      <c r="G654" s="621">
        <v>951916</v>
      </c>
      <c r="H654" s="622">
        <v>18</v>
      </c>
      <c r="I654" s="620" t="s">
        <v>299</v>
      </c>
      <c r="J654" s="622">
        <v>67</v>
      </c>
      <c r="K654" s="623">
        <v>24.367000000000001</v>
      </c>
      <c r="L654" s="695">
        <f>J654+J655</f>
        <v>148</v>
      </c>
      <c r="M654" s="697">
        <f>SUM(K654:K655)</f>
        <v>85.935000000000002</v>
      </c>
      <c r="N654" s="699">
        <f t="shared" ref="N654" si="147">+L654-M654</f>
        <v>62.064999999999998</v>
      </c>
      <c r="O654" s="751" t="e">
        <f>+((K654+K655)+(#REF!+#REF!))/L654</f>
        <v>#REF!</v>
      </c>
    </row>
    <row r="655" spans="1:15" s="513" customFormat="1" ht="10.15" customHeight="1">
      <c r="A655" s="615"/>
      <c r="B655" s="535" t="s">
        <v>339</v>
      </c>
      <c r="C655" s="624">
        <v>2140</v>
      </c>
      <c r="D655" s="625">
        <v>43627</v>
      </c>
      <c r="E655" s="626" t="s">
        <v>304</v>
      </c>
      <c r="F655" s="626" t="s">
        <v>392</v>
      </c>
      <c r="G655" s="627">
        <v>951916</v>
      </c>
      <c r="H655" s="628">
        <v>18</v>
      </c>
      <c r="I655" s="626" t="s">
        <v>300</v>
      </c>
      <c r="J655" s="628">
        <v>81</v>
      </c>
      <c r="K655" s="629">
        <v>61.567999999999998</v>
      </c>
      <c r="L655" s="696"/>
      <c r="M655" s="698"/>
      <c r="N655" s="700"/>
      <c r="O655" s="752"/>
    </row>
    <row r="656" spans="1:15" s="513" customFormat="1" ht="10.15" customHeight="1">
      <c r="A656" s="615"/>
      <c r="B656" s="535" t="s">
        <v>339</v>
      </c>
      <c r="C656" s="618">
        <v>795</v>
      </c>
      <c r="D656" s="619">
        <v>43524</v>
      </c>
      <c r="E656" s="620" t="s">
        <v>304</v>
      </c>
      <c r="F656" s="620" t="s">
        <v>393</v>
      </c>
      <c r="G656" s="621">
        <v>965128</v>
      </c>
      <c r="H656" s="622">
        <v>18</v>
      </c>
      <c r="I656" s="620" t="s">
        <v>299</v>
      </c>
      <c r="J656" s="622">
        <v>29</v>
      </c>
      <c r="K656" s="623"/>
      <c r="L656" s="695">
        <f>J656+J657</f>
        <v>107</v>
      </c>
      <c r="M656" s="697">
        <f>SUM(K656:K657)</f>
        <v>107</v>
      </c>
      <c r="N656" s="699">
        <f t="shared" ref="N656" si="148">+L656-M656</f>
        <v>0</v>
      </c>
      <c r="O656" s="751" t="e">
        <f>+((K656+K657)+(#REF!+#REF!))/L656</f>
        <v>#REF!</v>
      </c>
    </row>
    <row r="657" spans="1:15" s="513" customFormat="1" ht="10.15" customHeight="1">
      <c r="A657" s="615"/>
      <c r="B657" s="535" t="s">
        <v>339</v>
      </c>
      <c r="C657" s="624">
        <v>795</v>
      </c>
      <c r="D657" s="625">
        <v>43524</v>
      </c>
      <c r="E657" s="626" t="s">
        <v>304</v>
      </c>
      <c r="F657" s="626" t="s">
        <v>393</v>
      </c>
      <c r="G657" s="627">
        <v>965128</v>
      </c>
      <c r="H657" s="628">
        <v>18</v>
      </c>
      <c r="I657" s="626" t="s">
        <v>300</v>
      </c>
      <c r="J657" s="628">
        <v>78</v>
      </c>
      <c r="K657" s="629">
        <v>107</v>
      </c>
      <c r="L657" s="696"/>
      <c r="M657" s="698"/>
      <c r="N657" s="700"/>
      <c r="O657" s="752"/>
    </row>
    <row r="658" spans="1:15" s="513" customFormat="1" ht="10.15" customHeight="1">
      <c r="A658" s="615"/>
      <c r="B658" s="535" t="s">
        <v>339</v>
      </c>
      <c r="C658" s="618">
        <v>1462</v>
      </c>
      <c r="D658" s="619">
        <v>43572</v>
      </c>
      <c r="E658" s="620" t="s">
        <v>304</v>
      </c>
      <c r="F658" s="620" t="s">
        <v>394</v>
      </c>
      <c r="G658" s="621">
        <v>965442</v>
      </c>
      <c r="H658" s="622">
        <v>18</v>
      </c>
      <c r="I658" s="620" t="s">
        <v>299</v>
      </c>
      <c r="J658" s="622">
        <v>57</v>
      </c>
      <c r="K658" s="623">
        <v>93.331000000000003</v>
      </c>
      <c r="L658" s="695">
        <f>J658+J659</f>
        <v>213</v>
      </c>
      <c r="M658" s="697">
        <f>SUM(K658:K659)</f>
        <v>159.79000000000002</v>
      </c>
      <c r="N658" s="699">
        <f t="shared" ref="N658" si="149">+L658-M658</f>
        <v>53.20999999999998</v>
      </c>
      <c r="O658" s="751" t="e">
        <f>+((K658+K659)+(#REF!+#REF!))/L658</f>
        <v>#REF!</v>
      </c>
    </row>
    <row r="659" spans="1:15" s="513" customFormat="1" ht="10.15" customHeight="1">
      <c r="A659" s="615"/>
      <c r="B659" s="535" t="s">
        <v>339</v>
      </c>
      <c r="C659" s="624">
        <v>1462</v>
      </c>
      <c r="D659" s="625">
        <v>43572</v>
      </c>
      <c r="E659" s="626" t="s">
        <v>304</v>
      </c>
      <c r="F659" s="626" t="s">
        <v>394</v>
      </c>
      <c r="G659" s="627">
        <v>965442</v>
      </c>
      <c r="H659" s="628">
        <v>18</v>
      </c>
      <c r="I659" s="626" t="s">
        <v>300</v>
      </c>
      <c r="J659" s="628">
        <v>156</v>
      </c>
      <c r="K659" s="629">
        <v>66.459000000000003</v>
      </c>
      <c r="L659" s="696"/>
      <c r="M659" s="698"/>
      <c r="N659" s="700"/>
      <c r="O659" s="752"/>
    </row>
    <row r="660" spans="1:15" s="513" customFormat="1" ht="10.15" customHeight="1">
      <c r="A660" s="615"/>
      <c r="B660" s="535" t="s">
        <v>339</v>
      </c>
      <c r="C660" s="618">
        <v>1460</v>
      </c>
      <c r="D660" s="619">
        <v>43572</v>
      </c>
      <c r="E660" s="620" t="s">
        <v>304</v>
      </c>
      <c r="F660" s="620" t="s">
        <v>395</v>
      </c>
      <c r="G660" s="621">
        <v>922996</v>
      </c>
      <c r="H660" s="622">
        <v>19</v>
      </c>
      <c r="I660" s="620" t="s">
        <v>299</v>
      </c>
      <c r="J660" s="622">
        <v>2</v>
      </c>
      <c r="K660" s="623">
        <v>65.31</v>
      </c>
      <c r="L660" s="695">
        <f>J660+J661</f>
        <v>200</v>
      </c>
      <c r="M660" s="697">
        <f>SUM(K660:K661)</f>
        <v>200</v>
      </c>
      <c r="N660" s="699">
        <f t="shared" ref="N660" si="150">+L660-M660</f>
        <v>0</v>
      </c>
      <c r="O660" s="751" t="e">
        <f>+((K660+K661)+(#REF!+#REF!))/L660</f>
        <v>#REF!</v>
      </c>
    </row>
    <row r="661" spans="1:15" s="513" customFormat="1" ht="10.15" customHeight="1">
      <c r="A661" s="615"/>
      <c r="B661" s="535" t="s">
        <v>339</v>
      </c>
      <c r="C661" s="624">
        <v>1460</v>
      </c>
      <c r="D661" s="625">
        <v>43572</v>
      </c>
      <c r="E661" s="626" t="s">
        <v>304</v>
      </c>
      <c r="F661" s="626" t="s">
        <v>395</v>
      </c>
      <c r="G661" s="627">
        <v>922996</v>
      </c>
      <c r="H661" s="628">
        <v>19</v>
      </c>
      <c r="I661" s="626" t="s">
        <v>300</v>
      </c>
      <c r="J661" s="628">
        <v>198</v>
      </c>
      <c r="K661" s="629">
        <v>134.69</v>
      </c>
      <c r="L661" s="696"/>
      <c r="M661" s="698"/>
      <c r="N661" s="700"/>
      <c r="O661" s="752"/>
    </row>
    <row r="662" spans="1:15" s="513" customFormat="1" ht="10.15" customHeight="1">
      <c r="A662" s="615"/>
      <c r="B662" s="535" t="s">
        <v>339</v>
      </c>
      <c r="C662" s="618">
        <v>2139</v>
      </c>
      <c r="D662" s="619">
        <v>43627</v>
      </c>
      <c r="E662" s="620" t="s">
        <v>304</v>
      </c>
      <c r="F662" s="620" t="s">
        <v>395</v>
      </c>
      <c r="G662" s="621">
        <v>922996</v>
      </c>
      <c r="H662" s="622">
        <v>19</v>
      </c>
      <c r="I662" s="620" t="s">
        <v>299</v>
      </c>
      <c r="J662" s="622">
        <v>60</v>
      </c>
      <c r="K662" s="623">
        <v>79.995999999999995</v>
      </c>
      <c r="L662" s="695">
        <f>J662+J663</f>
        <v>200</v>
      </c>
      <c r="M662" s="697">
        <f>SUM(K662:K663)</f>
        <v>199.99599999999998</v>
      </c>
      <c r="N662" s="699">
        <f t="shared" ref="N662" si="151">+L662-M662</f>
        <v>4.0000000000190994E-3</v>
      </c>
      <c r="O662" s="751" t="e">
        <f>+((K662+K663)+(#REF!+#REF!))/L662</f>
        <v>#REF!</v>
      </c>
    </row>
    <row r="663" spans="1:15" s="513" customFormat="1" ht="10.15" customHeight="1">
      <c r="A663" s="615"/>
      <c r="B663" s="535" t="s">
        <v>339</v>
      </c>
      <c r="C663" s="624">
        <v>2139</v>
      </c>
      <c r="D663" s="625">
        <v>43627</v>
      </c>
      <c r="E663" s="626" t="s">
        <v>304</v>
      </c>
      <c r="F663" s="626" t="s">
        <v>395</v>
      </c>
      <c r="G663" s="627">
        <v>922996</v>
      </c>
      <c r="H663" s="628">
        <v>19</v>
      </c>
      <c r="I663" s="626" t="s">
        <v>300</v>
      </c>
      <c r="J663" s="628">
        <v>140</v>
      </c>
      <c r="K663" s="629">
        <v>120</v>
      </c>
      <c r="L663" s="696"/>
      <c r="M663" s="698"/>
      <c r="N663" s="700"/>
      <c r="O663" s="752"/>
    </row>
    <row r="664" spans="1:15" s="513" customFormat="1" ht="10.15" customHeight="1">
      <c r="A664" s="615"/>
      <c r="B664" s="535" t="s">
        <v>339</v>
      </c>
      <c r="C664" s="618">
        <v>1460</v>
      </c>
      <c r="D664" s="619">
        <v>43572</v>
      </c>
      <c r="E664" s="620" t="s">
        <v>304</v>
      </c>
      <c r="F664" s="620" t="s">
        <v>396</v>
      </c>
      <c r="G664" s="621">
        <v>926655</v>
      </c>
      <c r="H664" s="622">
        <v>19</v>
      </c>
      <c r="I664" s="620" t="s">
        <v>299</v>
      </c>
      <c r="J664" s="622">
        <v>2</v>
      </c>
      <c r="K664" s="623">
        <v>78.168999999999997</v>
      </c>
      <c r="L664" s="695">
        <f>J664+J665</f>
        <v>200</v>
      </c>
      <c r="M664" s="697">
        <f>SUM(K664:K665)</f>
        <v>200</v>
      </c>
      <c r="N664" s="699">
        <f t="shared" ref="N664" si="152">+L664-M664</f>
        <v>0</v>
      </c>
      <c r="O664" s="751" t="e">
        <f>+((K664+K665)+(#REF!+#REF!))/L664</f>
        <v>#REF!</v>
      </c>
    </row>
    <row r="665" spans="1:15" s="513" customFormat="1" ht="10.15" customHeight="1">
      <c r="A665" s="615"/>
      <c r="B665" s="535" t="s">
        <v>339</v>
      </c>
      <c r="C665" s="624">
        <v>1460</v>
      </c>
      <c r="D665" s="625">
        <v>43572</v>
      </c>
      <c r="E665" s="626" t="s">
        <v>304</v>
      </c>
      <c r="F665" s="626" t="s">
        <v>396</v>
      </c>
      <c r="G665" s="627">
        <v>926655</v>
      </c>
      <c r="H665" s="628">
        <v>19</v>
      </c>
      <c r="I665" s="626" t="s">
        <v>300</v>
      </c>
      <c r="J665" s="628">
        <v>198</v>
      </c>
      <c r="K665" s="629">
        <v>121.831</v>
      </c>
      <c r="L665" s="696"/>
      <c r="M665" s="698"/>
      <c r="N665" s="700"/>
      <c r="O665" s="752"/>
    </row>
    <row r="666" spans="1:15" s="513" customFormat="1" ht="10.15" customHeight="1">
      <c r="A666" s="615"/>
      <c r="B666" s="535" t="s">
        <v>339</v>
      </c>
      <c r="C666" s="618">
        <v>2099</v>
      </c>
      <c r="D666" s="619">
        <v>43623</v>
      </c>
      <c r="E666" s="620" t="s">
        <v>304</v>
      </c>
      <c r="F666" s="620" t="s">
        <v>396</v>
      </c>
      <c r="G666" s="621">
        <v>926655</v>
      </c>
      <c r="H666" s="622">
        <v>19</v>
      </c>
      <c r="I666" s="620" t="s">
        <v>299</v>
      </c>
      <c r="J666" s="622">
        <v>40</v>
      </c>
      <c r="K666" s="623">
        <v>47.869</v>
      </c>
      <c r="L666" s="695">
        <f>J666+J667</f>
        <v>200</v>
      </c>
      <c r="M666" s="697">
        <f>SUM(K666:K667)</f>
        <v>175.92</v>
      </c>
      <c r="N666" s="699">
        <f t="shared" ref="N666" si="153">+L666-M666</f>
        <v>24.080000000000013</v>
      </c>
      <c r="O666" s="751" t="e">
        <f>+((K666+K667)+(#REF!+#REF!))/L666</f>
        <v>#REF!</v>
      </c>
    </row>
    <row r="667" spans="1:15" s="513" customFormat="1" ht="10.15" customHeight="1">
      <c r="A667" s="615"/>
      <c r="B667" s="535" t="s">
        <v>339</v>
      </c>
      <c r="C667" s="624">
        <v>2099</v>
      </c>
      <c r="D667" s="625">
        <v>43623</v>
      </c>
      <c r="E667" s="626" t="s">
        <v>304</v>
      </c>
      <c r="F667" s="626" t="s">
        <v>396</v>
      </c>
      <c r="G667" s="627">
        <v>926655</v>
      </c>
      <c r="H667" s="628">
        <v>19</v>
      </c>
      <c r="I667" s="626" t="s">
        <v>300</v>
      </c>
      <c r="J667" s="628">
        <v>160</v>
      </c>
      <c r="K667" s="629">
        <v>128.05099999999999</v>
      </c>
      <c r="L667" s="696"/>
      <c r="M667" s="698"/>
      <c r="N667" s="700"/>
      <c r="O667" s="752"/>
    </row>
    <row r="668" spans="1:15" s="513" customFormat="1" ht="10.15" customHeight="1">
      <c r="A668" s="615"/>
      <c r="B668" s="535" t="s">
        <v>339</v>
      </c>
      <c r="C668" s="618">
        <v>2139</v>
      </c>
      <c r="D668" s="619">
        <v>43627</v>
      </c>
      <c r="E668" s="620" t="s">
        <v>304</v>
      </c>
      <c r="F668" s="620" t="s">
        <v>396</v>
      </c>
      <c r="G668" s="621">
        <v>926655</v>
      </c>
      <c r="H668" s="622">
        <v>19</v>
      </c>
      <c r="I668" s="620" t="s">
        <v>299</v>
      </c>
      <c r="J668" s="622">
        <v>60</v>
      </c>
      <c r="K668" s="623">
        <v>40.286000000000001</v>
      </c>
      <c r="L668" s="695">
        <f>J668+J669</f>
        <v>200</v>
      </c>
      <c r="M668" s="697">
        <f>SUM(K668:K669)</f>
        <v>148.47</v>
      </c>
      <c r="N668" s="699">
        <f t="shared" ref="N668" si="154">+L668-M668</f>
        <v>51.53</v>
      </c>
      <c r="O668" s="751" t="e">
        <f>+((K668+K669)+(#REF!+#REF!))/L668</f>
        <v>#REF!</v>
      </c>
    </row>
    <row r="669" spans="1:15" s="513" customFormat="1" ht="10.15" customHeight="1">
      <c r="A669" s="615"/>
      <c r="B669" s="535" t="s">
        <v>339</v>
      </c>
      <c r="C669" s="624">
        <v>2139</v>
      </c>
      <c r="D669" s="625">
        <v>43627</v>
      </c>
      <c r="E669" s="626" t="s">
        <v>304</v>
      </c>
      <c r="F669" s="626" t="s">
        <v>396</v>
      </c>
      <c r="G669" s="627">
        <v>926655</v>
      </c>
      <c r="H669" s="628">
        <v>19</v>
      </c>
      <c r="I669" s="626" t="s">
        <v>300</v>
      </c>
      <c r="J669" s="628">
        <v>140</v>
      </c>
      <c r="K669" s="629">
        <v>108.184</v>
      </c>
      <c r="L669" s="696"/>
      <c r="M669" s="698"/>
      <c r="N669" s="700"/>
      <c r="O669" s="752"/>
    </row>
    <row r="670" spans="1:15" s="513" customFormat="1" ht="10.15" customHeight="1">
      <c r="A670" s="615"/>
      <c r="B670" s="535" t="s">
        <v>339</v>
      </c>
      <c r="C670" s="618">
        <v>1048</v>
      </c>
      <c r="D670" s="619">
        <v>43546</v>
      </c>
      <c r="E670" s="620" t="s">
        <v>304</v>
      </c>
      <c r="F670" s="620" t="s">
        <v>397</v>
      </c>
      <c r="G670" s="621">
        <v>960104</v>
      </c>
      <c r="H670" s="622">
        <v>19</v>
      </c>
      <c r="I670" s="620" t="s">
        <v>299</v>
      </c>
      <c r="J670" s="622">
        <v>32</v>
      </c>
      <c r="K670" s="623">
        <v>37.902999999999999</v>
      </c>
      <c r="L670" s="695">
        <f>J670+J671</f>
        <v>100</v>
      </c>
      <c r="M670" s="697">
        <f>SUM(K670:K671)</f>
        <v>74.574999999999989</v>
      </c>
      <c r="N670" s="699">
        <f t="shared" ref="N670" si="155">+L670-M670</f>
        <v>25.425000000000011</v>
      </c>
      <c r="O670" s="751" t="e">
        <f>+((K670+K671)+(#REF!+#REF!))/L670</f>
        <v>#REF!</v>
      </c>
    </row>
    <row r="671" spans="1:15" s="513" customFormat="1" ht="10.15" customHeight="1">
      <c r="A671" s="615"/>
      <c r="B671" s="535" t="s">
        <v>339</v>
      </c>
      <c r="C671" s="624">
        <v>1048</v>
      </c>
      <c r="D671" s="625">
        <v>43546</v>
      </c>
      <c r="E671" s="626" t="s">
        <v>304</v>
      </c>
      <c r="F671" s="626" t="s">
        <v>397</v>
      </c>
      <c r="G671" s="627">
        <v>960104</v>
      </c>
      <c r="H671" s="628">
        <v>19</v>
      </c>
      <c r="I671" s="626" t="s">
        <v>300</v>
      </c>
      <c r="J671" s="628">
        <v>68</v>
      </c>
      <c r="K671" s="629">
        <v>36.671999999999997</v>
      </c>
      <c r="L671" s="696"/>
      <c r="M671" s="698"/>
      <c r="N671" s="700"/>
      <c r="O671" s="752"/>
    </row>
    <row r="672" spans="1:15" s="513" customFormat="1" ht="10.15" customHeight="1">
      <c r="A672" s="615"/>
      <c r="B672" s="535" t="s">
        <v>339</v>
      </c>
      <c r="C672" s="618">
        <v>1462</v>
      </c>
      <c r="D672" s="619">
        <v>43572</v>
      </c>
      <c r="E672" s="620" t="s">
        <v>304</v>
      </c>
      <c r="F672" s="620" t="s">
        <v>398</v>
      </c>
      <c r="G672" s="621">
        <v>950818</v>
      </c>
      <c r="H672" s="622">
        <v>20</v>
      </c>
      <c r="I672" s="620" t="s">
        <v>299</v>
      </c>
      <c r="J672" s="622">
        <v>47</v>
      </c>
      <c r="K672" s="623"/>
      <c r="L672" s="695">
        <f>J672+J673</f>
        <v>174</v>
      </c>
      <c r="M672" s="697">
        <f>SUM(K672:K673)</f>
        <v>0</v>
      </c>
      <c r="N672" s="699">
        <f t="shared" ref="N672" si="156">+L672-M672</f>
        <v>174</v>
      </c>
      <c r="O672" s="751" t="e">
        <f>+((K672+K673)+(#REF!+#REF!))/L672</f>
        <v>#REF!</v>
      </c>
    </row>
    <row r="673" spans="1:15" s="513" customFormat="1" ht="10.15" customHeight="1">
      <c r="A673" s="615"/>
      <c r="B673" s="535" t="s">
        <v>339</v>
      </c>
      <c r="C673" s="624">
        <v>1462</v>
      </c>
      <c r="D673" s="625">
        <v>43572</v>
      </c>
      <c r="E673" s="626" t="s">
        <v>304</v>
      </c>
      <c r="F673" s="626" t="s">
        <v>398</v>
      </c>
      <c r="G673" s="627">
        <v>950818</v>
      </c>
      <c r="H673" s="628">
        <v>20</v>
      </c>
      <c r="I673" s="626" t="s">
        <v>300</v>
      </c>
      <c r="J673" s="628">
        <v>127</v>
      </c>
      <c r="K673" s="629"/>
      <c r="L673" s="696"/>
      <c r="M673" s="698"/>
      <c r="N673" s="700"/>
      <c r="O673" s="752"/>
    </row>
    <row r="674" spans="1:15" s="513" customFormat="1" ht="10.15" customHeight="1">
      <c r="A674" s="615"/>
      <c r="B674" s="535" t="s">
        <v>339</v>
      </c>
      <c r="C674" s="618">
        <v>2140</v>
      </c>
      <c r="D674" s="619">
        <v>43627</v>
      </c>
      <c r="E674" s="620" t="s">
        <v>304</v>
      </c>
      <c r="F674" s="620" t="s">
        <v>398</v>
      </c>
      <c r="G674" s="621">
        <v>950818</v>
      </c>
      <c r="H674" s="622">
        <v>20</v>
      </c>
      <c r="I674" s="620" t="s">
        <v>299</v>
      </c>
      <c r="J674" s="622">
        <v>67</v>
      </c>
      <c r="K674" s="623"/>
      <c r="L674" s="695">
        <f>J674+J675</f>
        <v>148</v>
      </c>
      <c r="M674" s="697">
        <f>SUM(K674:K675)</f>
        <v>0</v>
      </c>
      <c r="N674" s="699">
        <f t="shared" ref="N674" si="157">+L674-M674</f>
        <v>148</v>
      </c>
      <c r="O674" s="751" t="e">
        <f>+((K674+K675)+(#REF!+#REF!))/L674</f>
        <v>#REF!</v>
      </c>
    </row>
    <row r="675" spans="1:15" s="513" customFormat="1" ht="10.15" customHeight="1">
      <c r="A675" s="615"/>
      <c r="B675" s="535" t="s">
        <v>339</v>
      </c>
      <c r="C675" s="624">
        <v>2140</v>
      </c>
      <c r="D675" s="625">
        <v>43627</v>
      </c>
      <c r="E675" s="626" t="s">
        <v>304</v>
      </c>
      <c r="F675" s="626" t="s">
        <v>398</v>
      </c>
      <c r="G675" s="627">
        <v>950818</v>
      </c>
      <c r="H675" s="628">
        <v>20</v>
      </c>
      <c r="I675" s="626" t="s">
        <v>300</v>
      </c>
      <c r="J675" s="628">
        <v>81</v>
      </c>
      <c r="K675" s="629"/>
      <c r="L675" s="696"/>
      <c r="M675" s="698"/>
      <c r="N675" s="700"/>
      <c r="O675" s="752"/>
    </row>
    <row r="676" spans="1:15" s="513" customFormat="1" ht="10.15" customHeight="1">
      <c r="A676" s="615"/>
      <c r="B676" s="535" t="s">
        <v>339</v>
      </c>
      <c r="C676" s="618">
        <v>1462</v>
      </c>
      <c r="D676" s="619">
        <v>43572</v>
      </c>
      <c r="E676" s="620" t="s">
        <v>304</v>
      </c>
      <c r="F676" s="620" t="s">
        <v>399</v>
      </c>
      <c r="G676" s="621">
        <v>924718</v>
      </c>
      <c r="H676" s="622">
        <v>21</v>
      </c>
      <c r="I676" s="620" t="s">
        <v>299</v>
      </c>
      <c r="J676" s="622">
        <v>61</v>
      </c>
      <c r="K676" s="623">
        <v>140.523</v>
      </c>
      <c r="L676" s="695">
        <f>J676+J677</f>
        <v>226</v>
      </c>
      <c r="M676" s="697">
        <f>SUM(K676:K677)</f>
        <v>226</v>
      </c>
      <c r="N676" s="699">
        <f t="shared" ref="N676" si="158">+L676-M676</f>
        <v>0</v>
      </c>
      <c r="O676" s="751" t="e">
        <f>+((K676+K677)+(#REF!+#REF!))/L676</f>
        <v>#REF!</v>
      </c>
    </row>
    <row r="677" spans="1:15" s="513" customFormat="1" ht="10.15" customHeight="1">
      <c r="A677" s="615"/>
      <c r="B677" s="535" t="s">
        <v>339</v>
      </c>
      <c r="C677" s="624">
        <v>1462</v>
      </c>
      <c r="D677" s="625">
        <v>43572</v>
      </c>
      <c r="E677" s="626" t="s">
        <v>304</v>
      </c>
      <c r="F677" s="626" t="s">
        <v>399</v>
      </c>
      <c r="G677" s="627">
        <v>924718</v>
      </c>
      <c r="H677" s="628">
        <v>21</v>
      </c>
      <c r="I677" s="626" t="s">
        <v>300</v>
      </c>
      <c r="J677" s="628">
        <v>165</v>
      </c>
      <c r="K677" s="629">
        <v>85.477000000000004</v>
      </c>
      <c r="L677" s="696"/>
      <c r="M677" s="698"/>
      <c r="N677" s="700"/>
      <c r="O677" s="752"/>
    </row>
    <row r="678" spans="1:15" s="513" customFormat="1" ht="10.15" customHeight="1">
      <c r="A678" s="615"/>
      <c r="B678" s="535" t="s">
        <v>339</v>
      </c>
      <c r="C678" s="618">
        <v>2140</v>
      </c>
      <c r="D678" s="619">
        <v>43627</v>
      </c>
      <c r="E678" s="620" t="s">
        <v>304</v>
      </c>
      <c r="F678" s="620" t="s">
        <v>399</v>
      </c>
      <c r="G678" s="621">
        <v>924718</v>
      </c>
      <c r="H678" s="622">
        <v>21</v>
      </c>
      <c r="I678" s="620" t="s">
        <v>299</v>
      </c>
      <c r="J678" s="622">
        <v>67</v>
      </c>
      <c r="K678" s="623">
        <v>59.774999999999999</v>
      </c>
      <c r="L678" s="695">
        <f>J678+J679</f>
        <v>148</v>
      </c>
      <c r="M678" s="697">
        <f>SUM(K678:K679)</f>
        <v>148</v>
      </c>
      <c r="N678" s="699">
        <f t="shared" ref="N678" si="159">+L678-M678</f>
        <v>0</v>
      </c>
      <c r="O678" s="751" t="e">
        <f>+((K678+K679)+(#REF!+#REF!))/L678</f>
        <v>#REF!</v>
      </c>
    </row>
    <row r="679" spans="1:15" s="513" customFormat="1" ht="10.15" customHeight="1">
      <c r="A679" s="615"/>
      <c r="B679" s="535" t="s">
        <v>339</v>
      </c>
      <c r="C679" s="624">
        <v>2140</v>
      </c>
      <c r="D679" s="625">
        <v>43627</v>
      </c>
      <c r="E679" s="626" t="s">
        <v>304</v>
      </c>
      <c r="F679" s="626" t="s">
        <v>399</v>
      </c>
      <c r="G679" s="627">
        <v>924718</v>
      </c>
      <c r="H679" s="628">
        <v>21</v>
      </c>
      <c r="I679" s="626" t="s">
        <v>300</v>
      </c>
      <c r="J679" s="628">
        <v>81</v>
      </c>
      <c r="K679" s="629">
        <v>88.224999999999994</v>
      </c>
      <c r="L679" s="696"/>
      <c r="M679" s="698"/>
      <c r="N679" s="700"/>
      <c r="O679" s="752"/>
    </row>
    <row r="680" spans="1:15" s="513" customFormat="1" ht="10.15" customHeight="1">
      <c r="A680" s="615"/>
      <c r="B680" s="535" t="s">
        <v>339</v>
      </c>
      <c r="C680" s="618">
        <v>1462</v>
      </c>
      <c r="D680" s="619">
        <v>43572</v>
      </c>
      <c r="E680" s="620" t="s">
        <v>304</v>
      </c>
      <c r="F680" s="620" t="s">
        <v>400</v>
      </c>
      <c r="G680" s="621">
        <v>959987</v>
      </c>
      <c r="H680" s="622">
        <v>21</v>
      </c>
      <c r="I680" s="620" t="s">
        <v>299</v>
      </c>
      <c r="J680" s="622">
        <v>89</v>
      </c>
      <c r="K680" s="623">
        <v>165.73400000000001</v>
      </c>
      <c r="L680" s="695">
        <f>J680+J681</f>
        <v>331</v>
      </c>
      <c r="M680" s="697">
        <f>SUM(K680:K681)</f>
        <v>331</v>
      </c>
      <c r="N680" s="699">
        <f t="shared" ref="N680" si="160">+L680-M680</f>
        <v>0</v>
      </c>
      <c r="O680" s="751" t="e">
        <f>+((K680+K681)+(#REF!+#REF!))/L680</f>
        <v>#REF!</v>
      </c>
    </row>
    <row r="681" spans="1:15" s="513" customFormat="1" ht="10.15" customHeight="1">
      <c r="A681" s="615"/>
      <c r="B681" s="535" t="s">
        <v>339</v>
      </c>
      <c r="C681" s="624">
        <v>1462</v>
      </c>
      <c r="D681" s="625">
        <v>43572</v>
      </c>
      <c r="E681" s="626" t="s">
        <v>304</v>
      </c>
      <c r="F681" s="626" t="s">
        <v>400</v>
      </c>
      <c r="G681" s="627">
        <v>959987</v>
      </c>
      <c r="H681" s="628">
        <v>21</v>
      </c>
      <c r="I681" s="626" t="s">
        <v>300</v>
      </c>
      <c r="J681" s="628">
        <v>242</v>
      </c>
      <c r="K681" s="629">
        <v>165.26599999999999</v>
      </c>
      <c r="L681" s="696"/>
      <c r="M681" s="698"/>
      <c r="N681" s="700"/>
      <c r="O681" s="752"/>
    </row>
    <row r="682" spans="1:15" s="513" customFormat="1" ht="10.15" customHeight="1">
      <c r="A682" s="615"/>
      <c r="B682" s="535" t="s">
        <v>339</v>
      </c>
      <c r="C682" s="618">
        <v>2140</v>
      </c>
      <c r="D682" s="619">
        <v>43627</v>
      </c>
      <c r="E682" s="620" t="s">
        <v>304</v>
      </c>
      <c r="F682" s="620" t="s">
        <v>400</v>
      </c>
      <c r="G682" s="621">
        <v>959987</v>
      </c>
      <c r="H682" s="622">
        <v>21</v>
      </c>
      <c r="I682" s="620" t="s">
        <v>299</v>
      </c>
      <c r="J682" s="622">
        <v>67</v>
      </c>
      <c r="K682" s="623">
        <v>34.414000000000001</v>
      </c>
      <c r="L682" s="695">
        <f>J682+J683</f>
        <v>148</v>
      </c>
      <c r="M682" s="697">
        <f>SUM(K682:K683)</f>
        <v>148</v>
      </c>
      <c r="N682" s="699">
        <f t="shared" ref="N682" si="161">+L682-M682</f>
        <v>0</v>
      </c>
      <c r="O682" s="751" t="e">
        <f>+((K682+K683)+(#REF!+#REF!))/L682</f>
        <v>#REF!</v>
      </c>
    </row>
    <row r="683" spans="1:15" s="513" customFormat="1" ht="10.15" customHeight="1">
      <c r="A683" s="615"/>
      <c r="B683" s="535" t="s">
        <v>339</v>
      </c>
      <c r="C683" s="624">
        <v>2140</v>
      </c>
      <c r="D683" s="625">
        <v>43627</v>
      </c>
      <c r="E683" s="626" t="s">
        <v>304</v>
      </c>
      <c r="F683" s="626" t="s">
        <v>400</v>
      </c>
      <c r="G683" s="627">
        <v>959987</v>
      </c>
      <c r="H683" s="628">
        <v>21</v>
      </c>
      <c r="I683" s="626" t="s">
        <v>300</v>
      </c>
      <c r="J683" s="628">
        <v>81</v>
      </c>
      <c r="K683" s="629">
        <v>113.586</v>
      </c>
      <c r="L683" s="696"/>
      <c r="M683" s="698"/>
      <c r="N683" s="700"/>
      <c r="O683" s="752"/>
    </row>
    <row r="684" spans="1:15" s="513" customFormat="1" ht="10.15" customHeight="1">
      <c r="A684" s="615"/>
      <c r="B684" s="535" t="s">
        <v>339</v>
      </c>
      <c r="C684" s="618">
        <v>1462</v>
      </c>
      <c r="D684" s="619">
        <v>43572</v>
      </c>
      <c r="E684" s="620" t="s">
        <v>304</v>
      </c>
      <c r="F684" s="620" t="s">
        <v>401</v>
      </c>
      <c r="G684" s="621">
        <v>961162</v>
      </c>
      <c r="H684" s="622">
        <v>21</v>
      </c>
      <c r="I684" s="620" t="s">
        <v>299</v>
      </c>
      <c r="J684" s="622">
        <v>40.814999999999998</v>
      </c>
      <c r="K684" s="623">
        <v>40.518000000000001</v>
      </c>
      <c r="L684" s="695">
        <f>J684+J685</f>
        <v>63.606999999999999</v>
      </c>
      <c r="M684" s="697">
        <f>SUM(K684:K685)</f>
        <v>63.31</v>
      </c>
      <c r="N684" s="699">
        <f t="shared" ref="N684" si="162">+L684-M684</f>
        <v>0.29699999999999704</v>
      </c>
      <c r="O684" s="605" t="e">
        <f>+((K684+K685)+(#REF!+#REF!))/L684</f>
        <v>#REF!</v>
      </c>
    </row>
    <row r="685" spans="1:15" s="513" customFormat="1" ht="10.15" customHeight="1">
      <c r="A685" s="615"/>
      <c r="B685" s="535" t="s">
        <v>339</v>
      </c>
      <c r="C685" s="624">
        <v>1462</v>
      </c>
      <c r="D685" s="625">
        <v>43572</v>
      </c>
      <c r="E685" s="626" t="s">
        <v>304</v>
      </c>
      <c r="F685" s="626" t="s">
        <v>401</v>
      </c>
      <c r="G685" s="627">
        <v>961162</v>
      </c>
      <c r="H685" s="628">
        <v>21</v>
      </c>
      <c r="I685" s="626" t="s">
        <v>300</v>
      </c>
      <c r="J685" s="628">
        <v>22.792000000000002</v>
      </c>
      <c r="K685" s="629">
        <v>22.792000000000002</v>
      </c>
      <c r="L685" s="696"/>
      <c r="M685" s="698"/>
      <c r="N685" s="700"/>
      <c r="O685" s="606"/>
    </row>
    <row r="686" spans="1:15" s="513" customFormat="1" ht="10.15" customHeight="1">
      <c r="A686" s="615"/>
      <c r="B686" s="535" t="s">
        <v>339</v>
      </c>
      <c r="C686" s="618">
        <v>1048</v>
      </c>
      <c r="D686" s="619">
        <v>43546</v>
      </c>
      <c r="E686" s="620" t="s">
        <v>304</v>
      </c>
      <c r="F686" s="620" t="s">
        <v>402</v>
      </c>
      <c r="G686" s="621">
        <v>962853</v>
      </c>
      <c r="H686" s="622">
        <v>21</v>
      </c>
      <c r="I686" s="620" t="s">
        <v>299</v>
      </c>
      <c r="J686" s="622">
        <v>32</v>
      </c>
      <c r="K686" s="623">
        <v>5.6630000000000003</v>
      </c>
      <c r="L686" s="695">
        <f>J686+J687</f>
        <v>100</v>
      </c>
      <c r="M686" s="697">
        <f>SUM(K686:K687)</f>
        <v>97.393999999999991</v>
      </c>
      <c r="N686" s="699">
        <f t="shared" ref="N686" si="163">+L686-M686</f>
        <v>2.6060000000000088</v>
      </c>
      <c r="O686" s="605" t="e">
        <f>+((K686+K687)+(#REF!+#REF!))/L686</f>
        <v>#REF!</v>
      </c>
    </row>
    <row r="687" spans="1:15" s="513" customFormat="1" ht="10.15" customHeight="1">
      <c r="A687" s="615"/>
      <c r="B687" s="535" t="s">
        <v>339</v>
      </c>
      <c r="C687" s="624">
        <v>1048</v>
      </c>
      <c r="D687" s="625">
        <v>43546</v>
      </c>
      <c r="E687" s="626" t="s">
        <v>304</v>
      </c>
      <c r="F687" s="626" t="s">
        <v>402</v>
      </c>
      <c r="G687" s="627">
        <v>962853</v>
      </c>
      <c r="H687" s="628">
        <v>21</v>
      </c>
      <c r="I687" s="626" t="s">
        <v>300</v>
      </c>
      <c r="J687" s="628">
        <v>68</v>
      </c>
      <c r="K687" s="629">
        <v>91.730999999999995</v>
      </c>
      <c r="L687" s="696"/>
      <c r="M687" s="698"/>
      <c r="N687" s="700"/>
      <c r="O687" s="606"/>
    </row>
    <row r="688" spans="1:15" s="513" customFormat="1" ht="10.15" customHeight="1">
      <c r="A688" s="615"/>
      <c r="B688" s="535" t="s">
        <v>339</v>
      </c>
      <c r="C688" s="618">
        <v>1462</v>
      </c>
      <c r="D688" s="619">
        <v>43572</v>
      </c>
      <c r="E688" s="620" t="s">
        <v>304</v>
      </c>
      <c r="F688" s="620" t="s">
        <v>403</v>
      </c>
      <c r="G688" s="621">
        <v>964249</v>
      </c>
      <c r="H688" s="622">
        <v>21</v>
      </c>
      <c r="I688" s="620" t="s">
        <v>299</v>
      </c>
      <c r="J688" s="622">
        <v>109.482</v>
      </c>
      <c r="K688" s="623">
        <v>130.411</v>
      </c>
      <c r="L688" s="695">
        <f>J688+J689</f>
        <v>494.69000000000005</v>
      </c>
      <c r="M688" s="697">
        <f>SUM(K688:K689)</f>
        <v>288.40999999999997</v>
      </c>
      <c r="N688" s="699">
        <f t="shared" ref="N688" si="164">+L688-M688</f>
        <v>206.28000000000009</v>
      </c>
      <c r="O688" s="605" t="e">
        <f>+((K688+K689)+(#REF!+#REF!))/L688</f>
        <v>#REF!</v>
      </c>
    </row>
    <row r="689" spans="1:15" s="513" customFormat="1" ht="10.15" customHeight="1">
      <c r="A689" s="615"/>
      <c r="B689" s="535" t="s">
        <v>339</v>
      </c>
      <c r="C689" s="624">
        <v>1462</v>
      </c>
      <c r="D689" s="625">
        <v>43572</v>
      </c>
      <c r="E689" s="626" t="s">
        <v>304</v>
      </c>
      <c r="F689" s="626" t="s">
        <v>403</v>
      </c>
      <c r="G689" s="627">
        <v>964249</v>
      </c>
      <c r="H689" s="628">
        <v>21</v>
      </c>
      <c r="I689" s="626" t="s">
        <v>300</v>
      </c>
      <c r="J689" s="628">
        <v>385.20800000000003</v>
      </c>
      <c r="K689" s="629">
        <v>157.999</v>
      </c>
      <c r="L689" s="696"/>
      <c r="M689" s="698"/>
      <c r="N689" s="700"/>
      <c r="O689" s="606"/>
    </row>
    <row r="690" spans="1:15" s="513" customFormat="1" ht="10.15" customHeight="1">
      <c r="A690" s="615"/>
      <c r="B690" s="535" t="s">
        <v>339</v>
      </c>
      <c r="C690" s="618">
        <v>1462</v>
      </c>
      <c r="D690" s="619">
        <v>43572</v>
      </c>
      <c r="E690" s="620" t="s">
        <v>304</v>
      </c>
      <c r="F690" s="620" t="s">
        <v>404</v>
      </c>
      <c r="G690" s="621">
        <v>967393</v>
      </c>
      <c r="H690" s="622">
        <v>21</v>
      </c>
      <c r="I690" s="620" t="s">
        <v>299</v>
      </c>
      <c r="J690" s="622">
        <v>89</v>
      </c>
      <c r="K690" s="623">
        <v>189.453</v>
      </c>
      <c r="L690" s="695">
        <f>J690+J691</f>
        <v>331</v>
      </c>
      <c r="M690" s="697">
        <f>SUM(K690:K691)</f>
        <v>331</v>
      </c>
      <c r="N690" s="699">
        <f t="shared" ref="N690" si="165">+L690-M690</f>
        <v>0</v>
      </c>
      <c r="O690" s="605" t="e">
        <f>+((K690+K691)+(#REF!+#REF!))/L690</f>
        <v>#REF!</v>
      </c>
    </row>
    <row r="691" spans="1:15" s="513" customFormat="1" ht="10.15" customHeight="1">
      <c r="A691" s="615"/>
      <c r="B691" s="535" t="s">
        <v>339</v>
      </c>
      <c r="C691" s="624">
        <v>1462</v>
      </c>
      <c r="D691" s="625">
        <v>43572</v>
      </c>
      <c r="E691" s="626" t="s">
        <v>304</v>
      </c>
      <c r="F691" s="626" t="s">
        <v>404</v>
      </c>
      <c r="G691" s="627">
        <v>967393</v>
      </c>
      <c r="H691" s="628">
        <v>21</v>
      </c>
      <c r="I691" s="626" t="s">
        <v>300</v>
      </c>
      <c r="J691" s="628">
        <v>242</v>
      </c>
      <c r="K691" s="629">
        <v>141.547</v>
      </c>
      <c r="L691" s="696"/>
      <c r="M691" s="698"/>
      <c r="N691" s="700"/>
      <c r="O691" s="606"/>
    </row>
    <row r="692" spans="1:15" s="513" customFormat="1" ht="10.15" customHeight="1">
      <c r="A692" s="615"/>
      <c r="B692" s="535" t="s">
        <v>339</v>
      </c>
      <c r="C692" s="618">
        <v>2140</v>
      </c>
      <c r="D692" s="619">
        <v>43627</v>
      </c>
      <c r="E692" s="620" t="s">
        <v>304</v>
      </c>
      <c r="F692" s="620" t="s">
        <v>404</v>
      </c>
      <c r="G692" s="621">
        <v>967393</v>
      </c>
      <c r="H692" s="622">
        <v>21</v>
      </c>
      <c r="I692" s="620" t="s">
        <v>299</v>
      </c>
      <c r="J692" s="622">
        <v>67</v>
      </c>
      <c r="K692" s="623">
        <v>44.213999999999999</v>
      </c>
      <c r="L692" s="695">
        <f>J692+J693</f>
        <v>148</v>
      </c>
      <c r="M692" s="697">
        <f>SUM(K692:K693)</f>
        <v>148</v>
      </c>
      <c r="N692" s="699">
        <f t="shared" ref="N692" si="166">+L692-M692</f>
        <v>0</v>
      </c>
      <c r="O692" s="605" t="e">
        <f>+((K692+K693)+(#REF!+#REF!))/L692</f>
        <v>#REF!</v>
      </c>
    </row>
    <row r="693" spans="1:15" s="513" customFormat="1" ht="10.15" customHeight="1">
      <c r="A693" s="615"/>
      <c r="B693" s="535" t="s">
        <v>339</v>
      </c>
      <c r="C693" s="624">
        <v>2140</v>
      </c>
      <c r="D693" s="625">
        <v>43627</v>
      </c>
      <c r="E693" s="626" t="s">
        <v>304</v>
      </c>
      <c r="F693" s="626" t="s">
        <v>404</v>
      </c>
      <c r="G693" s="627">
        <v>967393</v>
      </c>
      <c r="H693" s="628">
        <v>21</v>
      </c>
      <c r="I693" s="626" t="s">
        <v>300</v>
      </c>
      <c r="J693" s="628">
        <v>81</v>
      </c>
      <c r="K693" s="629">
        <v>103.786</v>
      </c>
      <c r="L693" s="696"/>
      <c r="M693" s="698"/>
      <c r="N693" s="700"/>
      <c r="O693" s="606"/>
    </row>
    <row r="694" spans="1:15" s="513" customFormat="1" ht="10.15" customHeight="1">
      <c r="A694" s="615"/>
      <c r="B694" s="535" t="s">
        <v>339</v>
      </c>
      <c r="C694" s="618">
        <v>823</v>
      </c>
      <c r="D694" s="619">
        <v>43529</v>
      </c>
      <c r="E694" s="620" t="s">
        <v>304</v>
      </c>
      <c r="F694" s="620" t="s">
        <v>405</v>
      </c>
      <c r="G694" s="621">
        <v>4564</v>
      </c>
      <c r="H694" s="622">
        <v>22</v>
      </c>
      <c r="I694" s="620" t="s">
        <v>299</v>
      </c>
      <c r="J694" s="622">
        <v>198.328</v>
      </c>
      <c r="K694" s="623">
        <v>217.57499999999999</v>
      </c>
      <c r="L694" s="695">
        <f>J694+J695</f>
        <v>868.15</v>
      </c>
      <c r="M694" s="697">
        <f>SUM(K694:K695)</f>
        <v>868.15000000000009</v>
      </c>
      <c r="N694" s="699">
        <f t="shared" ref="N694" si="167">+L694-M694</f>
        <v>0</v>
      </c>
      <c r="O694" s="605" t="e">
        <f>+((K694+K695)+(#REF!+#REF!))/L694</f>
        <v>#REF!</v>
      </c>
    </row>
    <row r="695" spans="1:15" s="513" customFormat="1" ht="10.15" customHeight="1">
      <c r="A695" s="615"/>
      <c r="B695" s="535" t="s">
        <v>339</v>
      </c>
      <c r="C695" s="624">
        <v>823</v>
      </c>
      <c r="D695" s="625">
        <v>43529</v>
      </c>
      <c r="E695" s="626" t="s">
        <v>304</v>
      </c>
      <c r="F695" s="626" t="s">
        <v>405</v>
      </c>
      <c r="G695" s="627">
        <v>4564</v>
      </c>
      <c r="H695" s="628">
        <v>22</v>
      </c>
      <c r="I695" s="626" t="s">
        <v>300</v>
      </c>
      <c r="J695" s="628">
        <v>669.822</v>
      </c>
      <c r="K695" s="629">
        <v>650.57500000000005</v>
      </c>
      <c r="L695" s="696"/>
      <c r="M695" s="698"/>
      <c r="N695" s="700"/>
      <c r="O695" s="606"/>
    </row>
    <row r="696" spans="1:15" s="513" customFormat="1" ht="10.15" customHeight="1">
      <c r="A696" s="615"/>
      <c r="B696" s="535" t="s">
        <v>339</v>
      </c>
      <c r="C696" s="618">
        <v>1198</v>
      </c>
      <c r="D696" s="619">
        <v>43553</v>
      </c>
      <c r="E696" s="620" t="s">
        <v>304</v>
      </c>
      <c r="F696" s="620" t="s">
        <v>405</v>
      </c>
      <c r="G696" s="621">
        <v>4564</v>
      </c>
      <c r="H696" s="622">
        <v>22</v>
      </c>
      <c r="I696" s="620" t="s">
        <v>299</v>
      </c>
      <c r="J696" s="622">
        <v>150</v>
      </c>
      <c r="K696" s="623">
        <v>150.08799999999999</v>
      </c>
      <c r="L696" s="695">
        <f>J696+J697</f>
        <v>153</v>
      </c>
      <c r="M696" s="697">
        <f>SUM(K696:K697)</f>
        <v>153</v>
      </c>
      <c r="N696" s="699">
        <f t="shared" ref="N696" si="168">+L696-M696</f>
        <v>0</v>
      </c>
      <c r="O696" s="605" t="e">
        <f>+((K696+K697)+(#REF!+#REF!))/L696</f>
        <v>#REF!</v>
      </c>
    </row>
    <row r="697" spans="1:15" s="513" customFormat="1" ht="10.15" customHeight="1">
      <c r="A697" s="615"/>
      <c r="B697" s="535" t="s">
        <v>339</v>
      </c>
      <c r="C697" s="624">
        <v>1198</v>
      </c>
      <c r="D697" s="625">
        <v>43553</v>
      </c>
      <c r="E697" s="626" t="s">
        <v>304</v>
      </c>
      <c r="F697" s="626" t="s">
        <v>405</v>
      </c>
      <c r="G697" s="627">
        <v>4564</v>
      </c>
      <c r="H697" s="628">
        <v>22</v>
      </c>
      <c r="I697" s="626" t="s">
        <v>300</v>
      </c>
      <c r="J697" s="628">
        <v>3</v>
      </c>
      <c r="K697" s="629">
        <v>2.9119999999999999</v>
      </c>
      <c r="L697" s="696"/>
      <c r="M697" s="698"/>
      <c r="N697" s="700"/>
      <c r="O697" s="606"/>
    </row>
    <row r="698" spans="1:15" s="513" customFormat="1" ht="10.15" customHeight="1">
      <c r="A698" s="615"/>
      <c r="B698" s="535" t="s">
        <v>339</v>
      </c>
      <c r="C698" s="618">
        <v>2201</v>
      </c>
      <c r="D698" s="619">
        <v>43635</v>
      </c>
      <c r="E698" s="620" t="s">
        <v>304</v>
      </c>
      <c r="F698" s="620" t="s">
        <v>405</v>
      </c>
      <c r="G698" s="621">
        <v>4564</v>
      </c>
      <c r="H698" s="622">
        <v>22</v>
      </c>
      <c r="I698" s="620" t="s">
        <v>299</v>
      </c>
      <c r="J698" s="622">
        <v>191.268</v>
      </c>
      <c r="K698" s="623">
        <v>22.917000000000002</v>
      </c>
      <c r="L698" s="695">
        <f>J698+J699</f>
        <v>488.91600000000005</v>
      </c>
      <c r="M698" s="697">
        <f>SUM(K698:K699)</f>
        <v>123.58500000000001</v>
      </c>
      <c r="N698" s="699">
        <f t="shared" ref="N698" si="169">+L698-M698</f>
        <v>365.33100000000002</v>
      </c>
      <c r="O698" s="605" t="e">
        <f>+((K698+K699)+(#REF!+#REF!))/L698</f>
        <v>#REF!</v>
      </c>
    </row>
    <row r="699" spans="1:15" s="513" customFormat="1" ht="10.15" customHeight="1">
      <c r="A699" s="615"/>
      <c r="B699" s="535" t="s">
        <v>339</v>
      </c>
      <c r="C699" s="624">
        <v>2201</v>
      </c>
      <c r="D699" s="625">
        <v>43635</v>
      </c>
      <c r="E699" s="626" t="s">
        <v>304</v>
      </c>
      <c r="F699" s="626" t="s">
        <v>405</v>
      </c>
      <c r="G699" s="627">
        <v>4564</v>
      </c>
      <c r="H699" s="628">
        <v>22</v>
      </c>
      <c r="I699" s="626" t="s">
        <v>300</v>
      </c>
      <c r="J699" s="628">
        <v>297.64800000000002</v>
      </c>
      <c r="K699" s="629">
        <v>100.66800000000001</v>
      </c>
      <c r="L699" s="696"/>
      <c r="M699" s="698"/>
      <c r="N699" s="700"/>
      <c r="O699" s="606"/>
    </row>
    <row r="700" spans="1:15" s="513" customFormat="1" ht="10.15" customHeight="1">
      <c r="A700" s="615"/>
      <c r="B700" s="535" t="s">
        <v>339</v>
      </c>
      <c r="C700" s="618">
        <v>823</v>
      </c>
      <c r="D700" s="619">
        <v>43529</v>
      </c>
      <c r="E700" s="620" t="s">
        <v>304</v>
      </c>
      <c r="F700" s="620" t="s">
        <v>406</v>
      </c>
      <c r="G700" s="621">
        <v>959621</v>
      </c>
      <c r="H700" s="622">
        <v>22</v>
      </c>
      <c r="I700" s="620" t="s">
        <v>299</v>
      </c>
      <c r="J700" s="622">
        <v>247.91</v>
      </c>
      <c r="K700" s="623">
        <v>158.114</v>
      </c>
      <c r="L700" s="695">
        <f>J700+J701</f>
        <v>1085.1880000000001</v>
      </c>
      <c r="M700" s="697">
        <f>SUM(K700:K701)</f>
        <v>1085.1879999999999</v>
      </c>
      <c r="N700" s="699">
        <f t="shared" ref="N700" si="170">+L700-M700</f>
        <v>0</v>
      </c>
      <c r="O700" s="605" t="e">
        <f>+((K700+K701)+(#REF!+#REF!))/L700</f>
        <v>#REF!</v>
      </c>
    </row>
    <row r="701" spans="1:15" s="513" customFormat="1" ht="10.15" customHeight="1">
      <c r="A701" s="615"/>
      <c r="B701" s="535" t="s">
        <v>339</v>
      </c>
      <c r="C701" s="624">
        <v>823</v>
      </c>
      <c r="D701" s="625">
        <v>43529</v>
      </c>
      <c r="E701" s="626" t="s">
        <v>304</v>
      </c>
      <c r="F701" s="626" t="s">
        <v>406</v>
      </c>
      <c r="G701" s="627">
        <v>959621</v>
      </c>
      <c r="H701" s="628">
        <v>22</v>
      </c>
      <c r="I701" s="626" t="s">
        <v>300</v>
      </c>
      <c r="J701" s="628">
        <v>837.27800000000002</v>
      </c>
      <c r="K701" s="629">
        <v>927.07399999999996</v>
      </c>
      <c r="L701" s="696"/>
      <c r="M701" s="698"/>
      <c r="N701" s="700"/>
      <c r="O701" s="606"/>
    </row>
    <row r="702" spans="1:15" s="513" customFormat="1" ht="10.15" customHeight="1">
      <c r="A702" s="615"/>
      <c r="B702" s="535" t="s">
        <v>339</v>
      </c>
      <c r="C702" s="618">
        <v>1198</v>
      </c>
      <c r="D702" s="619">
        <v>43553</v>
      </c>
      <c r="E702" s="620" t="s">
        <v>304</v>
      </c>
      <c r="F702" s="620" t="s">
        <v>406</v>
      </c>
      <c r="G702" s="621">
        <v>959621</v>
      </c>
      <c r="H702" s="622">
        <v>22</v>
      </c>
      <c r="I702" s="620" t="s">
        <v>299</v>
      </c>
      <c r="J702" s="622">
        <v>150</v>
      </c>
      <c r="K702" s="623">
        <v>137.524</v>
      </c>
      <c r="L702" s="695">
        <f>J702+J703</f>
        <v>153</v>
      </c>
      <c r="M702" s="697">
        <f>SUM(K702:K703)</f>
        <v>153</v>
      </c>
      <c r="N702" s="699">
        <f t="shared" ref="N702" si="171">+L702-M702</f>
        <v>0</v>
      </c>
      <c r="O702" s="605" t="e">
        <f>+((K702+K703)+(#REF!+#REF!))/L702</f>
        <v>#REF!</v>
      </c>
    </row>
    <row r="703" spans="1:15" s="513" customFormat="1" ht="10.15" customHeight="1">
      <c r="A703" s="615"/>
      <c r="B703" s="535" t="s">
        <v>339</v>
      </c>
      <c r="C703" s="624">
        <v>1198</v>
      </c>
      <c r="D703" s="625">
        <v>43553</v>
      </c>
      <c r="E703" s="626" t="s">
        <v>304</v>
      </c>
      <c r="F703" s="626" t="s">
        <v>406</v>
      </c>
      <c r="G703" s="627">
        <v>959621</v>
      </c>
      <c r="H703" s="628">
        <v>22</v>
      </c>
      <c r="I703" s="626" t="s">
        <v>300</v>
      </c>
      <c r="J703" s="628">
        <v>3</v>
      </c>
      <c r="K703" s="629">
        <v>15.476000000000001</v>
      </c>
      <c r="L703" s="696"/>
      <c r="M703" s="698"/>
      <c r="N703" s="700"/>
      <c r="O703" s="606"/>
    </row>
    <row r="704" spans="1:15" s="513" customFormat="1" ht="10.15" customHeight="1">
      <c r="A704" s="615"/>
      <c r="B704" s="535" t="s">
        <v>339</v>
      </c>
      <c r="C704" s="618">
        <v>823</v>
      </c>
      <c r="D704" s="619">
        <v>43529</v>
      </c>
      <c r="E704" s="620" t="s">
        <v>304</v>
      </c>
      <c r="F704" s="620" t="s">
        <v>407</v>
      </c>
      <c r="G704" s="621">
        <v>964861</v>
      </c>
      <c r="H704" s="622">
        <v>22</v>
      </c>
      <c r="I704" s="620" t="s">
        <v>299</v>
      </c>
      <c r="J704" s="622">
        <v>347.07400000000001</v>
      </c>
      <c r="K704" s="623">
        <v>288.13799999999998</v>
      </c>
      <c r="L704" s="695">
        <f>J704+J705</f>
        <v>1519.2620000000002</v>
      </c>
      <c r="M704" s="697">
        <f>SUM(K704:K705)</f>
        <v>1227.3140000000001</v>
      </c>
      <c r="N704" s="699">
        <f t="shared" ref="N704" si="172">+L704-M704</f>
        <v>291.94800000000009</v>
      </c>
      <c r="O704" s="605" t="e">
        <f>+((K704+K705)+(#REF!+#REF!))/L704</f>
        <v>#REF!</v>
      </c>
    </row>
    <row r="705" spans="1:15" s="513" customFormat="1" ht="10.15" customHeight="1">
      <c r="A705" s="615"/>
      <c r="B705" s="535" t="s">
        <v>339</v>
      </c>
      <c r="C705" s="624">
        <v>823</v>
      </c>
      <c r="D705" s="625">
        <v>43529</v>
      </c>
      <c r="E705" s="626" t="s">
        <v>304</v>
      </c>
      <c r="F705" s="626" t="s">
        <v>407</v>
      </c>
      <c r="G705" s="627">
        <v>964861</v>
      </c>
      <c r="H705" s="628">
        <v>22</v>
      </c>
      <c r="I705" s="626" t="s">
        <v>300</v>
      </c>
      <c r="J705" s="628">
        <v>1172.1880000000001</v>
      </c>
      <c r="K705" s="629">
        <v>939.17600000000004</v>
      </c>
      <c r="L705" s="696"/>
      <c r="M705" s="698"/>
      <c r="N705" s="700"/>
      <c r="O705" s="606"/>
    </row>
    <row r="706" spans="1:15" s="513" customFormat="1" ht="10.15" customHeight="1">
      <c r="A706" s="615"/>
      <c r="B706" s="535" t="s">
        <v>339</v>
      </c>
      <c r="C706" s="618">
        <v>1198</v>
      </c>
      <c r="D706" s="619">
        <v>43553</v>
      </c>
      <c r="E706" s="620" t="s">
        <v>304</v>
      </c>
      <c r="F706" s="620" t="s">
        <v>407</v>
      </c>
      <c r="G706" s="621">
        <v>964861</v>
      </c>
      <c r="H706" s="622">
        <v>22</v>
      </c>
      <c r="I706" s="620" t="s">
        <v>299</v>
      </c>
      <c r="J706" s="622">
        <v>300</v>
      </c>
      <c r="K706" s="623">
        <v>178.34200000000001</v>
      </c>
      <c r="L706" s="695">
        <f>J706+J707</f>
        <v>306</v>
      </c>
      <c r="M706" s="697">
        <f>SUM(K706:K707)</f>
        <v>246.24</v>
      </c>
      <c r="N706" s="699">
        <f t="shared" ref="N706" si="173">+L706-M706</f>
        <v>59.759999999999991</v>
      </c>
      <c r="O706" s="605" t="e">
        <f>+((K706+K707)+(#REF!+#REF!))/L706</f>
        <v>#REF!</v>
      </c>
    </row>
    <row r="707" spans="1:15" s="513" customFormat="1" ht="10.15" customHeight="1">
      <c r="A707" s="615"/>
      <c r="B707" s="535" t="s">
        <v>339</v>
      </c>
      <c r="C707" s="624">
        <v>1198</v>
      </c>
      <c r="D707" s="625">
        <v>43553</v>
      </c>
      <c r="E707" s="626" t="s">
        <v>304</v>
      </c>
      <c r="F707" s="626" t="s">
        <v>407</v>
      </c>
      <c r="G707" s="627">
        <v>964861</v>
      </c>
      <c r="H707" s="628">
        <v>22</v>
      </c>
      <c r="I707" s="626" t="s">
        <v>300</v>
      </c>
      <c r="J707" s="628">
        <v>6</v>
      </c>
      <c r="K707" s="629">
        <v>67.897999999999996</v>
      </c>
      <c r="L707" s="696"/>
      <c r="M707" s="698"/>
      <c r="N707" s="700"/>
      <c r="O707" s="606"/>
    </row>
    <row r="708" spans="1:15" s="513" customFormat="1" ht="10.15" customHeight="1">
      <c r="A708" s="615"/>
      <c r="B708" s="535" t="s">
        <v>339</v>
      </c>
      <c r="C708" s="618">
        <v>2201</v>
      </c>
      <c r="D708" s="619">
        <v>43635</v>
      </c>
      <c r="E708" s="620" t="s">
        <v>304</v>
      </c>
      <c r="F708" s="620" t="s">
        <v>407</v>
      </c>
      <c r="G708" s="621">
        <v>964861</v>
      </c>
      <c r="H708" s="622">
        <v>22</v>
      </c>
      <c r="I708" s="620" t="s">
        <v>299</v>
      </c>
      <c r="J708" s="622">
        <v>191.268</v>
      </c>
      <c r="K708" s="623"/>
      <c r="L708" s="695">
        <f>J708+J709</f>
        <v>488.91600000000005</v>
      </c>
      <c r="M708" s="697">
        <f>SUM(K708:K709)</f>
        <v>0</v>
      </c>
      <c r="N708" s="699">
        <f t="shared" ref="N708" si="174">+L708-M708</f>
        <v>488.91600000000005</v>
      </c>
      <c r="O708" s="605" t="e">
        <f>+((K708+K709)+(#REF!+#REF!))/L708</f>
        <v>#REF!</v>
      </c>
    </row>
    <row r="709" spans="1:15" s="513" customFormat="1" ht="10.15" customHeight="1">
      <c r="A709" s="615"/>
      <c r="B709" s="535" t="s">
        <v>339</v>
      </c>
      <c r="C709" s="624">
        <v>2201</v>
      </c>
      <c r="D709" s="625">
        <v>43635</v>
      </c>
      <c r="E709" s="626" t="s">
        <v>304</v>
      </c>
      <c r="F709" s="626" t="s">
        <v>407</v>
      </c>
      <c r="G709" s="627">
        <v>964861</v>
      </c>
      <c r="H709" s="628">
        <v>22</v>
      </c>
      <c r="I709" s="626" t="s">
        <v>300</v>
      </c>
      <c r="J709" s="628">
        <v>297.64800000000002</v>
      </c>
      <c r="K709" s="629"/>
      <c r="L709" s="696"/>
      <c r="M709" s="698"/>
      <c r="N709" s="700"/>
      <c r="O709" s="606"/>
    </row>
    <row r="710" spans="1:15" s="513" customFormat="1" ht="10.15" customHeight="1">
      <c r="A710" s="615"/>
      <c r="B710" s="535" t="s">
        <v>339</v>
      </c>
      <c r="C710" s="618">
        <v>794</v>
      </c>
      <c r="D710" s="619">
        <v>43516</v>
      </c>
      <c r="E710" s="620" t="s">
        <v>304</v>
      </c>
      <c r="F710" s="620" t="s">
        <v>408</v>
      </c>
      <c r="G710" s="621">
        <v>966093</v>
      </c>
      <c r="H710" s="622">
        <v>22</v>
      </c>
      <c r="I710" s="620" t="s">
        <v>299</v>
      </c>
      <c r="J710" s="622">
        <v>10</v>
      </c>
      <c r="K710" s="623">
        <v>40.33</v>
      </c>
      <c r="L710" s="695">
        <f>J710+J711</f>
        <v>110</v>
      </c>
      <c r="M710" s="697">
        <f>SUM(K710:K711)</f>
        <v>110</v>
      </c>
      <c r="N710" s="699">
        <f t="shared" ref="N710" si="175">+L710-M710</f>
        <v>0</v>
      </c>
      <c r="O710" s="605" t="e">
        <f>+((K710+K711)+(#REF!+#REF!))/L710</f>
        <v>#REF!</v>
      </c>
    </row>
    <row r="711" spans="1:15" s="513" customFormat="1" ht="10.15" customHeight="1">
      <c r="A711" s="615"/>
      <c r="B711" s="535" t="s">
        <v>339</v>
      </c>
      <c r="C711" s="624">
        <v>794</v>
      </c>
      <c r="D711" s="625">
        <v>43516</v>
      </c>
      <c r="E711" s="626" t="s">
        <v>304</v>
      </c>
      <c r="F711" s="626" t="s">
        <v>408</v>
      </c>
      <c r="G711" s="627">
        <v>966093</v>
      </c>
      <c r="H711" s="628">
        <v>22</v>
      </c>
      <c r="I711" s="626" t="s">
        <v>300</v>
      </c>
      <c r="J711" s="628">
        <v>100</v>
      </c>
      <c r="K711" s="629">
        <v>69.67</v>
      </c>
      <c r="L711" s="696"/>
      <c r="M711" s="698"/>
      <c r="N711" s="700"/>
      <c r="O711" s="606"/>
    </row>
    <row r="712" spans="1:15" s="513" customFormat="1" ht="10.15" customHeight="1">
      <c r="A712" s="615"/>
      <c r="B712" s="535" t="s">
        <v>339</v>
      </c>
      <c r="C712" s="618">
        <v>823</v>
      </c>
      <c r="D712" s="619">
        <v>43529</v>
      </c>
      <c r="E712" s="620" t="s">
        <v>304</v>
      </c>
      <c r="F712" s="620" t="s">
        <v>409</v>
      </c>
      <c r="G712" s="621">
        <v>967535</v>
      </c>
      <c r="H712" s="622">
        <v>22</v>
      </c>
      <c r="I712" s="620" t="s">
        <v>299</v>
      </c>
      <c r="J712" s="622">
        <v>99.164000000000001</v>
      </c>
      <c r="K712" s="623">
        <v>96.484999999999999</v>
      </c>
      <c r="L712" s="695">
        <f>J712+J713</f>
        <v>434.07499999999999</v>
      </c>
      <c r="M712" s="697">
        <f>SUM(K712:K713)</f>
        <v>434.07499999999999</v>
      </c>
      <c r="N712" s="699">
        <f t="shared" ref="N712" si="176">+L712-M712</f>
        <v>0</v>
      </c>
      <c r="O712" s="605" t="e">
        <f>+((K712+K713)+(#REF!+#REF!))/L712</f>
        <v>#REF!</v>
      </c>
    </row>
    <row r="713" spans="1:15" s="513" customFormat="1" ht="10.15" customHeight="1">
      <c r="A713" s="615"/>
      <c r="B713" s="535" t="s">
        <v>339</v>
      </c>
      <c r="C713" s="624">
        <v>823</v>
      </c>
      <c r="D713" s="625">
        <v>43529</v>
      </c>
      <c r="E713" s="626" t="s">
        <v>304</v>
      </c>
      <c r="F713" s="626" t="s">
        <v>409</v>
      </c>
      <c r="G713" s="627">
        <v>967535</v>
      </c>
      <c r="H713" s="628">
        <v>22</v>
      </c>
      <c r="I713" s="626" t="s">
        <v>300</v>
      </c>
      <c r="J713" s="628">
        <v>334.911</v>
      </c>
      <c r="K713" s="629">
        <v>337.59</v>
      </c>
      <c r="L713" s="696"/>
      <c r="M713" s="698"/>
      <c r="N713" s="700"/>
      <c r="O713" s="606"/>
    </row>
    <row r="714" spans="1:15" s="513" customFormat="1" ht="10.15" customHeight="1">
      <c r="A714" s="615"/>
      <c r="B714" s="535" t="s">
        <v>339</v>
      </c>
      <c r="C714" s="618">
        <v>1198</v>
      </c>
      <c r="D714" s="619">
        <v>43553</v>
      </c>
      <c r="E714" s="620" t="s">
        <v>304</v>
      </c>
      <c r="F714" s="620" t="s">
        <v>409</v>
      </c>
      <c r="G714" s="621">
        <v>967535</v>
      </c>
      <c r="H714" s="622">
        <v>22</v>
      </c>
      <c r="I714" s="620" t="s">
        <v>299</v>
      </c>
      <c r="J714" s="622">
        <v>0</v>
      </c>
      <c r="K714" s="623"/>
      <c r="L714" s="695">
        <f>J714+J715</f>
        <v>0</v>
      </c>
      <c r="M714" s="697">
        <f>SUM(K714:K715)</f>
        <v>0</v>
      </c>
      <c r="N714" s="699">
        <f t="shared" ref="N714" si="177">+L714-M714</f>
        <v>0</v>
      </c>
      <c r="O714" s="605" t="e">
        <f>+((K714+K715)+(#REF!+#REF!))/L714</f>
        <v>#REF!</v>
      </c>
    </row>
    <row r="715" spans="1:15" s="513" customFormat="1" ht="10.15" customHeight="1">
      <c r="A715" s="615"/>
      <c r="B715" s="535" t="s">
        <v>339</v>
      </c>
      <c r="C715" s="624">
        <v>1198</v>
      </c>
      <c r="D715" s="625">
        <v>43553</v>
      </c>
      <c r="E715" s="626" t="s">
        <v>304</v>
      </c>
      <c r="F715" s="626" t="s">
        <v>409</v>
      </c>
      <c r="G715" s="627">
        <v>967535</v>
      </c>
      <c r="H715" s="628">
        <v>22</v>
      </c>
      <c r="I715" s="626" t="s">
        <v>300</v>
      </c>
      <c r="J715" s="628">
        <v>0</v>
      </c>
      <c r="K715" s="629"/>
      <c r="L715" s="696"/>
      <c r="M715" s="698"/>
      <c r="N715" s="700"/>
      <c r="O715" s="606"/>
    </row>
    <row r="716" spans="1:15" s="513" customFormat="1" ht="10.15" customHeight="1">
      <c r="A716" s="615"/>
      <c r="B716" s="535" t="s">
        <v>339</v>
      </c>
      <c r="C716" s="618">
        <v>1638</v>
      </c>
      <c r="D716" s="619">
        <v>43585</v>
      </c>
      <c r="E716" s="620" t="s">
        <v>304</v>
      </c>
      <c r="F716" s="620" t="s">
        <v>410</v>
      </c>
      <c r="G716" s="621">
        <v>960054</v>
      </c>
      <c r="H716" s="622">
        <v>24</v>
      </c>
      <c r="I716" s="620" t="s">
        <v>299</v>
      </c>
      <c r="J716" s="622">
        <v>10</v>
      </c>
      <c r="K716" s="623"/>
      <c r="L716" s="695">
        <f>J716+J717</f>
        <v>100</v>
      </c>
      <c r="M716" s="697">
        <f>SUM(K716:K717)</f>
        <v>0</v>
      </c>
      <c r="N716" s="699">
        <f t="shared" ref="N716" si="178">+L716-M716</f>
        <v>100</v>
      </c>
      <c r="O716" s="605" t="e">
        <f>+((K716+K717)+(#REF!+#REF!))/L716</f>
        <v>#REF!</v>
      </c>
    </row>
    <row r="717" spans="1:15" s="513" customFormat="1" ht="10.15" customHeight="1">
      <c r="A717" s="615"/>
      <c r="B717" s="535" t="s">
        <v>339</v>
      </c>
      <c r="C717" s="624">
        <v>1638</v>
      </c>
      <c r="D717" s="625">
        <v>43585</v>
      </c>
      <c r="E717" s="626" t="s">
        <v>304</v>
      </c>
      <c r="F717" s="626" t="s">
        <v>410</v>
      </c>
      <c r="G717" s="627">
        <v>960054</v>
      </c>
      <c r="H717" s="628">
        <v>24</v>
      </c>
      <c r="I717" s="626" t="s">
        <v>300</v>
      </c>
      <c r="J717" s="628">
        <v>90</v>
      </c>
      <c r="K717" s="629"/>
      <c r="L717" s="696"/>
      <c r="M717" s="698"/>
      <c r="N717" s="700"/>
      <c r="O717" s="606"/>
    </row>
    <row r="718" spans="1:15" s="513" customFormat="1" ht="10.15" customHeight="1">
      <c r="A718" s="615"/>
      <c r="B718" s="535" t="s">
        <v>339</v>
      </c>
      <c r="C718" s="618">
        <v>1108</v>
      </c>
      <c r="D718" s="619">
        <v>43553</v>
      </c>
      <c r="E718" s="620" t="s">
        <v>304</v>
      </c>
      <c r="F718" s="620" t="s">
        <v>411</v>
      </c>
      <c r="G718" s="621">
        <v>950995</v>
      </c>
      <c r="H718" s="622">
        <v>25</v>
      </c>
      <c r="I718" s="620" t="s">
        <v>299</v>
      </c>
      <c r="J718" s="622">
        <v>130</v>
      </c>
      <c r="K718" s="623">
        <v>108.03100000000001</v>
      </c>
      <c r="L718" s="695">
        <f>J718+J719</f>
        <v>240</v>
      </c>
      <c r="M718" s="697">
        <f>SUM(K718:K719)</f>
        <v>240</v>
      </c>
      <c r="N718" s="699">
        <f t="shared" ref="N718" si="179">+L718-M718</f>
        <v>0</v>
      </c>
      <c r="O718" s="605" t="e">
        <f>+((K718+K719)+(#REF!+#REF!))/L718</f>
        <v>#REF!</v>
      </c>
    </row>
    <row r="719" spans="1:15" s="513" customFormat="1" ht="10.15" customHeight="1">
      <c r="A719" s="615"/>
      <c r="B719" s="535" t="s">
        <v>339</v>
      </c>
      <c r="C719" s="624">
        <v>1108</v>
      </c>
      <c r="D719" s="625">
        <v>43553</v>
      </c>
      <c r="E719" s="626" t="s">
        <v>304</v>
      </c>
      <c r="F719" s="626" t="s">
        <v>411</v>
      </c>
      <c r="G719" s="627">
        <v>950995</v>
      </c>
      <c r="H719" s="628">
        <v>25</v>
      </c>
      <c r="I719" s="626" t="s">
        <v>300</v>
      </c>
      <c r="J719" s="628">
        <v>110</v>
      </c>
      <c r="K719" s="629">
        <v>131.96899999999999</v>
      </c>
      <c r="L719" s="696"/>
      <c r="M719" s="698"/>
      <c r="N719" s="700"/>
      <c r="O719" s="606"/>
    </row>
    <row r="720" spans="1:15" s="513" customFormat="1" ht="10.15" customHeight="1">
      <c r="A720" s="615"/>
      <c r="B720" s="535" t="s">
        <v>339</v>
      </c>
      <c r="C720" s="618">
        <v>1107</v>
      </c>
      <c r="D720" s="619">
        <v>43553</v>
      </c>
      <c r="E720" s="620" t="s">
        <v>304</v>
      </c>
      <c r="F720" s="620" t="s">
        <v>412</v>
      </c>
      <c r="G720" s="621">
        <v>959982</v>
      </c>
      <c r="H720" s="622">
        <v>25</v>
      </c>
      <c r="I720" s="620" t="s">
        <v>299</v>
      </c>
      <c r="J720" s="622">
        <v>132.22300000000001</v>
      </c>
      <c r="K720" s="623">
        <v>203.25899999999999</v>
      </c>
      <c r="L720" s="695">
        <f>J720+J721</f>
        <v>578.77199999999993</v>
      </c>
      <c r="M720" s="697">
        <f>SUM(K720:K721)</f>
        <v>578.77199999999993</v>
      </c>
      <c r="N720" s="699">
        <f t="shared" ref="N720" si="180">+L720-M720</f>
        <v>0</v>
      </c>
      <c r="O720" s="605" t="e">
        <f>+((K720+K721)+(#REF!+#REF!))/L720</f>
        <v>#REF!</v>
      </c>
    </row>
    <row r="721" spans="1:15" s="513" customFormat="1" ht="10.15" customHeight="1">
      <c r="A721" s="615"/>
      <c r="B721" s="535" t="s">
        <v>339</v>
      </c>
      <c r="C721" s="624">
        <v>1107</v>
      </c>
      <c r="D721" s="625">
        <v>43553</v>
      </c>
      <c r="E721" s="626" t="s">
        <v>304</v>
      </c>
      <c r="F721" s="626" t="s">
        <v>412</v>
      </c>
      <c r="G721" s="627">
        <v>959982</v>
      </c>
      <c r="H721" s="628">
        <v>25</v>
      </c>
      <c r="I721" s="626" t="s">
        <v>300</v>
      </c>
      <c r="J721" s="628">
        <v>446.54899999999998</v>
      </c>
      <c r="K721" s="629">
        <v>375.51299999999998</v>
      </c>
      <c r="L721" s="696"/>
      <c r="M721" s="698"/>
      <c r="N721" s="700"/>
      <c r="O721" s="606"/>
    </row>
    <row r="722" spans="1:15" s="513" customFormat="1" ht="10.15" customHeight="1">
      <c r="A722" s="615"/>
      <c r="B722" s="535" t="s">
        <v>339</v>
      </c>
      <c r="C722" s="618">
        <v>2367</v>
      </c>
      <c r="D722" s="619">
        <v>43647</v>
      </c>
      <c r="E722" s="620" t="s">
        <v>304</v>
      </c>
      <c r="F722" s="620" t="s">
        <v>412</v>
      </c>
      <c r="G722" s="621">
        <v>959982</v>
      </c>
      <c r="H722" s="622">
        <v>25</v>
      </c>
      <c r="I722" s="620" t="s">
        <v>299</v>
      </c>
      <c r="J722" s="622">
        <v>187</v>
      </c>
      <c r="K722" s="623"/>
      <c r="L722" s="695">
        <f>J722+J723</f>
        <v>312</v>
      </c>
      <c r="M722" s="697">
        <f>SUM(K722:K723)</f>
        <v>0</v>
      </c>
      <c r="N722" s="699">
        <f t="shared" ref="N722" si="181">+L722-M722</f>
        <v>312</v>
      </c>
      <c r="O722" s="605" t="e">
        <f>+((K722+K723)+(#REF!+#REF!))/L722</f>
        <v>#REF!</v>
      </c>
    </row>
    <row r="723" spans="1:15" s="513" customFormat="1" ht="10.15" customHeight="1">
      <c r="A723" s="615"/>
      <c r="B723" s="535" t="s">
        <v>339</v>
      </c>
      <c r="C723" s="624">
        <v>2367</v>
      </c>
      <c r="D723" s="625">
        <v>43647</v>
      </c>
      <c r="E723" s="626" t="s">
        <v>304</v>
      </c>
      <c r="F723" s="626" t="s">
        <v>412</v>
      </c>
      <c r="G723" s="627">
        <v>959982</v>
      </c>
      <c r="H723" s="628">
        <v>25</v>
      </c>
      <c r="I723" s="626" t="s">
        <v>300</v>
      </c>
      <c r="J723" s="628">
        <v>125</v>
      </c>
      <c r="K723" s="629"/>
      <c r="L723" s="696"/>
      <c r="M723" s="698"/>
      <c r="N723" s="700"/>
      <c r="O723" s="606"/>
    </row>
    <row r="724" spans="1:15" s="513" customFormat="1" ht="10.15" customHeight="1">
      <c r="A724" s="615"/>
      <c r="B724" s="535" t="s">
        <v>339</v>
      </c>
      <c r="C724" s="618">
        <v>1107</v>
      </c>
      <c r="D724" s="619">
        <v>43553</v>
      </c>
      <c r="E724" s="620" t="s">
        <v>304</v>
      </c>
      <c r="F724" s="620" t="s">
        <v>413</v>
      </c>
      <c r="G724" s="621">
        <v>962899</v>
      </c>
      <c r="H724" s="622">
        <v>25</v>
      </c>
      <c r="I724" s="620" t="s">
        <v>299</v>
      </c>
      <c r="J724" s="622">
        <v>132.22300000000001</v>
      </c>
      <c r="K724" s="623">
        <v>206.24799999999999</v>
      </c>
      <c r="L724" s="695">
        <f>J724+J725</f>
        <v>578.77199999999993</v>
      </c>
      <c r="M724" s="697">
        <f>SUM(K724:K725)</f>
        <v>578.45799999999997</v>
      </c>
      <c r="N724" s="699">
        <f t="shared" ref="N724" si="182">+L724-M724</f>
        <v>0.31399999999996453</v>
      </c>
      <c r="O724" s="605" t="e">
        <f>+((K724+K725)+(#REF!+#REF!))/L724</f>
        <v>#REF!</v>
      </c>
    </row>
    <row r="725" spans="1:15" s="513" customFormat="1" ht="10.15" customHeight="1">
      <c r="A725" s="615"/>
      <c r="B725" s="535" t="s">
        <v>339</v>
      </c>
      <c r="C725" s="624">
        <v>1107</v>
      </c>
      <c r="D725" s="625">
        <v>43553</v>
      </c>
      <c r="E725" s="626" t="s">
        <v>304</v>
      </c>
      <c r="F725" s="626" t="s">
        <v>413</v>
      </c>
      <c r="G725" s="627">
        <v>962899</v>
      </c>
      <c r="H725" s="628">
        <v>25</v>
      </c>
      <c r="I725" s="626" t="s">
        <v>300</v>
      </c>
      <c r="J725" s="628">
        <v>446.54899999999998</v>
      </c>
      <c r="K725" s="629">
        <v>372.21</v>
      </c>
      <c r="L725" s="696"/>
      <c r="M725" s="698"/>
      <c r="N725" s="700"/>
      <c r="O725" s="606"/>
    </row>
    <row r="726" spans="1:15" s="513" customFormat="1" ht="10.15" customHeight="1">
      <c r="A726" s="615"/>
      <c r="B726" s="535" t="s">
        <v>339</v>
      </c>
      <c r="C726" s="618">
        <v>2367</v>
      </c>
      <c r="D726" s="619">
        <v>43647</v>
      </c>
      <c r="E726" s="620" t="s">
        <v>304</v>
      </c>
      <c r="F726" s="620" t="s">
        <v>413</v>
      </c>
      <c r="G726" s="621">
        <v>962899</v>
      </c>
      <c r="H726" s="622">
        <v>25</v>
      </c>
      <c r="I726" s="620" t="s">
        <v>299</v>
      </c>
      <c r="J726" s="622">
        <v>187</v>
      </c>
      <c r="K726" s="623"/>
      <c r="L726" s="695">
        <f>J726+J727</f>
        <v>312</v>
      </c>
      <c r="M726" s="697">
        <f>SUM(K726:K727)</f>
        <v>0</v>
      </c>
      <c r="N726" s="699">
        <f t="shared" ref="N726" si="183">+L726-M726</f>
        <v>312</v>
      </c>
      <c r="O726" s="605" t="e">
        <f>+((K726+K727)+(#REF!+#REF!))/L726</f>
        <v>#REF!</v>
      </c>
    </row>
    <row r="727" spans="1:15" s="513" customFormat="1" ht="10.15" customHeight="1">
      <c r="A727" s="615"/>
      <c r="B727" s="535" t="s">
        <v>339</v>
      </c>
      <c r="C727" s="624">
        <v>2367</v>
      </c>
      <c r="D727" s="625">
        <v>43647</v>
      </c>
      <c r="E727" s="626" t="s">
        <v>304</v>
      </c>
      <c r="F727" s="626" t="s">
        <v>413</v>
      </c>
      <c r="G727" s="627">
        <v>962899</v>
      </c>
      <c r="H727" s="628">
        <v>25</v>
      </c>
      <c r="I727" s="626" t="s">
        <v>300</v>
      </c>
      <c r="J727" s="628">
        <v>125</v>
      </c>
      <c r="K727" s="629"/>
      <c r="L727" s="696"/>
      <c r="M727" s="698"/>
      <c r="N727" s="700"/>
      <c r="O727" s="606"/>
    </row>
    <row r="728" spans="1:15" s="513" customFormat="1" ht="10.15" customHeight="1">
      <c r="A728" s="615"/>
      <c r="B728" s="535" t="s">
        <v>339</v>
      </c>
      <c r="C728" s="618">
        <v>2053</v>
      </c>
      <c r="D728" s="619">
        <v>43613</v>
      </c>
      <c r="E728" s="620" t="s">
        <v>304</v>
      </c>
      <c r="F728" s="620" t="s">
        <v>532</v>
      </c>
      <c r="G728" s="621">
        <v>902723</v>
      </c>
      <c r="H728" s="622">
        <v>27</v>
      </c>
      <c r="I728" s="620" t="s">
        <v>299</v>
      </c>
      <c r="J728" s="622">
        <v>20</v>
      </c>
      <c r="K728" s="623"/>
      <c r="L728" s="695">
        <f>J728+J729</f>
        <v>220</v>
      </c>
      <c r="M728" s="697">
        <f>SUM(K728:K729)</f>
        <v>0</v>
      </c>
      <c r="N728" s="699">
        <f t="shared" ref="N728" si="184">+L728-M728</f>
        <v>220</v>
      </c>
      <c r="O728" s="605" t="e">
        <f>+((K728+K729)+(#REF!+#REF!))/L728</f>
        <v>#REF!</v>
      </c>
    </row>
    <row r="729" spans="1:15" s="513" customFormat="1" ht="10.15" customHeight="1">
      <c r="A729" s="615"/>
      <c r="B729" s="535" t="s">
        <v>339</v>
      </c>
      <c r="C729" s="624">
        <v>2053</v>
      </c>
      <c r="D729" s="625">
        <v>43613</v>
      </c>
      <c r="E729" s="626" t="s">
        <v>304</v>
      </c>
      <c r="F729" s="626" t="s">
        <v>532</v>
      </c>
      <c r="G729" s="627">
        <v>902723</v>
      </c>
      <c r="H729" s="628">
        <v>27</v>
      </c>
      <c r="I729" s="626" t="s">
        <v>300</v>
      </c>
      <c r="J729" s="628">
        <v>200</v>
      </c>
      <c r="K729" s="629"/>
      <c r="L729" s="696"/>
      <c r="M729" s="698"/>
      <c r="N729" s="700"/>
      <c r="O729" s="606"/>
    </row>
    <row r="730" spans="1:15" s="513" customFormat="1" ht="10.15" customHeight="1">
      <c r="A730" s="615"/>
      <c r="B730" s="535" t="s">
        <v>339</v>
      </c>
      <c r="C730" s="618">
        <v>2053</v>
      </c>
      <c r="D730" s="619">
        <v>43613</v>
      </c>
      <c r="E730" s="620" t="s">
        <v>304</v>
      </c>
      <c r="F730" s="620" t="s">
        <v>533</v>
      </c>
      <c r="G730" s="621">
        <v>963482</v>
      </c>
      <c r="H730" s="622">
        <v>27</v>
      </c>
      <c r="I730" s="620" t="s">
        <v>299</v>
      </c>
      <c r="J730" s="622">
        <v>10</v>
      </c>
      <c r="K730" s="623"/>
      <c r="L730" s="695">
        <f>J730+J731</f>
        <v>210</v>
      </c>
      <c r="M730" s="697">
        <f>SUM(K730:K731)</f>
        <v>0</v>
      </c>
      <c r="N730" s="699">
        <f t="shared" ref="N730" si="185">+L730-M730</f>
        <v>210</v>
      </c>
      <c r="O730" s="605" t="e">
        <f>+((K730+K731)+(#REF!+#REF!))/L730</f>
        <v>#REF!</v>
      </c>
    </row>
    <row r="731" spans="1:15" s="513" customFormat="1" ht="10.15" customHeight="1">
      <c r="A731" s="615"/>
      <c r="B731" s="535" t="s">
        <v>339</v>
      </c>
      <c r="C731" s="624">
        <v>2053</v>
      </c>
      <c r="D731" s="625">
        <v>43613</v>
      </c>
      <c r="E731" s="626" t="s">
        <v>304</v>
      </c>
      <c r="F731" s="626" t="s">
        <v>533</v>
      </c>
      <c r="G731" s="627">
        <v>963482</v>
      </c>
      <c r="H731" s="628">
        <v>27</v>
      </c>
      <c r="I731" s="626" t="s">
        <v>300</v>
      </c>
      <c r="J731" s="628">
        <v>200</v>
      </c>
      <c r="K731" s="629"/>
      <c r="L731" s="696"/>
      <c r="M731" s="698"/>
      <c r="N731" s="700"/>
      <c r="O731" s="606"/>
    </row>
    <row r="732" spans="1:15" s="513" customFormat="1" ht="10.15" customHeight="1">
      <c r="A732" s="615"/>
      <c r="B732" s="535" t="s">
        <v>339</v>
      </c>
      <c r="C732" s="618">
        <v>1198</v>
      </c>
      <c r="D732" s="619">
        <v>43553</v>
      </c>
      <c r="E732" s="620" t="s">
        <v>304</v>
      </c>
      <c r="F732" s="620" t="s">
        <v>414</v>
      </c>
      <c r="G732" s="621">
        <v>31292</v>
      </c>
      <c r="H732" s="622">
        <v>29</v>
      </c>
      <c r="I732" s="620" t="s">
        <v>299</v>
      </c>
      <c r="J732" s="622">
        <v>196</v>
      </c>
      <c r="K732" s="623">
        <v>151.477</v>
      </c>
      <c r="L732" s="695">
        <f>J732+J733</f>
        <v>200</v>
      </c>
      <c r="M732" s="697">
        <f>SUM(K732:K733)</f>
        <v>199.97</v>
      </c>
      <c r="N732" s="699">
        <f t="shared" ref="N732" si="186">+L732-M732</f>
        <v>3.0000000000001137E-2</v>
      </c>
      <c r="O732" s="605" t="e">
        <f>+((K732+K733)+(#REF!+#REF!))/L732</f>
        <v>#REF!</v>
      </c>
    </row>
    <row r="733" spans="1:15" s="513" customFormat="1" ht="10.15" customHeight="1">
      <c r="A733" s="615"/>
      <c r="B733" s="535" t="s">
        <v>339</v>
      </c>
      <c r="C733" s="624">
        <v>1198</v>
      </c>
      <c r="D733" s="625">
        <v>43553</v>
      </c>
      <c r="E733" s="626" t="s">
        <v>304</v>
      </c>
      <c r="F733" s="626" t="s">
        <v>414</v>
      </c>
      <c r="G733" s="627">
        <v>31292</v>
      </c>
      <c r="H733" s="628">
        <v>29</v>
      </c>
      <c r="I733" s="626" t="s">
        <v>300</v>
      </c>
      <c r="J733" s="628">
        <v>4</v>
      </c>
      <c r="K733" s="629">
        <v>48.493000000000002</v>
      </c>
      <c r="L733" s="696"/>
      <c r="M733" s="698"/>
      <c r="N733" s="700"/>
      <c r="O733" s="606"/>
    </row>
    <row r="734" spans="1:15" s="513" customFormat="1" ht="10.15" customHeight="1">
      <c r="A734" s="615"/>
      <c r="B734" s="535" t="s">
        <v>339</v>
      </c>
      <c r="C734" s="618">
        <v>1528</v>
      </c>
      <c r="D734" s="619">
        <v>43578</v>
      </c>
      <c r="E734" s="620" t="s">
        <v>304</v>
      </c>
      <c r="F734" s="620" t="s">
        <v>415</v>
      </c>
      <c r="G734" s="621">
        <v>910624</v>
      </c>
      <c r="H734" s="622">
        <v>29</v>
      </c>
      <c r="I734" s="620" t="s">
        <v>299</v>
      </c>
      <c r="J734" s="622">
        <v>20</v>
      </c>
      <c r="K734" s="623">
        <v>88.003</v>
      </c>
      <c r="L734" s="695">
        <f>J734+J735</f>
        <v>220</v>
      </c>
      <c r="M734" s="697">
        <f>SUM(K734:K735)</f>
        <v>191.06100000000001</v>
      </c>
      <c r="N734" s="699">
        <f t="shared" ref="N734" si="187">+L734-M734</f>
        <v>28.938999999999993</v>
      </c>
      <c r="O734" s="605" t="e">
        <f>+((K734+K735)+(#REF!+#REF!))/L734</f>
        <v>#REF!</v>
      </c>
    </row>
    <row r="735" spans="1:15" s="513" customFormat="1" ht="10.15" customHeight="1">
      <c r="A735" s="615"/>
      <c r="B735" s="535" t="s">
        <v>339</v>
      </c>
      <c r="C735" s="624">
        <v>1528</v>
      </c>
      <c r="D735" s="625">
        <v>43578</v>
      </c>
      <c r="E735" s="626" t="s">
        <v>304</v>
      </c>
      <c r="F735" s="626" t="s">
        <v>415</v>
      </c>
      <c r="G735" s="627">
        <v>910624</v>
      </c>
      <c r="H735" s="628">
        <v>29</v>
      </c>
      <c r="I735" s="626" t="s">
        <v>300</v>
      </c>
      <c r="J735" s="628">
        <v>200</v>
      </c>
      <c r="K735" s="629">
        <v>103.05800000000001</v>
      </c>
      <c r="L735" s="696"/>
      <c r="M735" s="698"/>
      <c r="N735" s="700"/>
      <c r="O735" s="606"/>
    </row>
    <row r="736" spans="1:15" s="513" customFormat="1" ht="10.15" customHeight="1">
      <c r="A736" s="615"/>
      <c r="B736" s="535" t="s">
        <v>339</v>
      </c>
      <c r="C736" s="618">
        <v>2139</v>
      </c>
      <c r="D736" s="619">
        <v>43627</v>
      </c>
      <c r="E736" s="620" t="s">
        <v>304</v>
      </c>
      <c r="F736" s="620" t="s">
        <v>415</v>
      </c>
      <c r="G736" s="621">
        <v>910624</v>
      </c>
      <c r="H736" s="622">
        <v>29</v>
      </c>
      <c r="I736" s="620" t="s">
        <v>299</v>
      </c>
      <c r="J736" s="622">
        <v>40</v>
      </c>
      <c r="K736" s="623">
        <v>76.707999999999998</v>
      </c>
      <c r="L736" s="695">
        <f>J736+J737</f>
        <v>240</v>
      </c>
      <c r="M736" s="697">
        <f>SUM(K736:K737)</f>
        <v>122.92</v>
      </c>
      <c r="N736" s="699">
        <f t="shared" ref="N736" si="188">+L736-M736</f>
        <v>117.08</v>
      </c>
      <c r="O736" s="605" t="e">
        <f>+((K736+K737)+(#REF!+#REF!))/L736</f>
        <v>#REF!</v>
      </c>
    </row>
    <row r="737" spans="1:15" s="513" customFormat="1" ht="10.15" customHeight="1">
      <c r="A737" s="615"/>
      <c r="B737" s="535" t="s">
        <v>339</v>
      </c>
      <c r="C737" s="624">
        <v>2139</v>
      </c>
      <c r="D737" s="625">
        <v>43627</v>
      </c>
      <c r="E737" s="626" t="s">
        <v>304</v>
      </c>
      <c r="F737" s="626" t="s">
        <v>415</v>
      </c>
      <c r="G737" s="627">
        <v>910624</v>
      </c>
      <c r="H737" s="628">
        <v>29</v>
      </c>
      <c r="I737" s="626" t="s">
        <v>300</v>
      </c>
      <c r="J737" s="628">
        <v>200</v>
      </c>
      <c r="K737" s="629">
        <v>46.212000000000003</v>
      </c>
      <c r="L737" s="696"/>
      <c r="M737" s="698"/>
      <c r="N737" s="700"/>
      <c r="O737" s="606"/>
    </row>
    <row r="738" spans="1:15" s="513" customFormat="1" ht="10.15" customHeight="1">
      <c r="A738" s="615"/>
      <c r="B738" s="535" t="s">
        <v>339</v>
      </c>
      <c r="C738" s="618">
        <v>14</v>
      </c>
      <c r="D738" s="619">
        <v>43523</v>
      </c>
      <c r="E738" s="620" t="s">
        <v>303</v>
      </c>
      <c r="F738" s="620" t="s">
        <v>416</v>
      </c>
      <c r="G738" s="621">
        <v>950918</v>
      </c>
      <c r="H738" s="622">
        <v>29</v>
      </c>
      <c r="I738" s="620" t="s">
        <v>299</v>
      </c>
      <c r="J738" s="622">
        <v>14.39</v>
      </c>
      <c r="K738" s="623"/>
      <c r="L738" s="695">
        <f>J738+J739</f>
        <v>63.24</v>
      </c>
      <c r="M738" s="697">
        <f>SUM(K738:K739)</f>
        <v>0</v>
      </c>
      <c r="N738" s="699">
        <f t="shared" ref="N738" si="189">+L738-M738</f>
        <v>63.24</v>
      </c>
      <c r="O738" s="605" t="e">
        <f>+((K738+K739)+(#REF!+#REF!))/L738</f>
        <v>#REF!</v>
      </c>
    </row>
    <row r="739" spans="1:15" s="513" customFormat="1" ht="10.15" customHeight="1">
      <c r="A739" s="615"/>
      <c r="B739" s="535" t="s">
        <v>339</v>
      </c>
      <c r="C739" s="624">
        <v>14</v>
      </c>
      <c r="D739" s="625">
        <v>43523</v>
      </c>
      <c r="E739" s="626" t="s">
        <v>303</v>
      </c>
      <c r="F739" s="626" t="s">
        <v>416</v>
      </c>
      <c r="G739" s="627">
        <v>950918</v>
      </c>
      <c r="H739" s="628">
        <v>29</v>
      </c>
      <c r="I739" s="626" t="s">
        <v>300</v>
      </c>
      <c r="J739" s="628">
        <v>48.85</v>
      </c>
      <c r="K739" s="629"/>
      <c r="L739" s="696"/>
      <c r="M739" s="698"/>
      <c r="N739" s="700"/>
      <c r="O739" s="606"/>
    </row>
    <row r="740" spans="1:15" s="513" customFormat="1" ht="10.15" customHeight="1">
      <c r="A740" s="615"/>
      <c r="B740" s="535" t="s">
        <v>339</v>
      </c>
      <c r="C740" s="618">
        <v>1528</v>
      </c>
      <c r="D740" s="619">
        <v>43578</v>
      </c>
      <c r="E740" s="620" t="s">
        <v>304</v>
      </c>
      <c r="F740" s="620" t="s">
        <v>417</v>
      </c>
      <c r="G740" s="621">
        <v>954062</v>
      </c>
      <c r="H740" s="622">
        <v>29</v>
      </c>
      <c r="I740" s="620" t="s">
        <v>299</v>
      </c>
      <c r="J740" s="622">
        <v>20</v>
      </c>
      <c r="K740" s="623">
        <v>164.23099999999999</v>
      </c>
      <c r="L740" s="695">
        <f>J740+J741</f>
        <v>420</v>
      </c>
      <c r="M740" s="697">
        <f>SUM(K740:K741)</f>
        <v>420</v>
      </c>
      <c r="N740" s="699">
        <f t="shared" ref="N740" si="190">+L740-M740</f>
        <v>0</v>
      </c>
      <c r="O740" s="605" t="e">
        <f>+((K740+K741)+(#REF!+#REF!))/L740</f>
        <v>#REF!</v>
      </c>
    </row>
    <row r="741" spans="1:15" s="513" customFormat="1" ht="10.15" customHeight="1">
      <c r="A741" s="615"/>
      <c r="B741" s="535" t="s">
        <v>339</v>
      </c>
      <c r="C741" s="624">
        <v>1528</v>
      </c>
      <c r="D741" s="625">
        <v>43578</v>
      </c>
      <c r="E741" s="626" t="s">
        <v>304</v>
      </c>
      <c r="F741" s="626" t="s">
        <v>417</v>
      </c>
      <c r="G741" s="627">
        <v>954062</v>
      </c>
      <c r="H741" s="628">
        <v>29</v>
      </c>
      <c r="I741" s="626" t="s">
        <v>300</v>
      </c>
      <c r="J741" s="628">
        <v>400</v>
      </c>
      <c r="K741" s="629">
        <v>255.76900000000001</v>
      </c>
      <c r="L741" s="696"/>
      <c r="M741" s="698"/>
      <c r="N741" s="700"/>
      <c r="O741" s="606"/>
    </row>
    <row r="742" spans="1:15" s="513" customFormat="1" ht="10.15" customHeight="1">
      <c r="A742" s="615"/>
      <c r="B742" s="535" t="s">
        <v>339</v>
      </c>
      <c r="C742" s="618">
        <v>2139</v>
      </c>
      <c r="D742" s="619">
        <v>43627</v>
      </c>
      <c r="E742" s="620" t="s">
        <v>304</v>
      </c>
      <c r="F742" s="620" t="s">
        <v>417</v>
      </c>
      <c r="G742" s="621">
        <v>954062</v>
      </c>
      <c r="H742" s="622">
        <v>29</v>
      </c>
      <c r="I742" s="620" t="s">
        <v>299</v>
      </c>
      <c r="J742" s="622">
        <v>30</v>
      </c>
      <c r="K742" s="623">
        <v>156.626</v>
      </c>
      <c r="L742" s="695">
        <f>J742+J743</f>
        <v>190</v>
      </c>
      <c r="M742" s="697">
        <f>SUM(K742:K743)</f>
        <v>190</v>
      </c>
      <c r="N742" s="699">
        <f t="shared" ref="N742" si="191">+L742-M742</f>
        <v>0</v>
      </c>
      <c r="O742" s="605" t="e">
        <f>+((K742+K743)+(#REF!+#REF!))/L742</f>
        <v>#REF!</v>
      </c>
    </row>
    <row r="743" spans="1:15" s="513" customFormat="1" ht="10.15" customHeight="1">
      <c r="A743" s="615"/>
      <c r="B743" s="535" t="s">
        <v>339</v>
      </c>
      <c r="C743" s="624">
        <v>2139</v>
      </c>
      <c r="D743" s="625">
        <v>43627</v>
      </c>
      <c r="E743" s="626" t="s">
        <v>304</v>
      </c>
      <c r="F743" s="626" t="s">
        <v>417</v>
      </c>
      <c r="G743" s="627">
        <v>954062</v>
      </c>
      <c r="H743" s="628">
        <v>29</v>
      </c>
      <c r="I743" s="626" t="s">
        <v>300</v>
      </c>
      <c r="J743" s="628">
        <v>160</v>
      </c>
      <c r="K743" s="629">
        <v>33.374000000000002</v>
      </c>
      <c r="L743" s="696"/>
      <c r="M743" s="698"/>
      <c r="N743" s="700"/>
      <c r="O743" s="606"/>
    </row>
    <row r="744" spans="1:15" s="513" customFormat="1" ht="10.15" customHeight="1">
      <c r="A744" s="615"/>
      <c r="B744" s="535" t="s">
        <v>339</v>
      </c>
      <c r="C744" s="618">
        <v>1462</v>
      </c>
      <c r="D744" s="619">
        <v>43572</v>
      </c>
      <c r="E744" s="620" t="s">
        <v>304</v>
      </c>
      <c r="F744" s="620" t="s">
        <v>418</v>
      </c>
      <c r="G744" s="621">
        <v>952296</v>
      </c>
      <c r="H744" s="622">
        <v>30</v>
      </c>
      <c r="I744" s="620" t="s">
        <v>299</v>
      </c>
      <c r="J744" s="622">
        <v>157</v>
      </c>
      <c r="K744" s="623">
        <v>157</v>
      </c>
      <c r="L744" s="695">
        <f>J744+J745</f>
        <v>586</v>
      </c>
      <c r="M744" s="697">
        <f>SUM(K744:K745)</f>
        <v>572.92599999999993</v>
      </c>
      <c r="N744" s="699">
        <f t="shared" ref="N744" si="192">+L744-M744</f>
        <v>13.074000000000069</v>
      </c>
      <c r="O744" s="605" t="e">
        <f>+((K744+K745)+(#REF!+#REF!))/L744</f>
        <v>#REF!</v>
      </c>
    </row>
    <row r="745" spans="1:15" s="513" customFormat="1" ht="10.15" customHeight="1">
      <c r="A745" s="615"/>
      <c r="B745" s="535" t="s">
        <v>339</v>
      </c>
      <c r="C745" s="624">
        <v>1462</v>
      </c>
      <c r="D745" s="625">
        <v>43572</v>
      </c>
      <c r="E745" s="626" t="s">
        <v>304</v>
      </c>
      <c r="F745" s="626" t="s">
        <v>418</v>
      </c>
      <c r="G745" s="627">
        <v>952296</v>
      </c>
      <c r="H745" s="628">
        <v>30</v>
      </c>
      <c r="I745" s="626" t="s">
        <v>300</v>
      </c>
      <c r="J745" s="628">
        <v>429</v>
      </c>
      <c r="K745" s="629">
        <v>415.92599999999999</v>
      </c>
      <c r="L745" s="696"/>
      <c r="M745" s="698"/>
      <c r="N745" s="700"/>
      <c r="O745" s="606"/>
    </row>
    <row r="746" spans="1:15" s="513" customFormat="1" ht="10.15" customHeight="1">
      <c r="A746" s="615"/>
      <c r="B746" s="535" t="s">
        <v>339</v>
      </c>
      <c r="C746" s="618">
        <v>2140</v>
      </c>
      <c r="D746" s="619">
        <v>43627</v>
      </c>
      <c r="E746" s="620" t="s">
        <v>304</v>
      </c>
      <c r="F746" s="620" t="s">
        <v>418</v>
      </c>
      <c r="G746" s="621">
        <v>952296</v>
      </c>
      <c r="H746" s="622">
        <v>30</v>
      </c>
      <c r="I746" s="620" t="s">
        <v>299</v>
      </c>
      <c r="J746" s="622">
        <v>29</v>
      </c>
      <c r="K746" s="623"/>
      <c r="L746" s="695">
        <f>J746+J747</f>
        <v>77</v>
      </c>
      <c r="M746" s="697">
        <f>SUM(K746:K747)</f>
        <v>0</v>
      </c>
      <c r="N746" s="699">
        <f t="shared" ref="N746" si="193">+L746-M746</f>
        <v>77</v>
      </c>
      <c r="O746" s="605" t="e">
        <f>+((K746+K747)+(#REF!+#REF!))/L746</f>
        <v>#REF!</v>
      </c>
    </row>
    <row r="747" spans="1:15" s="513" customFormat="1" ht="10.15" customHeight="1">
      <c r="A747" s="615"/>
      <c r="B747" s="535" t="s">
        <v>339</v>
      </c>
      <c r="C747" s="624">
        <v>2140</v>
      </c>
      <c r="D747" s="625">
        <v>43627</v>
      </c>
      <c r="E747" s="626" t="s">
        <v>304</v>
      </c>
      <c r="F747" s="626" t="s">
        <v>418</v>
      </c>
      <c r="G747" s="627">
        <v>952296</v>
      </c>
      <c r="H747" s="628">
        <v>30</v>
      </c>
      <c r="I747" s="626" t="s">
        <v>300</v>
      </c>
      <c r="J747" s="628">
        <v>48</v>
      </c>
      <c r="K747" s="629"/>
      <c r="L747" s="696"/>
      <c r="M747" s="698"/>
      <c r="N747" s="700"/>
      <c r="O747" s="606"/>
    </row>
    <row r="748" spans="1:15" s="513" customFormat="1" ht="10.15" customHeight="1">
      <c r="A748" s="615"/>
      <c r="B748" s="535" t="s">
        <v>339</v>
      </c>
      <c r="C748" s="618">
        <v>24</v>
      </c>
      <c r="D748" s="619">
        <v>43532</v>
      </c>
      <c r="E748" s="620" t="s">
        <v>303</v>
      </c>
      <c r="F748" s="620" t="s">
        <v>419</v>
      </c>
      <c r="G748" s="621">
        <v>954241</v>
      </c>
      <c r="H748" s="622">
        <v>30</v>
      </c>
      <c r="I748" s="620" t="s">
        <v>299</v>
      </c>
      <c r="J748" s="622">
        <v>45</v>
      </c>
      <c r="K748" s="623">
        <v>45</v>
      </c>
      <c r="L748" s="695">
        <f>J748+J749</f>
        <v>200</v>
      </c>
      <c r="M748" s="697">
        <f>SUM(K748:K749)</f>
        <v>200</v>
      </c>
      <c r="N748" s="699">
        <f t="shared" ref="N748" si="194">+L748-M748</f>
        <v>0</v>
      </c>
      <c r="O748" s="605" t="e">
        <f>+((K748+K749)+(#REF!+#REF!))/L748</f>
        <v>#REF!</v>
      </c>
    </row>
    <row r="749" spans="1:15" s="513" customFormat="1" ht="10.15" customHeight="1">
      <c r="A749" s="615"/>
      <c r="B749" s="535" t="s">
        <v>339</v>
      </c>
      <c r="C749" s="624">
        <v>24</v>
      </c>
      <c r="D749" s="625">
        <v>43532</v>
      </c>
      <c r="E749" s="626" t="s">
        <v>303</v>
      </c>
      <c r="F749" s="626" t="s">
        <v>419</v>
      </c>
      <c r="G749" s="627">
        <v>954241</v>
      </c>
      <c r="H749" s="628">
        <v>30</v>
      </c>
      <c r="I749" s="626" t="s">
        <v>300</v>
      </c>
      <c r="J749" s="628">
        <v>155</v>
      </c>
      <c r="K749" s="629">
        <v>155</v>
      </c>
      <c r="L749" s="696"/>
      <c r="M749" s="698"/>
      <c r="N749" s="700"/>
      <c r="O749" s="606"/>
    </row>
    <row r="750" spans="1:15" s="513" customFormat="1" ht="10.15" customHeight="1">
      <c r="A750" s="615"/>
      <c r="B750" s="535" t="s">
        <v>339</v>
      </c>
      <c r="C750" s="618">
        <v>1594</v>
      </c>
      <c r="D750" s="619">
        <v>43581</v>
      </c>
      <c r="E750" s="620" t="s">
        <v>304</v>
      </c>
      <c r="F750" s="620" t="s">
        <v>419</v>
      </c>
      <c r="G750" s="621">
        <v>954241</v>
      </c>
      <c r="H750" s="622">
        <v>30</v>
      </c>
      <c r="I750" s="620" t="s">
        <v>299</v>
      </c>
      <c r="J750" s="622">
        <v>47</v>
      </c>
      <c r="K750" s="623">
        <v>125.095</v>
      </c>
      <c r="L750" s="695">
        <f>J750+J751</f>
        <v>300</v>
      </c>
      <c r="M750" s="697">
        <f>SUM(K750:K751)</f>
        <v>300</v>
      </c>
      <c r="N750" s="699">
        <f t="shared" ref="N750" si="195">+L750-M750</f>
        <v>0</v>
      </c>
      <c r="O750" s="605" t="e">
        <f>+((K750+K751)+(#REF!+#REF!))/L750</f>
        <v>#REF!</v>
      </c>
    </row>
    <row r="751" spans="1:15" s="513" customFormat="1" ht="10.15" customHeight="1">
      <c r="A751" s="615"/>
      <c r="B751" s="535" t="s">
        <v>339</v>
      </c>
      <c r="C751" s="624">
        <v>1594</v>
      </c>
      <c r="D751" s="625">
        <v>43581</v>
      </c>
      <c r="E751" s="626" t="s">
        <v>304</v>
      </c>
      <c r="F751" s="626" t="s">
        <v>419</v>
      </c>
      <c r="G751" s="627">
        <v>954241</v>
      </c>
      <c r="H751" s="628">
        <v>30</v>
      </c>
      <c r="I751" s="626" t="s">
        <v>300</v>
      </c>
      <c r="J751" s="628">
        <v>253</v>
      </c>
      <c r="K751" s="629">
        <v>174.905</v>
      </c>
      <c r="L751" s="696"/>
      <c r="M751" s="698"/>
      <c r="N751" s="700"/>
      <c r="O751" s="606"/>
    </row>
    <row r="752" spans="1:15" s="513" customFormat="1" ht="10.15" customHeight="1">
      <c r="A752" s="615"/>
      <c r="B752" s="535" t="s">
        <v>339</v>
      </c>
      <c r="C752" s="618">
        <v>97</v>
      </c>
      <c r="D752" s="619">
        <v>43614</v>
      </c>
      <c r="E752" s="620" t="s">
        <v>303</v>
      </c>
      <c r="F752" s="620" t="s">
        <v>420</v>
      </c>
      <c r="G752" s="621">
        <v>966345</v>
      </c>
      <c r="H752" s="622">
        <v>30</v>
      </c>
      <c r="I752" s="620" t="s">
        <v>299</v>
      </c>
      <c r="J752" s="622">
        <v>30.5</v>
      </c>
      <c r="K752" s="623">
        <v>25.550999999999998</v>
      </c>
      <c r="L752" s="695">
        <f>J752+J753</f>
        <v>137.5</v>
      </c>
      <c r="M752" s="697">
        <f>SUM(K752:K753)</f>
        <v>132.55099999999999</v>
      </c>
      <c r="N752" s="699">
        <f t="shared" ref="N752" si="196">+L752-M752</f>
        <v>4.9490000000000123</v>
      </c>
      <c r="O752" s="605" t="e">
        <f>+((K752+K753)+(#REF!+#REF!))/L752</f>
        <v>#REF!</v>
      </c>
    </row>
    <row r="753" spans="1:15" s="513" customFormat="1" ht="10.15" customHeight="1">
      <c r="A753" s="615"/>
      <c r="B753" s="535" t="s">
        <v>339</v>
      </c>
      <c r="C753" s="624">
        <v>97</v>
      </c>
      <c r="D753" s="625">
        <v>43614</v>
      </c>
      <c r="E753" s="626" t="s">
        <v>303</v>
      </c>
      <c r="F753" s="626" t="s">
        <v>420</v>
      </c>
      <c r="G753" s="627">
        <v>966345</v>
      </c>
      <c r="H753" s="628">
        <v>30</v>
      </c>
      <c r="I753" s="626" t="s">
        <v>300</v>
      </c>
      <c r="J753" s="628">
        <v>107</v>
      </c>
      <c r="K753" s="629">
        <v>107</v>
      </c>
      <c r="L753" s="696"/>
      <c r="M753" s="698"/>
      <c r="N753" s="700"/>
      <c r="O753" s="606"/>
    </row>
    <row r="754" spans="1:15" s="513" customFormat="1" ht="10.15" customHeight="1">
      <c r="A754" s="615"/>
      <c r="B754" s="535" t="s">
        <v>339</v>
      </c>
      <c r="C754" s="618">
        <v>1594</v>
      </c>
      <c r="D754" s="619">
        <v>43581</v>
      </c>
      <c r="E754" s="620" t="s">
        <v>304</v>
      </c>
      <c r="F754" s="620" t="s">
        <v>420</v>
      </c>
      <c r="G754" s="621">
        <v>966345</v>
      </c>
      <c r="H754" s="622">
        <v>30</v>
      </c>
      <c r="I754" s="620" t="s">
        <v>299</v>
      </c>
      <c r="J754" s="622">
        <v>47</v>
      </c>
      <c r="K754" s="623">
        <v>120</v>
      </c>
      <c r="L754" s="695">
        <f>J754+J755</f>
        <v>300</v>
      </c>
      <c r="M754" s="697">
        <f>SUM(K754:K755)</f>
        <v>300</v>
      </c>
      <c r="N754" s="699">
        <f t="shared" ref="N754" si="197">+L754-M754</f>
        <v>0</v>
      </c>
      <c r="O754" s="605" t="e">
        <f>+((K754+K755)+(#REF!+#REF!))/L754</f>
        <v>#REF!</v>
      </c>
    </row>
    <row r="755" spans="1:15" s="513" customFormat="1" ht="10.15" customHeight="1">
      <c r="A755" s="615"/>
      <c r="B755" s="535" t="s">
        <v>339</v>
      </c>
      <c r="C755" s="624">
        <v>1594</v>
      </c>
      <c r="D755" s="625">
        <v>43581</v>
      </c>
      <c r="E755" s="626" t="s">
        <v>304</v>
      </c>
      <c r="F755" s="626" t="s">
        <v>420</v>
      </c>
      <c r="G755" s="627">
        <v>966345</v>
      </c>
      <c r="H755" s="628">
        <v>30</v>
      </c>
      <c r="I755" s="626" t="s">
        <v>300</v>
      </c>
      <c r="J755" s="628">
        <v>253</v>
      </c>
      <c r="K755" s="629">
        <v>180</v>
      </c>
      <c r="L755" s="696"/>
      <c r="M755" s="698"/>
      <c r="N755" s="700"/>
      <c r="O755" s="606"/>
    </row>
    <row r="756" spans="1:15" s="513" customFormat="1" ht="10.15" customHeight="1">
      <c r="A756" s="615"/>
      <c r="B756" s="535" t="s">
        <v>339</v>
      </c>
      <c r="C756" s="618">
        <v>1462</v>
      </c>
      <c r="D756" s="619">
        <v>43572</v>
      </c>
      <c r="E756" s="620" t="s">
        <v>304</v>
      </c>
      <c r="F756" s="620" t="s">
        <v>421</v>
      </c>
      <c r="G756" s="621">
        <v>967435</v>
      </c>
      <c r="H756" s="622">
        <v>30</v>
      </c>
      <c r="I756" s="620" t="s">
        <v>299</v>
      </c>
      <c r="J756" s="622">
        <v>158</v>
      </c>
      <c r="K756" s="623">
        <v>290.61599999999999</v>
      </c>
      <c r="L756" s="695">
        <f>J756+J757</f>
        <v>587</v>
      </c>
      <c r="M756" s="697">
        <f>SUM(K756:K757)</f>
        <v>456.09</v>
      </c>
      <c r="N756" s="699">
        <f t="shared" ref="N756" si="198">+L756-M756</f>
        <v>130.91000000000003</v>
      </c>
      <c r="O756" s="605" t="e">
        <f>+((K756+K757)+(#REF!+#REF!))/L756</f>
        <v>#REF!</v>
      </c>
    </row>
    <row r="757" spans="1:15" s="513" customFormat="1" ht="10.15" customHeight="1">
      <c r="A757" s="615"/>
      <c r="B757" s="535" t="s">
        <v>339</v>
      </c>
      <c r="C757" s="624">
        <v>1462</v>
      </c>
      <c r="D757" s="625">
        <v>43572</v>
      </c>
      <c r="E757" s="626" t="s">
        <v>304</v>
      </c>
      <c r="F757" s="626" t="s">
        <v>421</v>
      </c>
      <c r="G757" s="627">
        <v>967435</v>
      </c>
      <c r="H757" s="628">
        <v>30</v>
      </c>
      <c r="I757" s="626" t="s">
        <v>300</v>
      </c>
      <c r="J757" s="628">
        <v>429</v>
      </c>
      <c r="K757" s="629">
        <v>165.47399999999999</v>
      </c>
      <c r="L757" s="696"/>
      <c r="M757" s="698"/>
      <c r="N757" s="700"/>
      <c r="O757" s="606"/>
    </row>
    <row r="758" spans="1:15" s="513" customFormat="1" ht="10.15" customHeight="1">
      <c r="A758" s="615"/>
      <c r="B758" s="535" t="s">
        <v>339</v>
      </c>
      <c r="C758" s="618">
        <v>2140</v>
      </c>
      <c r="D758" s="619">
        <v>43627</v>
      </c>
      <c r="E758" s="620" t="s">
        <v>304</v>
      </c>
      <c r="F758" s="620" t="s">
        <v>421</v>
      </c>
      <c r="G758" s="621">
        <v>967435</v>
      </c>
      <c r="H758" s="622">
        <v>30</v>
      </c>
      <c r="I758" s="620" t="s">
        <v>299</v>
      </c>
      <c r="J758" s="622">
        <v>29</v>
      </c>
      <c r="K758" s="623"/>
      <c r="L758" s="695">
        <f>J758+J759</f>
        <v>75</v>
      </c>
      <c r="M758" s="697">
        <f>SUM(K758:K759)</f>
        <v>0</v>
      </c>
      <c r="N758" s="699">
        <f t="shared" ref="N758" si="199">+L758-M758</f>
        <v>75</v>
      </c>
      <c r="O758" s="605" t="e">
        <f>+((K758+K759)+(#REF!+#REF!))/L758</f>
        <v>#REF!</v>
      </c>
    </row>
    <row r="759" spans="1:15" s="513" customFormat="1" ht="10.15" customHeight="1">
      <c r="A759" s="615"/>
      <c r="B759" s="535" t="s">
        <v>339</v>
      </c>
      <c r="C759" s="624">
        <v>2140</v>
      </c>
      <c r="D759" s="625">
        <v>43627</v>
      </c>
      <c r="E759" s="626" t="s">
        <v>304</v>
      </c>
      <c r="F759" s="626" t="s">
        <v>421</v>
      </c>
      <c r="G759" s="627">
        <v>967435</v>
      </c>
      <c r="H759" s="628">
        <v>30</v>
      </c>
      <c r="I759" s="626" t="s">
        <v>300</v>
      </c>
      <c r="J759" s="628">
        <v>46</v>
      </c>
      <c r="K759" s="629"/>
      <c r="L759" s="696"/>
      <c r="M759" s="698"/>
      <c r="N759" s="700"/>
      <c r="O759" s="606"/>
    </row>
    <row r="760" spans="1:15" s="513" customFormat="1" ht="10.15" customHeight="1">
      <c r="A760" s="615"/>
      <c r="B760" s="535" t="s">
        <v>339</v>
      </c>
      <c r="C760" s="618">
        <v>795</v>
      </c>
      <c r="D760" s="619">
        <v>43524</v>
      </c>
      <c r="E760" s="620" t="s">
        <v>304</v>
      </c>
      <c r="F760" s="620" t="s">
        <v>422</v>
      </c>
      <c r="G760" s="621">
        <v>956236</v>
      </c>
      <c r="H760" s="622">
        <v>33</v>
      </c>
      <c r="I760" s="620" t="s">
        <v>299</v>
      </c>
      <c r="J760" s="622">
        <v>10</v>
      </c>
      <c r="K760" s="623">
        <v>10</v>
      </c>
      <c r="L760" s="695">
        <f>J760+J761</f>
        <v>36</v>
      </c>
      <c r="M760" s="697">
        <f>SUM(K760:K761)</f>
        <v>36</v>
      </c>
      <c r="N760" s="699">
        <f t="shared" ref="N760" si="200">+L760-M760</f>
        <v>0</v>
      </c>
      <c r="O760" s="605" t="e">
        <f>+((K760+K761)+(#REF!+#REF!))/L760</f>
        <v>#REF!</v>
      </c>
    </row>
    <row r="761" spans="1:15" s="513" customFormat="1" ht="10.15" customHeight="1">
      <c r="A761" s="615"/>
      <c r="B761" s="535" t="s">
        <v>339</v>
      </c>
      <c r="C761" s="624">
        <v>795</v>
      </c>
      <c r="D761" s="625">
        <v>43524</v>
      </c>
      <c r="E761" s="626" t="s">
        <v>304</v>
      </c>
      <c r="F761" s="626" t="s">
        <v>422</v>
      </c>
      <c r="G761" s="627">
        <v>956236</v>
      </c>
      <c r="H761" s="628">
        <v>33</v>
      </c>
      <c r="I761" s="626" t="s">
        <v>300</v>
      </c>
      <c r="J761" s="628">
        <v>26</v>
      </c>
      <c r="K761" s="629">
        <v>26</v>
      </c>
      <c r="L761" s="696"/>
      <c r="M761" s="698"/>
      <c r="N761" s="700"/>
      <c r="O761" s="606"/>
    </row>
    <row r="762" spans="1:15" s="513" customFormat="1" ht="10.15" customHeight="1">
      <c r="A762" s="615"/>
      <c r="B762" s="535" t="s">
        <v>339</v>
      </c>
      <c r="C762" s="618">
        <v>795</v>
      </c>
      <c r="D762" s="619">
        <v>43524</v>
      </c>
      <c r="E762" s="620" t="s">
        <v>304</v>
      </c>
      <c r="F762" s="620" t="s">
        <v>423</v>
      </c>
      <c r="G762" s="621">
        <v>964451</v>
      </c>
      <c r="H762" s="622">
        <v>33</v>
      </c>
      <c r="I762" s="620" t="s">
        <v>299</v>
      </c>
      <c r="J762" s="622">
        <v>10</v>
      </c>
      <c r="K762" s="623">
        <v>6.9660000000000002</v>
      </c>
      <c r="L762" s="695">
        <f>J762+J763</f>
        <v>37</v>
      </c>
      <c r="M762" s="697">
        <f>SUM(K762:K763)</f>
        <v>37</v>
      </c>
      <c r="N762" s="699">
        <f t="shared" ref="N762" si="201">+L762-M762</f>
        <v>0</v>
      </c>
      <c r="O762" s="607" t="e">
        <f>+((K762+K763)+(#REF!+#REF!))/L762</f>
        <v>#REF!</v>
      </c>
    </row>
    <row r="763" spans="1:15" s="513" customFormat="1" ht="10.15" customHeight="1">
      <c r="A763" s="615"/>
      <c r="B763" s="535" t="s">
        <v>339</v>
      </c>
      <c r="C763" s="624">
        <v>795</v>
      </c>
      <c r="D763" s="625">
        <v>43524</v>
      </c>
      <c r="E763" s="626" t="s">
        <v>304</v>
      </c>
      <c r="F763" s="626" t="s">
        <v>423</v>
      </c>
      <c r="G763" s="627">
        <v>964451</v>
      </c>
      <c r="H763" s="628">
        <v>33</v>
      </c>
      <c r="I763" s="626" t="s">
        <v>300</v>
      </c>
      <c r="J763" s="628">
        <v>27</v>
      </c>
      <c r="K763" s="629">
        <v>30.033999999999999</v>
      </c>
      <c r="L763" s="696"/>
      <c r="M763" s="698"/>
      <c r="N763" s="700"/>
      <c r="O763" s="608"/>
    </row>
    <row r="764" spans="1:15" s="513" customFormat="1" ht="10.15" customHeight="1">
      <c r="A764" s="615"/>
      <c r="B764" s="535" t="s">
        <v>339</v>
      </c>
      <c r="C764" s="618">
        <v>1462</v>
      </c>
      <c r="D764" s="619">
        <v>43572</v>
      </c>
      <c r="E764" s="620" t="s">
        <v>304</v>
      </c>
      <c r="F764" s="620" t="s">
        <v>424</v>
      </c>
      <c r="G764" s="621">
        <v>966129</v>
      </c>
      <c r="H764" s="622">
        <v>33</v>
      </c>
      <c r="I764" s="620" t="s">
        <v>299</v>
      </c>
      <c r="J764" s="622">
        <v>143</v>
      </c>
      <c r="K764" s="623">
        <v>65.962000000000003</v>
      </c>
      <c r="L764" s="695">
        <f>J764+J765</f>
        <v>530</v>
      </c>
      <c r="M764" s="697">
        <f>SUM(K764:K765)</f>
        <v>266.46600000000001</v>
      </c>
      <c r="N764" s="699">
        <f t="shared" ref="N764" si="202">+L764-M764</f>
        <v>263.53399999999999</v>
      </c>
      <c r="O764" s="607" t="e">
        <f>+((K764+K765)+(#REF!+#REF!))/L764</f>
        <v>#REF!</v>
      </c>
    </row>
    <row r="765" spans="1:15" s="513" customFormat="1" ht="10.15" customHeight="1">
      <c r="A765" s="615"/>
      <c r="B765" s="535" t="s">
        <v>339</v>
      </c>
      <c r="C765" s="624">
        <v>1462</v>
      </c>
      <c r="D765" s="625">
        <v>43572</v>
      </c>
      <c r="E765" s="626" t="s">
        <v>304</v>
      </c>
      <c r="F765" s="626" t="s">
        <v>424</v>
      </c>
      <c r="G765" s="627">
        <v>966129</v>
      </c>
      <c r="H765" s="628">
        <v>33</v>
      </c>
      <c r="I765" s="626" t="s">
        <v>300</v>
      </c>
      <c r="J765" s="628">
        <v>387</v>
      </c>
      <c r="K765" s="629">
        <v>200.50399999999999</v>
      </c>
      <c r="L765" s="696"/>
      <c r="M765" s="698"/>
      <c r="N765" s="700"/>
      <c r="O765" s="608"/>
    </row>
    <row r="766" spans="1:15" s="513" customFormat="1" ht="10.15" customHeight="1">
      <c r="A766" s="615"/>
      <c r="B766" s="535" t="s">
        <v>339</v>
      </c>
      <c r="C766" s="618">
        <v>2053</v>
      </c>
      <c r="D766" s="619">
        <v>43613</v>
      </c>
      <c r="E766" s="620" t="s">
        <v>304</v>
      </c>
      <c r="F766" s="620" t="s">
        <v>534</v>
      </c>
      <c r="G766" s="621">
        <v>951259</v>
      </c>
      <c r="H766" s="622">
        <v>34</v>
      </c>
      <c r="I766" s="620" t="s">
        <v>299</v>
      </c>
      <c r="J766" s="622">
        <v>20</v>
      </c>
      <c r="K766" s="623">
        <v>65.03</v>
      </c>
      <c r="L766" s="695">
        <f>J766+J767</f>
        <v>220</v>
      </c>
      <c r="M766" s="697">
        <f>SUM(K766:K767)</f>
        <v>70.64</v>
      </c>
      <c r="N766" s="699">
        <f t="shared" ref="N766" si="203">+L766-M766</f>
        <v>149.36000000000001</v>
      </c>
      <c r="O766" s="607" t="e">
        <f>+((K766+K767)+(#REF!+#REF!))/L766</f>
        <v>#REF!</v>
      </c>
    </row>
    <row r="767" spans="1:15" s="513" customFormat="1" ht="10.15" customHeight="1">
      <c r="A767" s="615"/>
      <c r="B767" s="535" t="s">
        <v>339</v>
      </c>
      <c r="C767" s="624">
        <v>2053</v>
      </c>
      <c r="D767" s="625">
        <v>43613</v>
      </c>
      <c r="E767" s="626" t="s">
        <v>304</v>
      </c>
      <c r="F767" s="626" t="s">
        <v>534</v>
      </c>
      <c r="G767" s="627">
        <v>951259</v>
      </c>
      <c r="H767" s="628">
        <v>34</v>
      </c>
      <c r="I767" s="626" t="s">
        <v>300</v>
      </c>
      <c r="J767" s="628">
        <v>200</v>
      </c>
      <c r="K767" s="629">
        <v>5.61</v>
      </c>
      <c r="L767" s="696"/>
      <c r="M767" s="698"/>
      <c r="N767" s="700"/>
      <c r="O767" s="608"/>
    </row>
    <row r="768" spans="1:15" s="513" customFormat="1" ht="10.15" customHeight="1">
      <c r="A768" s="615"/>
      <c r="B768" s="535" t="s">
        <v>339</v>
      </c>
      <c r="C768" s="618">
        <v>1594</v>
      </c>
      <c r="D768" s="619">
        <v>43581</v>
      </c>
      <c r="E768" s="620" t="s">
        <v>304</v>
      </c>
      <c r="F768" s="620" t="s">
        <v>425</v>
      </c>
      <c r="G768" s="621">
        <v>922993</v>
      </c>
      <c r="H768" s="622">
        <v>35</v>
      </c>
      <c r="I768" s="620" t="s">
        <v>299</v>
      </c>
      <c r="J768" s="622">
        <v>109</v>
      </c>
      <c r="K768" s="623">
        <v>179.37899999999999</v>
      </c>
      <c r="L768" s="695">
        <f>J768+J769</f>
        <v>700</v>
      </c>
      <c r="M768" s="697">
        <f>SUM(K768:K769)</f>
        <v>458.029</v>
      </c>
      <c r="N768" s="699">
        <f t="shared" ref="N768" si="204">+L768-M768</f>
        <v>241.971</v>
      </c>
      <c r="O768" s="607" t="e">
        <f>+((K768+K769)+(#REF!+#REF!))/L768</f>
        <v>#REF!</v>
      </c>
    </row>
    <row r="769" spans="1:15" s="513" customFormat="1" ht="10.15" customHeight="1">
      <c r="A769" s="615"/>
      <c r="B769" s="535" t="s">
        <v>339</v>
      </c>
      <c r="C769" s="624">
        <v>1594</v>
      </c>
      <c r="D769" s="625">
        <v>43581</v>
      </c>
      <c r="E769" s="626" t="s">
        <v>304</v>
      </c>
      <c r="F769" s="626" t="s">
        <v>425</v>
      </c>
      <c r="G769" s="627">
        <v>922993</v>
      </c>
      <c r="H769" s="628">
        <v>35</v>
      </c>
      <c r="I769" s="626" t="s">
        <v>300</v>
      </c>
      <c r="J769" s="628">
        <v>591</v>
      </c>
      <c r="K769" s="629">
        <v>278.64999999999998</v>
      </c>
      <c r="L769" s="696"/>
      <c r="M769" s="698"/>
      <c r="N769" s="700"/>
      <c r="O769" s="608"/>
    </row>
    <row r="770" spans="1:15" s="513" customFormat="1" ht="10.15" customHeight="1">
      <c r="A770" s="615"/>
      <c r="B770" s="535" t="s">
        <v>339</v>
      </c>
      <c r="C770" s="618">
        <v>1594</v>
      </c>
      <c r="D770" s="619">
        <v>43581</v>
      </c>
      <c r="E770" s="620" t="s">
        <v>304</v>
      </c>
      <c r="F770" s="620" t="s">
        <v>426</v>
      </c>
      <c r="G770" s="621">
        <v>960545</v>
      </c>
      <c r="H770" s="622">
        <v>35</v>
      </c>
      <c r="I770" s="620" t="s">
        <v>299</v>
      </c>
      <c r="J770" s="622">
        <v>109</v>
      </c>
      <c r="K770" s="623">
        <v>148.483</v>
      </c>
      <c r="L770" s="695">
        <f>J770+J771</f>
        <v>700</v>
      </c>
      <c r="M770" s="697">
        <f>SUM(K770:K771)</f>
        <v>277.81299999999999</v>
      </c>
      <c r="N770" s="699">
        <f t="shared" ref="N770" si="205">+L770-M770</f>
        <v>422.18700000000001</v>
      </c>
      <c r="O770" s="607" t="e">
        <f>+((K770+K771)+(#REF!+#REF!))/L770</f>
        <v>#REF!</v>
      </c>
    </row>
    <row r="771" spans="1:15" s="513" customFormat="1" ht="10.15" customHeight="1">
      <c r="A771" s="615"/>
      <c r="B771" s="535" t="s">
        <v>339</v>
      </c>
      <c r="C771" s="624">
        <v>1594</v>
      </c>
      <c r="D771" s="625">
        <v>43581</v>
      </c>
      <c r="E771" s="626" t="s">
        <v>304</v>
      </c>
      <c r="F771" s="626" t="s">
        <v>426</v>
      </c>
      <c r="G771" s="627">
        <v>960545</v>
      </c>
      <c r="H771" s="628">
        <v>35</v>
      </c>
      <c r="I771" s="626" t="s">
        <v>300</v>
      </c>
      <c r="J771" s="628">
        <v>591</v>
      </c>
      <c r="K771" s="629">
        <v>129.33000000000001</v>
      </c>
      <c r="L771" s="696"/>
      <c r="M771" s="698"/>
      <c r="N771" s="700"/>
      <c r="O771" s="608"/>
    </row>
    <row r="772" spans="1:15" s="513" customFormat="1" ht="10.15" customHeight="1">
      <c r="A772" s="615"/>
      <c r="B772" s="535" t="s">
        <v>339</v>
      </c>
      <c r="C772" s="618">
        <v>1594</v>
      </c>
      <c r="D772" s="619">
        <v>43581</v>
      </c>
      <c r="E772" s="620" t="s">
        <v>304</v>
      </c>
      <c r="F772" s="620" t="s">
        <v>427</v>
      </c>
      <c r="G772" s="621">
        <v>960658</v>
      </c>
      <c r="H772" s="622">
        <v>35</v>
      </c>
      <c r="I772" s="620" t="s">
        <v>299</v>
      </c>
      <c r="J772" s="622">
        <v>39</v>
      </c>
      <c r="K772" s="623">
        <v>65.100999999999999</v>
      </c>
      <c r="L772" s="695">
        <f>J772+J773</f>
        <v>250</v>
      </c>
      <c r="M772" s="697">
        <f>SUM(K772:K773)</f>
        <v>144.34</v>
      </c>
      <c r="N772" s="699">
        <f t="shared" ref="N772" si="206">+L772-M772</f>
        <v>105.66</v>
      </c>
      <c r="O772" s="607" t="e">
        <f>+((K772+K773)+(#REF!+#REF!))/L772</f>
        <v>#REF!</v>
      </c>
    </row>
    <row r="773" spans="1:15" s="513" customFormat="1" ht="10.15" customHeight="1">
      <c r="A773" s="615"/>
      <c r="B773" s="535" t="s">
        <v>339</v>
      </c>
      <c r="C773" s="624">
        <v>1594</v>
      </c>
      <c r="D773" s="625">
        <v>43581</v>
      </c>
      <c r="E773" s="626" t="s">
        <v>304</v>
      </c>
      <c r="F773" s="626" t="s">
        <v>427</v>
      </c>
      <c r="G773" s="627">
        <v>960658</v>
      </c>
      <c r="H773" s="628">
        <v>35</v>
      </c>
      <c r="I773" s="626" t="s">
        <v>300</v>
      </c>
      <c r="J773" s="628">
        <v>211</v>
      </c>
      <c r="K773" s="629">
        <v>79.239000000000004</v>
      </c>
      <c r="L773" s="696"/>
      <c r="M773" s="698"/>
      <c r="N773" s="700"/>
      <c r="O773" s="608"/>
    </row>
    <row r="774" spans="1:15" s="513" customFormat="1" ht="10.15" customHeight="1">
      <c r="A774" s="615"/>
      <c r="B774" s="535" t="s">
        <v>339</v>
      </c>
      <c r="C774" s="618">
        <v>2201</v>
      </c>
      <c r="D774" s="619">
        <v>43635</v>
      </c>
      <c r="E774" s="620" t="s">
        <v>304</v>
      </c>
      <c r="F774" s="620" t="s">
        <v>427</v>
      </c>
      <c r="G774" s="621">
        <v>960658</v>
      </c>
      <c r="H774" s="622">
        <v>35</v>
      </c>
      <c r="I774" s="620" t="s">
        <v>299</v>
      </c>
      <c r="J774" s="622">
        <v>163</v>
      </c>
      <c r="K774" s="623">
        <v>70.777000000000001</v>
      </c>
      <c r="L774" s="695">
        <f>J774+J775</f>
        <v>200</v>
      </c>
      <c r="M774" s="697">
        <f>SUM(K774:K775)</f>
        <v>94.664000000000001</v>
      </c>
      <c r="N774" s="699">
        <f t="shared" ref="N774" si="207">+L774-M774</f>
        <v>105.336</v>
      </c>
      <c r="O774" s="607" t="e">
        <f>+((K774+K775)+(#REF!+#REF!))/L774</f>
        <v>#REF!</v>
      </c>
    </row>
    <row r="775" spans="1:15" s="513" customFormat="1" ht="10.15" customHeight="1">
      <c r="A775" s="615"/>
      <c r="B775" s="535" t="s">
        <v>339</v>
      </c>
      <c r="C775" s="624">
        <v>2201</v>
      </c>
      <c r="D775" s="625">
        <v>43635</v>
      </c>
      <c r="E775" s="626" t="s">
        <v>304</v>
      </c>
      <c r="F775" s="626" t="s">
        <v>427</v>
      </c>
      <c r="G775" s="627">
        <v>960658</v>
      </c>
      <c r="H775" s="628">
        <v>35</v>
      </c>
      <c r="I775" s="626" t="s">
        <v>300</v>
      </c>
      <c r="J775" s="628">
        <v>37</v>
      </c>
      <c r="K775" s="629">
        <v>23.887</v>
      </c>
      <c r="L775" s="696"/>
      <c r="M775" s="698"/>
      <c r="N775" s="700"/>
      <c r="O775" s="608"/>
    </row>
    <row r="776" spans="1:15" s="513" customFormat="1" ht="10.15" customHeight="1">
      <c r="A776" s="615"/>
      <c r="B776" s="535" t="s">
        <v>339</v>
      </c>
      <c r="C776" s="618">
        <v>2053</v>
      </c>
      <c r="D776" s="619">
        <v>43613</v>
      </c>
      <c r="E776" s="620" t="s">
        <v>304</v>
      </c>
      <c r="F776" s="620" t="s">
        <v>535</v>
      </c>
      <c r="G776" s="621">
        <v>953085</v>
      </c>
      <c r="H776" s="622">
        <v>36</v>
      </c>
      <c r="I776" s="620" t="s">
        <v>299</v>
      </c>
      <c r="J776" s="622">
        <v>10</v>
      </c>
      <c r="K776" s="623"/>
      <c r="L776" s="695">
        <f>J776+J777</f>
        <v>110</v>
      </c>
      <c r="M776" s="697">
        <f>SUM(K776:K777)</f>
        <v>0</v>
      </c>
      <c r="N776" s="699">
        <f t="shared" ref="N776" si="208">+L776-M776</f>
        <v>110</v>
      </c>
      <c r="O776" s="607" t="e">
        <f>+((K776+K777)+(#REF!+#REF!))/L776</f>
        <v>#REF!</v>
      </c>
    </row>
    <row r="777" spans="1:15" s="513" customFormat="1" ht="10.15" customHeight="1">
      <c r="A777" s="615"/>
      <c r="B777" s="535" t="s">
        <v>339</v>
      </c>
      <c r="C777" s="624">
        <v>2053</v>
      </c>
      <c r="D777" s="625">
        <v>43613</v>
      </c>
      <c r="E777" s="626" t="s">
        <v>304</v>
      </c>
      <c r="F777" s="626" t="s">
        <v>535</v>
      </c>
      <c r="G777" s="627">
        <v>953085</v>
      </c>
      <c r="H777" s="628">
        <v>36</v>
      </c>
      <c r="I777" s="626" t="s">
        <v>300</v>
      </c>
      <c r="J777" s="628">
        <v>100</v>
      </c>
      <c r="K777" s="629"/>
      <c r="L777" s="696"/>
      <c r="M777" s="698"/>
      <c r="N777" s="700"/>
      <c r="O777" s="608"/>
    </row>
    <row r="778" spans="1:15" s="513" customFormat="1" ht="10.15" customHeight="1">
      <c r="A778" s="615"/>
      <c r="B778" s="535" t="s">
        <v>339</v>
      </c>
      <c r="C778" s="618">
        <v>794</v>
      </c>
      <c r="D778" s="619">
        <v>43516</v>
      </c>
      <c r="E778" s="620" t="s">
        <v>304</v>
      </c>
      <c r="F778" s="620" t="s">
        <v>428</v>
      </c>
      <c r="G778" s="621">
        <v>954711</v>
      </c>
      <c r="H778" s="622">
        <v>36</v>
      </c>
      <c r="I778" s="620" t="s">
        <v>299</v>
      </c>
      <c r="J778" s="622">
        <v>10</v>
      </c>
      <c r="K778" s="623"/>
      <c r="L778" s="695">
        <f>J778+J779</f>
        <v>110</v>
      </c>
      <c r="M778" s="697">
        <f>SUM(K778:K779)</f>
        <v>83.204999999999998</v>
      </c>
      <c r="N778" s="699">
        <f t="shared" ref="N778" si="209">+L778-M778</f>
        <v>26.795000000000002</v>
      </c>
      <c r="O778" s="607" t="e">
        <f>+((K778+K779)+(#REF!+#REF!))/L778</f>
        <v>#REF!</v>
      </c>
    </row>
    <row r="779" spans="1:15" s="513" customFormat="1" ht="10.15" customHeight="1">
      <c r="A779" s="615"/>
      <c r="B779" s="535" t="s">
        <v>339</v>
      </c>
      <c r="C779" s="624">
        <v>794</v>
      </c>
      <c r="D779" s="625">
        <v>43516</v>
      </c>
      <c r="E779" s="626" t="s">
        <v>304</v>
      </c>
      <c r="F779" s="626" t="s">
        <v>428</v>
      </c>
      <c r="G779" s="627">
        <v>954711</v>
      </c>
      <c r="H779" s="628">
        <v>36</v>
      </c>
      <c r="I779" s="626" t="s">
        <v>300</v>
      </c>
      <c r="J779" s="628">
        <v>100</v>
      </c>
      <c r="K779" s="629">
        <v>83.204999999999998</v>
      </c>
      <c r="L779" s="696"/>
      <c r="M779" s="698"/>
      <c r="N779" s="700"/>
      <c r="O779" s="608"/>
    </row>
    <row r="780" spans="1:15" s="513" customFormat="1" ht="10.15" customHeight="1">
      <c r="A780" s="615"/>
      <c r="B780" s="535" t="s">
        <v>339</v>
      </c>
      <c r="C780" s="618">
        <v>76</v>
      </c>
      <c r="D780" s="619">
        <v>43601</v>
      </c>
      <c r="E780" s="620" t="s">
        <v>303</v>
      </c>
      <c r="F780" s="620" t="s">
        <v>429</v>
      </c>
      <c r="G780" s="621">
        <v>955486</v>
      </c>
      <c r="H780" s="622">
        <v>36</v>
      </c>
      <c r="I780" s="620" t="s">
        <v>299</v>
      </c>
      <c r="J780" s="622">
        <v>30</v>
      </c>
      <c r="K780" s="623"/>
      <c r="L780" s="695">
        <f>J780+J781</f>
        <v>92</v>
      </c>
      <c r="M780" s="697">
        <f>SUM(K780:K781)</f>
        <v>0</v>
      </c>
      <c r="N780" s="699">
        <f t="shared" ref="N780" si="210">+L780-M780</f>
        <v>92</v>
      </c>
      <c r="O780" s="607" t="e">
        <f>+((K780+K781)+(#REF!+#REF!))/L780</f>
        <v>#REF!</v>
      </c>
    </row>
    <row r="781" spans="1:15" s="513" customFormat="1" ht="10.15" customHeight="1">
      <c r="A781" s="615"/>
      <c r="B781" s="535" t="s">
        <v>339</v>
      </c>
      <c r="C781" s="624">
        <v>76</v>
      </c>
      <c r="D781" s="625">
        <v>43601</v>
      </c>
      <c r="E781" s="626" t="s">
        <v>303</v>
      </c>
      <c r="F781" s="626" t="s">
        <v>429</v>
      </c>
      <c r="G781" s="627">
        <v>955486</v>
      </c>
      <c r="H781" s="628">
        <v>36</v>
      </c>
      <c r="I781" s="626" t="s">
        <v>300</v>
      </c>
      <c r="J781" s="628">
        <v>62</v>
      </c>
      <c r="K781" s="629"/>
      <c r="L781" s="696"/>
      <c r="M781" s="698"/>
      <c r="N781" s="700"/>
      <c r="O781" s="608"/>
    </row>
    <row r="782" spans="1:15" s="513" customFormat="1" ht="10.15" customHeight="1">
      <c r="A782" s="615"/>
      <c r="B782" s="535" t="s">
        <v>339</v>
      </c>
      <c r="C782" s="618">
        <v>847</v>
      </c>
      <c r="D782" s="619">
        <v>43530</v>
      </c>
      <c r="E782" s="620" t="s">
        <v>304</v>
      </c>
      <c r="F782" s="620" t="s">
        <v>429</v>
      </c>
      <c r="G782" s="621">
        <v>955486</v>
      </c>
      <c r="H782" s="622">
        <v>36</v>
      </c>
      <c r="I782" s="620" t="s">
        <v>299</v>
      </c>
      <c r="J782" s="622">
        <v>20</v>
      </c>
      <c r="K782" s="623">
        <v>11.871</v>
      </c>
      <c r="L782" s="695">
        <f>J782+J783</f>
        <v>130</v>
      </c>
      <c r="M782" s="697">
        <f>SUM(K782:K783)</f>
        <v>130</v>
      </c>
      <c r="N782" s="699">
        <f t="shared" ref="N782" si="211">+L782-M782</f>
        <v>0</v>
      </c>
      <c r="O782" s="607" t="e">
        <f>+((K782+K783)+(#REF!+#REF!))/L782</f>
        <v>#REF!</v>
      </c>
    </row>
    <row r="783" spans="1:15" s="513" customFormat="1" ht="10.15" customHeight="1">
      <c r="A783" s="615"/>
      <c r="B783" s="535" t="s">
        <v>339</v>
      </c>
      <c r="C783" s="624">
        <v>847</v>
      </c>
      <c r="D783" s="625">
        <v>43530</v>
      </c>
      <c r="E783" s="626" t="s">
        <v>304</v>
      </c>
      <c r="F783" s="626" t="s">
        <v>429</v>
      </c>
      <c r="G783" s="627">
        <v>955486</v>
      </c>
      <c r="H783" s="628">
        <v>36</v>
      </c>
      <c r="I783" s="626" t="s">
        <v>300</v>
      </c>
      <c r="J783" s="628">
        <v>110</v>
      </c>
      <c r="K783" s="629">
        <v>118.129</v>
      </c>
      <c r="L783" s="696"/>
      <c r="M783" s="698"/>
      <c r="N783" s="700"/>
      <c r="O783" s="608"/>
    </row>
    <row r="784" spans="1:15" s="513" customFormat="1" ht="10.15" customHeight="1">
      <c r="A784" s="615"/>
      <c r="B784" s="535" t="s">
        <v>339</v>
      </c>
      <c r="C784" s="618">
        <v>2053</v>
      </c>
      <c r="D784" s="619">
        <v>43613</v>
      </c>
      <c r="E784" s="620" t="s">
        <v>304</v>
      </c>
      <c r="F784" s="620" t="s">
        <v>429</v>
      </c>
      <c r="G784" s="621">
        <v>955486</v>
      </c>
      <c r="H784" s="622">
        <v>36</v>
      </c>
      <c r="I784" s="620" t="s">
        <v>299</v>
      </c>
      <c r="J784" s="622">
        <v>10</v>
      </c>
      <c r="K784" s="623">
        <v>58.097000000000001</v>
      </c>
      <c r="L784" s="695">
        <f>J784+J785</f>
        <v>150</v>
      </c>
      <c r="M784" s="697">
        <f>SUM(K784:K785)</f>
        <v>150</v>
      </c>
      <c r="N784" s="699">
        <f t="shared" ref="N784" si="212">+L784-M784</f>
        <v>0</v>
      </c>
      <c r="O784" s="607" t="e">
        <f>+((K784+K785)+(#REF!+#REF!))/L784</f>
        <v>#REF!</v>
      </c>
    </row>
    <row r="785" spans="1:15" s="513" customFormat="1" ht="10.15" customHeight="1">
      <c r="A785" s="615"/>
      <c r="B785" s="535" t="s">
        <v>339</v>
      </c>
      <c r="C785" s="624">
        <v>2053</v>
      </c>
      <c r="D785" s="625">
        <v>43613</v>
      </c>
      <c r="E785" s="626" t="s">
        <v>304</v>
      </c>
      <c r="F785" s="626" t="s">
        <v>429</v>
      </c>
      <c r="G785" s="627">
        <v>955486</v>
      </c>
      <c r="H785" s="628">
        <v>36</v>
      </c>
      <c r="I785" s="626" t="s">
        <v>300</v>
      </c>
      <c r="J785" s="628">
        <v>140</v>
      </c>
      <c r="K785" s="629">
        <v>91.903000000000006</v>
      </c>
      <c r="L785" s="696"/>
      <c r="M785" s="698"/>
      <c r="N785" s="700"/>
      <c r="O785" s="608"/>
    </row>
    <row r="786" spans="1:15" s="513" customFormat="1" ht="10.15" customHeight="1">
      <c r="A786" s="615"/>
      <c r="B786" s="535" t="s">
        <v>339</v>
      </c>
      <c r="C786" s="618">
        <v>2257</v>
      </c>
      <c r="D786" s="619">
        <v>43637</v>
      </c>
      <c r="E786" s="620" t="s">
        <v>303</v>
      </c>
      <c r="F786" s="620" t="s">
        <v>429</v>
      </c>
      <c r="G786" s="621">
        <v>955486</v>
      </c>
      <c r="H786" s="622">
        <v>36</v>
      </c>
      <c r="I786" s="620" t="s">
        <v>299</v>
      </c>
      <c r="J786" s="622">
        <v>50</v>
      </c>
      <c r="K786" s="623">
        <v>29.055</v>
      </c>
      <c r="L786" s="695">
        <f>J786+J787</f>
        <v>130</v>
      </c>
      <c r="M786" s="697">
        <f>SUM(K786:K787)</f>
        <v>72.474999999999994</v>
      </c>
      <c r="N786" s="699">
        <f t="shared" ref="N786" si="213">+L786-M786</f>
        <v>57.525000000000006</v>
      </c>
      <c r="O786" s="607" t="e">
        <f>+((K786+K787)+(#REF!+#REF!))/L786</f>
        <v>#REF!</v>
      </c>
    </row>
    <row r="787" spans="1:15" s="513" customFormat="1" ht="10.15" customHeight="1">
      <c r="A787" s="615"/>
      <c r="B787" s="535" t="s">
        <v>339</v>
      </c>
      <c r="C787" s="624">
        <v>2257</v>
      </c>
      <c r="D787" s="625">
        <v>43637</v>
      </c>
      <c r="E787" s="626" t="s">
        <v>303</v>
      </c>
      <c r="F787" s="626" t="s">
        <v>429</v>
      </c>
      <c r="G787" s="627">
        <v>955486</v>
      </c>
      <c r="H787" s="628">
        <v>36</v>
      </c>
      <c r="I787" s="626" t="s">
        <v>300</v>
      </c>
      <c r="J787" s="628">
        <v>80</v>
      </c>
      <c r="K787" s="629">
        <v>43.42</v>
      </c>
      <c r="L787" s="696"/>
      <c r="M787" s="698"/>
      <c r="N787" s="700"/>
      <c r="O787" s="608"/>
    </row>
    <row r="788" spans="1:15" s="513" customFormat="1" ht="10.15" customHeight="1">
      <c r="A788" s="615"/>
      <c r="B788" s="535" t="s">
        <v>339</v>
      </c>
      <c r="C788" s="618">
        <v>2397</v>
      </c>
      <c r="D788" s="619">
        <v>43649</v>
      </c>
      <c r="E788" s="620" t="s">
        <v>304</v>
      </c>
      <c r="F788" s="620" t="s">
        <v>429</v>
      </c>
      <c r="G788" s="621">
        <v>955486</v>
      </c>
      <c r="H788" s="622">
        <v>36</v>
      </c>
      <c r="I788" s="620" t="s">
        <v>299</v>
      </c>
      <c r="J788" s="622">
        <v>30.617000000000001</v>
      </c>
      <c r="K788" s="623"/>
      <c r="L788" s="695">
        <f>J788+J789</f>
        <v>149.84299999999999</v>
      </c>
      <c r="M788" s="697">
        <f>SUM(K788:K789)</f>
        <v>0</v>
      </c>
      <c r="N788" s="699">
        <f t="shared" ref="N788" si="214">+L788-M788</f>
        <v>149.84299999999999</v>
      </c>
      <c r="O788" s="607" t="e">
        <f>+((K788+K789)+(#REF!+#REF!))/L788</f>
        <v>#REF!</v>
      </c>
    </row>
    <row r="789" spans="1:15" s="513" customFormat="1" ht="10.15" customHeight="1">
      <c r="A789" s="615"/>
      <c r="B789" s="535" t="s">
        <v>339</v>
      </c>
      <c r="C789" s="624">
        <v>2397</v>
      </c>
      <c r="D789" s="625">
        <v>43649</v>
      </c>
      <c r="E789" s="626" t="s">
        <v>304</v>
      </c>
      <c r="F789" s="626" t="s">
        <v>429</v>
      </c>
      <c r="G789" s="627">
        <v>955486</v>
      </c>
      <c r="H789" s="628">
        <v>36</v>
      </c>
      <c r="I789" s="626" t="s">
        <v>300</v>
      </c>
      <c r="J789" s="628">
        <v>119.226</v>
      </c>
      <c r="K789" s="629"/>
      <c r="L789" s="696"/>
      <c r="M789" s="698"/>
      <c r="N789" s="700"/>
      <c r="O789" s="608"/>
    </row>
    <row r="790" spans="1:15" s="513" customFormat="1" ht="10.15" customHeight="1">
      <c r="A790" s="615"/>
      <c r="B790" s="535" t="s">
        <v>339</v>
      </c>
      <c r="C790" s="618">
        <v>795</v>
      </c>
      <c r="D790" s="619">
        <v>43524</v>
      </c>
      <c r="E790" s="620" t="s">
        <v>304</v>
      </c>
      <c r="F790" s="620" t="s">
        <v>430</v>
      </c>
      <c r="G790" s="621">
        <v>958067</v>
      </c>
      <c r="H790" s="622">
        <v>36</v>
      </c>
      <c r="I790" s="620" t="s">
        <v>299</v>
      </c>
      <c r="J790" s="622">
        <v>19</v>
      </c>
      <c r="K790" s="623"/>
      <c r="L790" s="695">
        <f>J790+J791</f>
        <v>69</v>
      </c>
      <c r="M790" s="697">
        <f>SUM(K790:K791)</f>
        <v>69</v>
      </c>
      <c r="N790" s="699">
        <f t="shared" ref="N790" si="215">+L790-M790</f>
        <v>0</v>
      </c>
      <c r="O790" s="607" t="e">
        <f>+((K790+K791)+(#REF!+#REF!))/L790</f>
        <v>#REF!</v>
      </c>
    </row>
    <row r="791" spans="1:15" s="513" customFormat="1" ht="10.15" customHeight="1">
      <c r="A791" s="615"/>
      <c r="B791" s="535" t="s">
        <v>339</v>
      </c>
      <c r="C791" s="624">
        <v>795</v>
      </c>
      <c r="D791" s="625">
        <v>43524</v>
      </c>
      <c r="E791" s="626" t="s">
        <v>304</v>
      </c>
      <c r="F791" s="626" t="s">
        <v>430</v>
      </c>
      <c r="G791" s="627">
        <v>958067</v>
      </c>
      <c r="H791" s="628">
        <v>36</v>
      </c>
      <c r="I791" s="626" t="s">
        <v>300</v>
      </c>
      <c r="J791" s="628">
        <v>50</v>
      </c>
      <c r="K791" s="629">
        <v>69</v>
      </c>
      <c r="L791" s="696"/>
      <c r="M791" s="698"/>
      <c r="N791" s="700"/>
      <c r="O791" s="608"/>
    </row>
    <row r="792" spans="1:15" s="513" customFormat="1" ht="10.15" customHeight="1">
      <c r="A792" s="615"/>
      <c r="B792" s="535" t="s">
        <v>339</v>
      </c>
      <c r="C792" s="618">
        <v>1638</v>
      </c>
      <c r="D792" s="619">
        <v>43585</v>
      </c>
      <c r="E792" s="620" t="s">
        <v>304</v>
      </c>
      <c r="F792" s="620" t="s">
        <v>431</v>
      </c>
      <c r="G792" s="621">
        <v>967174</v>
      </c>
      <c r="H792" s="622">
        <v>36</v>
      </c>
      <c r="I792" s="620" t="s">
        <v>299</v>
      </c>
      <c r="J792" s="622">
        <v>20</v>
      </c>
      <c r="K792" s="623"/>
      <c r="L792" s="695">
        <f>J792+J793</f>
        <v>100</v>
      </c>
      <c r="M792" s="697">
        <f>SUM(K792:K793)</f>
        <v>0</v>
      </c>
      <c r="N792" s="699">
        <f t="shared" ref="N792" si="216">+L792-M792</f>
        <v>100</v>
      </c>
      <c r="O792" s="607" t="e">
        <f>+((K792+K793)+(#REF!+#REF!))/L792</f>
        <v>#REF!</v>
      </c>
    </row>
    <row r="793" spans="1:15" s="513" customFormat="1" ht="10.15" customHeight="1">
      <c r="A793" s="615"/>
      <c r="B793" s="535" t="s">
        <v>339</v>
      </c>
      <c r="C793" s="624">
        <v>1638</v>
      </c>
      <c r="D793" s="625">
        <v>43585</v>
      </c>
      <c r="E793" s="626" t="s">
        <v>304</v>
      </c>
      <c r="F793" s="626" t="s">
        <v>431</v>
      </c>
      <c r="G793" s="627">
        <v>967174</v>
      </c>
      <c r="H793" s="628">
        <v>36</v>
      </c>
      <c r="I793" s="626" t="s">
        <v>300</v>
      </c>
      <c r="J793" s="628">
        <v>80</v>
      </c>
      <c r="K793" s="629"/>
      <c r="L793" s="696"/>
      <c r="M793" s="698"/>
      <c r="N793" s="700"/>
      <c r="O793" s="608"/>
    </row>
    <row r="794" spans="1:15" s="513" customFormat="1" ht="10.15" customHeight="1">
      <c r="A794" s="615"/>
      <c r="B794" s="535" t="s">
        <v>339</v>
      </c>
      <c r="C794" s="618">
        <v>1048</v>
      </c>
      <c r="D794" s="619">
        <v>43546</v>
      </c>
      <c r="E794" s="620" t="s">
        <v>304</v>
      </c>
      <c r="F794" s="620" t="s">
        <v>432</v>
      </c>
      <c r="G794" s="621">
        <v>954552</v>
      </c>
      <c r="H794" s="622">
        <v>37</v>
      </c>
      <c r="I794" s="620" t="s">
        <v>299</v>
      </c>
      <c r="J794" s="622">
        <v>34.136000000000003</v>
      </c>
      <c r="K794" s="623">
        <v>18.198</v>
      </c>
      <c r="L794" s="695">
        <f>J794+J795</f>
        <v>106.67400000000001</v>
      </c>
      <c r="M794" s="697">
        <f>SUM(K794:K795)</f>
        <v>106.03999999999999</v>
      </c>
      <c r="N794" s="699">
        <f t="shared" ref="N794" si="217">+L794-M794</f>
        <v>0.63400000000001455</v>
      </c>
      <c r="O794" s="607" t="e">
        <f>+((K794+K795)+(#REF!+#REF!))/L794</f>
        <v>#REF!</v>
      </c>
    </row>
    <row r="795" spans="1:15" s="513" customFormat="1" ht="10.15" customHeight="1">
      <c r="A795" s="615"/>
      <c r="B795" s="535" t="s">
        <v>339</v>
      </c>
      <c r="C795" s="624">
        <v>1048</v>
      </c>
      <c r="D795" s="625">
        <v>43546</v>
      </c>
      <c r="E795" s="626" t="s">
        <v>304</v>
      </c>
      <c r="F795" s="626" t="s">
        <v>432</v>
      </c>
      <c r="G795" s="627">
        <v>954552</v>
      </c>
      <c r="H795" s="628">
        <v>37</v>
      </c>
      <c r="I795" s="626" t="s">
        <v>300</v>
      </c>
      <c r="J795" s="628">
        <v>72.537999999999997</v>
      </c>
      <c r="K795" s="629">
        <v>87.841999999999999</v>
      </c>
      <c r="L795" s="696"/>
      <c r="M795" s="698"/>
      <c r="N795" s="700"/>
      <c r="O795" s="608"/>
    </row>
    <row r="796" spans="1:15" s="513" customFormat="1" ht="10.15" customHeight="1">
      <c r="A796" s="615"/>
      <c r="B796" s="535" t="s">
        <v>339</v>
      </c>
      <c r="C796" s="618">
        <v>1048</v>
      </c>
      <c r="D796" s="619">
        <v>43546</v>
      </c>
      <c r="E796" s="620" t="s">
        <v>304</v>
      </c>
      <c r="F796" s="620" t="s">
        <v>433</v>
      </c>
      <c r="G796" s="621">
        <v>956044</v>
      </c>
      <c r="H796" s="622">
        <v>37</v>
      </c>
      <c r="I796" s="620" t="s">
        <v>299</v>
      </c>
      <c r="J796" s="622">
        <v>34.136000000000003</v>
      </c>
      <c r="K796" s="623">
        <v>17.001000000000001</v>
      </c>
      <c r="L796" s="695">
        <f>J796+J797</f>
        <v>106.67400000000001</v>
      </c>
      <c r="M796" s="697">
        <f>SUM(K796:K797)</f>
        <v>106.604</v>
      </c>
      <c r="N796" s="699">
        <f t="shared" ref="N796" si="218">+L796-M796</f>
        <v>7.000000000000739E-2</v>
      </c>
      <c r="O796" s="607" t="e">
        <f>+((K796+K797)+(#REF!+#REF!))/L796</f>
        <v>#REF!</v>
      </c>
    </row>
    <row r="797" spans="1:15" s="513" customFormat="1" ht="10.15" customHeight="1">
      <c r="A797" s="615"/>
      <c r="B797" s="535" t="s">
        <v>339</v>
      </c>
      <c r="C797" s="624">
        <v>1048</v>
      </c>
      <c r="D797" s="625">
        <v>43546</v>
      </c>
      <c r="E797" s="626" t="s">
        <v>304</v>
      </c>
      <c r="F797" s="626" t="s">
        <v>433</v>
      </c>
      <c r="G797" s="627">
        <v>956044</v>
      </c>
      <c r="H797" s="628">
        <v>37</v>
      </c>
      <c r="I797" s="626" t="s">
        <v>300</v>
      </c>
      <c r="J797" s="628">
        <v>72.537999999999997</v>
      </c>
      <c r="K797" s="629">
        <v>89.602999999999994</v>
      </c>
      <c r="L797" s="696"/>
      <c r="M797" s="698"/>
      <c r="N797" s="700"/>
      <c r="O797" s="608"/>
    </row>
    <row r="798" spans="1:15" s="513" customFormat="1" ht="10.15" customHeight="1">
      <c r="A798" s="615"/>
      <c r="B798" s="535" t="s">
        <v>339</v>
      </c>
      <c r="C798" s="618">
        <v>1188</v>
      </c>
      <c r="D798" s="619">
        <v>43553</v>
      </c>
      <c r="E798" s="620" t="s">
        <v>304</v>
      </c>
      <c r="F798" s="620" t="s">
        <v>433</v>
      </c>
      <c r="G798" s="621">
        <v>956044</v>
      </c>
      <c r="H798" s="622">
        <v>37</v>
      </c>
      <c r="I798" s="620" t="s">
        <v>299</v>
      </c>
      <c r="J798" s="622">
        <v>131.80000000000001</v>
      </c>
      <c r="K798" s="623">
        <v>152.63999999999999</v>
      </c>
      <c r="L798" s="695">
        <f>J798+J799</f>
        <v>386.6</v>
      </c>
      <c r="M798" s="697">
        <f>SUM(K798:K799)</f>
        <v>386.52</v>
      </c>
      <c r="N798" s="699">
        <f t="shared" ref="N798" si="219">+L798-M798</f>
        <v>8.0000000000040927E-2</v>
      </c>
      <c r="O798" s="607" t="e">
        <f>+((K798+K799)+(#REF!+#REF!))/L798</f>
        <v>#REF!</v>
      </c>
    </row>
    <row r="799" spans="1:15" s="513" customFormat="1" ht="10.15" customHeight="1">
      <c r="A799" s="615"/>
      <c r="B799" s="535" t="s">
        <v>339</v>
      </c>
      <c r="C799" s="624">
        <v>1188</v>
      </c>
      <c r="D799" s="625">
        <v>43553</v>
      </c>
      <c r="E799" s="626" t="s">
        <v>304</v>
      </c>
      <c r="F799" s="626" t="s">
        <v>433</v>
      </c>
      <c r="G799" s="627">
        <v>956044</v>
      </c>
      <c r="H799" s="628">
        <v>37</v>
      </c>
      <c r="I799" s="626" t="s">
        <v>300</v>
      </c>
      <c r="J799" s="628">
        <v>254.8</v>
      </c>
      <c r="K799" s="629">
        <v>233.88</v>
      </c>
      <c r="L799" s="696"/>
      <c r="M799" s="698"/>
      <c r="N799" s="700"/>
      <c r="O799" s="608"/>
    </row>
    <row r="800" spans="1:15" s="513" customFormat="1" ht="10.15" customHeight="1">
      <c r="A800" s="615"/>
      <c r="B800" s="535" t="s">
        <v>339</v>
      </c>
      <c r="C800" s="618">
        <v>2105</v>
      </c>
      <c r="D800" s="619">
        <v>43623</v>
      </c>
      <c r="E800" s="620" t="s">
        <v>304</v>
      </c>
      <c r="F800" s="620" t="s">
        <v>433</v>
      </c>
      <c r="G800" s="621">
        <v>956044</v>
      </c>
      <c r="H800" s="622">
        <v>37</v>
      </c>
      <c r="I800" s="620" t="s">
        <v>299</v>
      </c>
      <c r="J800" s="622">
        <v>63.6</v>
      </c>
      <c r="K800" s="623"/>
      <c r="L800" s="695">
        <f>J800+J801</f>
        <v>120.30000000000001</v>
      </c>
      <c r="M800" s="697">
        <f>SUM(K800:K801)</f>
        <v>0</v>
      </c>
      <c r="N800" s="699">
        <f t="shared" ref="N800" si="220">+L800-M800</f>
        <v>120.30000000000001</v>
      </c>
      <c r="O800" s="607" t="e">
        <f>+((K800+K801)+(#REF!+#REF!))/L800</f>
        <v>#REF!</v>
      </c>
    </row>
    <row r="801" spans="1:15" s="513" customFormat="1" ht="10.15" customHeight="1">
      <c r="A801" s="615"/>
      <c r="B801" s="535" t="s">
        <v>339</v>
      </c>
      <c r="C801" s="624">
        <v>2105</v>
      </c>
      <c r="D801" s="625">
        <v>43623</v>
      </c>
      <c r="E801" s="626" t="s">
        <v>304</v>
      </c>
      <c r="F801" s="626" t="s">
        <v>433</v>
      </c>
      <c r="G801" s="627">
        <v>956044</v>
      </c>
      <c r="H801" s="628">
        <v>37</v>
      </c>
      <c r="I801" s="626" t="s">
        <v>300</v>
      </c>
      <c r="J801" s="628">
        <v>56.7</v>
      </c>
      <c r="K801" s="629"/>
      <c r="L801" s="696"/>
      <c r="M801" s="698"/>
      <c r="N801" s="700"/>
      <c r="O801" s="608"/>
    </row>
    <row r="802" spans="1:15" s="513" customFormat="1" ht="10.15" customHeight="1">
      <c r="A802" s="615"/>
      <c r="B802" s="535" t="s">
        <v>339</v>
      </c>
      <c r="C802" s="618">
        <v>2140</v>
      </c>
      <c r="D802" s="619">
        <v>43627</v>
      </c>
      <c r="E802" s="620" t="s">
        <v>304</v>
      </c>
      <c r="F802" s="620" t="s">
        <v>570</v>
      </c>
      <c r="G802" s="621">
        <v>955809</v>
      </c>
      <c r="H802" s="622">
        <v>38</v>
      </c>
      <c r="I802" s="620" t="s">
        <v>299</v>
      </c>
      <c r="J802" s="622">
        <v>67</v>
      </c>
      <c r="K802" s="623"/>
      <c r="L802" s="695">
        <f>J802+J803</f>
        <v>148</v>
      </c>
      <c r="M802" s="697">
        <f>SUM(K802:K803)</f>
        <v>0</v>
      </c>
      <c r="N802" s="699">
        <f t="shared" ref="N802" si="221">+L802-M802</f>
        <v>148</v>
      </c>
      <c r="O802" s="607" t="e">
        <f>+((K802+K803)+(#REF!+#REF!))/L802</f>
        <v>#REF!</v>
      </c>
    </row>
    <row r="803" spans="1:15" s="513" customFormat="1" ht="10.15" customHeight="1">
      <c r="A803" s="615"/>
      <c r="B803" s="535" t="s">
        <v>339</v>
      </c>
      <c r="C803" s="624">
        <v>2140</v>
      </c>
      <c r="D803" s="625">
        <v>43627</v>
      </c>
      <c r="E803" s="626" t="s">
        <v>304</v>
      </c>
      <c r="F803" s="626" t="s">
        <v>570</v>
      </c>
      <c r="G803" s="627">
        <v>955809</v>
      </c>
      <c r="H803" s="628">
        <v>38</v>
      </c>
      <c r="I803" s="626" t="s">
        <v>300</v>
      </c>
      <c r="J803" s="628">
        <v>81</v>
      </c>
      <c r="K803" s="629"/>
      <c r="L803" s="696"/>
      <c r="M803" s="698"/>
      <c r="N803" s="700"/>
      <c r="O803" s="608"/>
    </row>
    <row r="804" spans="1:15" s="513" customFormat="1" ht="10.15" customHeight="1">
      <c r="A804" s="615"/>
      <c r="B804" s="535" t="s">
        <v>339</v>
      </c>
      <c r="C804" s="618">
        <v>795</v>
      </c>
      <c r="D804" s="619">
        <v>43524</v>
      </c>
      <c r="E804" s="620" t="s">
        <v>304</v>
      </c>
      <c r="F804" s="620" t="s">
        <v>434</v>
      </c>
      <c r="G804" s="621">
        <v>964621</v>
      </c>
      <c r="H804" s="622">
        <v>38</v>
      </c>
      <c r="I804" s="620" t="s">
        <v>299</v>
      </c>
      <c r="J804" s="622">
        <v>12</v>
      </c>
      <c r="K804" s="623">
        <v>7.7779999999999996</v>
      </c>
      <c r="L804" s="695">
        <f>J804+J805</f>
        <v>44</v>
      </c>
      <c r="M804" s="697">
        <f>SUM(K804:K805)</f>
        <v>44</v>
      </c>
      <c r="N804" s="699">
        <f t="shared" ref="N804" si="222">+L804-M804</f>
        <v>0</v>
      </c>
      <c r="O804" s="607" t="e">
        <f>+((K804+K805)+(#REF!+#REF!))/L804</f>
        <v>#REF!</v>
      </c>
    </row>
    <row r="805" spans="1:15" s="513" customFormat="1" ht="10.15" customHeight="1">
      <c r="A805" s="615"/>
      <c r="B805" s="535" t="s">
        <v>339</v>
      </c>
      <c r="C805" s="624">
        <v>795</v>
      </c>
      <c r="D805" s="625">
        <v>43524</v>
      </c>
      <c r="E805" s="626" t="s">
        <v>304</v>
      </c>
      <c r="F805" s="626" t="s">
        <v>434</v>
      </c>
      <c r="G805" s="627">
        <v>964621</v>
      </c>
      <c r="H805" s="628">
        <v>38</v>
      </c>
      <c r="I805" s="626" t="s">
        <v>300</v>
      </c>
      <c r="J805" s="628">
        <v>32</v>
      </c>
      <c r="K805" s="629">
        <v>36.222000000000001</v>
      </c>
      <c r="L805" s="696"/>
      <c r="M805" s="698"/>
      <c r="N805" s="700"/>
      <c r="O805" s="608"/>
    </row>
    <row r="806" spans="1:15" s="513" customFormat="1" ht="10.15" customHeight="1">
      <c r="A806" s="615"/>
      <c r="B806" s="535" t="s">
        <v>339</v>
      </c>
      <c r="C806" s="618">
        <v>1462</v>
      </c>
      <c r="D806" s="619">
        <v>43572</v>
      </c>
      <c r="E806" s="620" t="s">
        <v>304</v>
      </c>
      <c r="F806" s="620" t="s">
        <v>434</v>
      </c>
      <c r="G806" s="621">
        <v>964621</v>
      </c>
      <c r="H806" s="622">
        <v>38</v>
      </c>
      <c r="I806" s="620" t="s">
        <v>299</v>
      </c>
      <c r="J806" s="622">
        <v>88</v>
      </c>
      <c r="K806" s="623">
        <v>34.68</v>
      </c>
      <c r="L806" s="695">
        <f>J806+J807</f>
        <v>327</v>
      </c>
      <c r="M806" s="697">
        <f>SUM(K806:K807)</f>
        <v>325.53500000000003</v>
      </c>
      <c r="N806" s="699">
        <f t="shared" ref="N806" si="223">+L806-M806</f>
        <v>1.464999999999975</v>
      </c>
      <c r="O806" s="607" t="e">
        <f>+((K806+K807)+(#REF!+#REF!))/L806</f>
        <v>#REF!</v>
      </c>
    </row>
    <row r="807" spans="1:15" s="513" customFormat="1" ht="10.15" customHeight="1">
      <c r="A807" s="615"/>
      <c r="B807" s="535" t="s">
        <v>339</v>
      </c>
      <c r="C807" s="624">
        <v>1462</v>
      </c>
      <c r="D807" s="625">
        <v>43572</v>
      </c>
      <c r="E807" s="626" t="s">
        <v>304</v>
      </c>
      <c r="F807" s="626" t="s">
        <v>434</v>
      </c>
      <c r="G807" s="627">
        <v>964621</v>
      </c>
      <c r="H807" s="628">
        <v>38</v>
      </c>
      <c r="I807" s="626" t="s">
        <v>300</v>
      </c>
      <c r="J807" s="628">
        <v>239</v>
      </c>
      <c r="K807" s="629">
        <v>290.85500000000002</v>
      </c>
      <c r="L807" s="696"/>
      <c r="M807" s="698"/>
      <c r="N807" s="700"/>
      <c r="O807" s="608"/>
    </row>
    <row r="808" spans="1:15" s="513" customFormat="1" ht="10.15" customHeight="1">
      <c r="A808" s="615"/>
      <c r="B808" s="535" t="s">
        <v>339</v>
      </c>
      <c r="C808" s="618">
        <v>2053</v>
      </c>
      <c r="D808" s="619">
        <v>43613</v>
      </c>
      <c r="E808" s="620" t="s">
        <v>304</v>
      </c>
      <c r="F808" s="620" t="s">
        <v>536</v>
      </c>
      <c r="G808" s="621">
        <v>953884</v>
      </c>
      <c r="H808" s="622">
        <v>40</v>
      </c>
      <c r="I808" s="620" t="s">
        <v>299</v>
      </c>
      <c r="J808" s="622">
        <v>20</v>
      </c>
      <c r="K808" s="623"/>
      <c r="L808" s="695">
        <f>J808+J809</f>
        <v>220</v>
      </c>
      <c r="M808" s="697">
        <f>SUM(K808:K809)</f>
        <v>0</v>
      </c>
      <c r="N808" s="699">
        <f t="shared" ref="N808" si="224">+L808-M808</f>
        <v>220</v>
      </c>
      <c r="O808" s="607" t="e">
        <f>+((K808+K809)+(#REF!+#REF!))/L808</f>
        <v>#REF!</v>
      </c>
    </row>
    <row r="809" spans="1:15" s="513" customFormat="1" ht="10.15" customHeight="1">
      <c r="A809" s="615"/>
      <c r="B809" s="535" t="s">
        <v>339</v>
      </c>
      <c r="C809" s="624">
        <v>2053</v>
      </c>
      <c r="D809" s="625">
        <v>43613</v>
      </c>
      <c r="E809" s="626" t="s">
        <v>304</v>
      </c>
      <c r="F809" s="626" t="s">
        <v>536</v>
      </c>
      <c r="G809" s="627">
        <v>953884</v>
      </c>
      <c r="H809" s="628">
        <v>40</v>
      </c>
      <c r="I809" s="626" t="s">
        <v>300</v>
      </c>
      <c r="J809" s="628">
        <v>200</v>
      </c>
      <c r="K809" s="629"/>
      <c r="L809" s="696"/>
      <c r="M809" s="698"/>
      <c r="N809" s="700"/>
      <c r="O809" s="608"/>
    </row>
    <row r="810" spans="1:15" s="513" customFormat="1" ht="10.15" customHeight="1">
      <c r="A810" s="615"/>
      <c r="B810" s="535" t="s">
        <v>339</v>
      </c>
      <c r="C810" s="618">
        <v>1528</v>
      </c>
      <c r="D810" s="619">
        <v>43578</v>
      </c>
      <c r="E810" s="620" t="s">
        <v>304</v>
      </c>
      <c r="F810" s="620" t="s">
        <v>435</v>
      </c>
      <c r="G810" s="621">
        <v>966858</v>
      </c>
      <c r="H810" s="622">
        <v>40</v>
      </c>
      <c r="I810" s="620" t="s">
        <v>299</v>
      </c>
      <c r="J810" s="622">
        <v>20</v>
      </c>
      <c r="K810" s="623">
        <v>61.924999999999997</v>
      </c>
      <c r="L810" s="695">
        <f>J810+J811</f>
        <v>220</v>
      </c>
      <c r="M810" s="697">
        <f>SUM(K810:K811)</f>
        <v>220</v>
      </c>
      <c r="N810" s="699">
        <f t="shared" ref="N810" si="225">+L810-M810</f>
        <v>0</v>
      </c>
      <c r="O810" s="607" t="e">
        <f>+((K810+K811)+(#REF!+#REF!))/L810</f>
        <v>#REF!</v>
      </c>
    </row>
    <row r="811" spans="1:15" s="513" customFormat="1" ht="10.15" customHeight="1">
      <c r="A811" s="615"/>
      <c r="B811" s="535" t="s">
        <v>339</v>
      </c>
      <c r="C811" s="624">
        <v>1528</v>
      </c>
      <c r="D811" s="625">
        <v>43578</v>
      </c>
      <c r="E811" s="626" t="s">
        <v>304</v>
      </c>
      <c r="F811" s="626" t="s">
        <v>435</v>
      </c>
      <c r="G811" s="627">
        <v>966858</v>
      </c>
      <c r="H811" s="628">
        <v>40</v>
      </c>
      <c r="I811" s="626" t="s">
        <v>300</v>
      </c>
      <c r="J811" s="628">
        <v>200</v>
      </c>
      <c r="K811" s="629">
        <v>158.07499999999999</v>
      </c>
      <c r="L811" s="696"/>
      <c r="M811" s="698"/>
      <c r="N811" s="700"/>
      <c r="O811" s="608"/>
    </row>
    <row r="812" spans="1:15" s="513" customFormat="1" ht="10.15" customHeight="1">
      <c r="A812" s="615"/>
      <c r="B812" s="535" t="s">
        <v>339</v>
      </c>
      <c r="C812" s="618">
        <v>2139</v>
      </c>
      <c r="D812" s="619">
        <v>43627</v>
      </c>
      <c r="E812" s="620" t="s">
        <v>304</v>
      </c>
      <c r="F812" s="620" t="s">
        <v>435</v>
      </c>
      <c r="G812" s="621">
        <v>966858</v>
      </c>
      <c r="H812" s="622">
        <v>40</v>
      </c>
      <c r="I812" s="620" t="s">
        <v>299</v>
      </c>
      <c r="J812" s="622">
        <v>30</v>
      </c>
      <c r="K812" s="623">
        <v>86.727000000000004</v>
      </c>
      <c r="L812" s="695">
        <f>J812+J813</f>
        <v>190</v>
      </c>
      <c r="M812" s="697">
        <f>SUM(K812:K813)</f>
        <v>169.36</v>
      </c>
      <c r="N812" s="699">
        <f t="shared" ref="N812" si="226">+L812-M812</f>
        <v>20.639999999999986</v>
      </c>
      <c r="O812" s="607" t="e">
        <f>+((K812+K813)+(#REF!+#REF!))/L812</f>
        <v>#REF!</v>
      </c>
    </row>
    <row r="813" spans="1:15" s="513" customFormat="1" ht="10.15" customHeight="1">
      <c r="A813" s="615"/>
      <c r="B813" s="535" t="s">
        <v>339</v>
      </c>
      <c r="C813" s="624">
        <v>2139</v>
      </c>
      <c r="D813" s="625">
        <v>43627</v>
      </c>
      <c r="E813" s="626" t="s">
        <v>304</v>
      </c>
      <c r="F813" s="626" t="s">
        <v>435</v>
      </c>
      <c r="G813" s="627">
        <v>966858</v>
      </c>
      <c r="H813" s="628">
        <v>40</v>
      </c>
      <c r="I813" s="626" t="s">
        <v>300</v>
      </c>
      <c r="J813" s="628">
        <v>160</v>
      </c>
      <c r="K813" s="629">
        <v>82.632999999999996</v>
      </c>
      <c r="L813" s="696"/>
      <c r="M813" s="698"/>
      <c r="N813" s="700"/>
      <c r="O813" s="608"/>
    </row>
    <row r="814" spans="1:15" s="513" customFormat="1" ht="10.15" customHeight="1">
      <c r="A814" s="615"/>
      <c r="B814" s="535" t="s">
        <v>339</v>
      </c>
      <c r="C814" s="618">
        <v>1594</v>
      </c>
      <c r="D814" s="619">
        <v>43581</v>
      </c>
      <c r="E814" s="620" t="s">
        <v>304</v>
      </c>
      <c r="F814" s="620" t="s">
        <v>436</v>
      </c>
      <c r="G814" s="621">
        <v>31015</v>
      </c>
      <c r="H814" s="622">
        <v>41</v>
      </c>
      <c r="I814" s="620" t="s">
        <v>299</v>
      </c>
      <c r="J814" s="622">
        <v>57</v>
      </c>
      <c r="K814" s="623">
        <v>56.268000000000001</v>
      </c>
      <c r="L814" s="695">
        <f>J814+J815</f>
        <v>600</v>
      </c>
      <c r="M814" s="697">
        <f>SUM(K814:K815)</f>
        <v>75.474000000000004</v>
      </c>
      <c r="N814" s="699">
        <f t="shared" ref="N814" si="227">+L814-M814</f>
        <v>524.52599999999995</v>
      </c>
      <c r="O814" s="607" t="e">
        <f>+((K814+K815)+(#REF!+#REF!))/L814</f>
        <v>#REF!</v>
      </c>
    </row>
    <row r="815" spans="1:15" s="513" customFormat="1" ht="10.15" customHeight="1">
      <c r="A815" s="615"/>
      <c r="B815" s="535" t="s">
        <v>339</v>
      </c>
      <c r="C815" s="624">
        <v>1594</v>
      </c>
      <c r="D815" s="625">
        <v>43581</v>
      </c>
      <c r="E815" s="626" t="s">
        <v>304</v>
      </c>
      <c r="F815" s="626" t="s">
        <v>436</v>
      </c>
      <c r="G815" s="627">
        <v>31015</v>
      </c>
      <c r="H815" s="628">
        <v>41</v>
      </c>
      <c r="I815" s="626" t="s">
        <v>300</v>
      </c>
      <c r="J815" s="628">
        <v>543</v>
      </c>
      <c r="K815" s="629">
        <v>19.206</v>
      </c>
      <c r="L815" s="696"/>
      <c r="M815" s="698"/>
      <c r="N815" s="700"/>
      <c r="O815" s="608"/>
    </row>
    <row r="816" spans="1:15" s="513" customFormat="1" ht="10.15" customHeight="1">
      <c r="A816" s="615"/>
      <c r="B816" s="535" t="s">
        <v>339</v>
      </c>
      <c r="C816" s="618">
        <v>1594</v>
      </c>
      <c r="D816" s="619">
        <v>43581</v>
      </c>
      <c r="E816" s="620" t="s">
        <v>304</v>
      </c>
      <c r="F816" s="620" t="s">
        <v>437</v>
      </c>
      <c r="G816" s="621">
        <v>966410</v>
      </c>
      <c r="H816" s="622">
        <v>41</v>
      </c>
      <c r="I816" s="620" t="s">
        <v>299</v>
      </c>
      <c r="J816" s="622">
        <v>94</v>
      </c>
      <c r="K816" s="623">
        <v>124.127</v>
      </c>
      <c r="L816" s="695">
        <f>J816+J817</f>
        <v>600</v>
      </c>
      <c r="M816" s="697">
        <f>SUM(K816:K817)</f>
        <v>196.55</v>
      </c>
      <c r="N816" s="699">
        <f t="shared" ref="N816" si="228">+L816-M816</f>
        <v>403.45</v>
      </c>
      <c r="O816" s="607" t="e">
        <f>+((K816+K817)+(#REF!+#REF!))/L816</f>
        <v>#REF!</v>
      </c>
    </row>
    <row r="817" spans="1:15" s="513" customFormat="1" ht="10.15" customHeight="1">
      <c r="A817" s="615"/>
      <c r="B817" s="535" t="s">
        <v>339</v>
      </c>
      <c r="C817" s="624">
        <v>1594</v>
      </c>
      <c r="D817" s="625">
        <v>43581</v>
      </c>
      <c r="E817" s="626" t="s">
        <v>304</v>
      </c>
      <c r="F817" s="626" t="s">
        <v>437</v>
      </c>
      <c r="G817" s="627">
        <v>966410</v>
      </c>
      <c r="H817" s="628">
        <v>41</v>
      </c>
      <c r="I817" s="626" t="s">
        <v>300</v>
      </c>
      <c r="J817" s="628">
        <v>506</v>
      </c>
      <c r="K817" s="629">
        <v>72.423000000000002</v>
      </c>
      <c r="L817" s="696"/>
      <c r="M817" s="698"/>
      <c r="N817" s="700"/>
      <c r="O817" s="608"/>
    </row>
    <row r="818" spans="1:15" s="513" customFormat="1" ht="10.15" customHeight="1">
      <c r="A818" s="615"/>
      <c r="B818" s="535" t="s">
        <v>339</v>
      </c>
      <c r="C818" s="618">
        <v>119</v>
      </c>
      <c r="D818" s="619">
        <v>43656</v>
      </c>
      <c r="E818" s="620" t="s">
        <v>303</v>
      </c>
      <c r="F818" s="620" t="s">
        <v>333</v>
      </c>
      <c r="G818" s="621">
        <v>923199</v>
      </c>
      <c r="H818" s="622">
        <v>42</v>
      </c>
      <c r="I818" s="620" t="s">
        <v>299</v>
      </c>
      <c r="J818" s="622">
        <v>1</v>
      </c>
      <c r="K818" s="623"/>
      <c r="L818" s="695">
        <f>J818+J819</f>
        <v>90</v>
      </c>
      <c r="M818" s="697">
        <f>SUM(K818:K819)</f>
        <v>0</v>
      </c>
      <c r="N818" s="699">
        <f t="shared" ref="N818" si="229">+L818-M818</f>
        <v>90</v>
      </c>
      <c r="O818" s="607" t="e">
        <f>+((K818+K819)+(#REF!+#REF!))/L818</f>
        <v>#REF!</v>
      </c>
    </row>
    <row r="819" spans="1:15" s="513" customFormat="1" ht="10.15" customHeight="1">
      <c r="A819" s="615"/>
      <c r="B819" s="535" t="s">
        <v>339</v>
      </c>
      <c r="C819" s="624">
        <v>119</v>
      </c>
      <c r="D819" s="625">
        <v>43656</v>
      </c>
      <c r="E819" s="626" t="s">
        <v>303</v>
      </c>
      <c r="F819" s="626" t="s">
        <v>333</v>
      </c>
      <c r="G819" s="627">
        <v>923199</v>
      </c>
      <c r="H819" s="628">
        <v>42</v>
      </c>
      <c r="I819" s="626" t="s">
        <v>300</v>
      </c>
      <c r="J819" s="628">
        <v>89</v>
      </c>
      <c r="K819" s="629"/>
      <c r="L819" s="696"/>
      <c r="M819" s="698"/>
      <c r="N819" s="700"/>
      <c r="O819" s="608"/>
    </row>
    <row r="820" spans="1:15" s="513" customFormat="1" ht="10.15" customHeight="1">
      <c r="A820" s="615"/>
      <c r="B820" s="535" t="s">
        <v>339</v>
      </c>
      <c r="C820" s="618">
        <v>1110</v>
      </c>
      <c r="D820" s="619">
        <v>43553</v>
      </c>
      <c r="E820" s="620" t="s">
        <v>304</v>
      </c>
      <c r="F820" s="620" t="s">
        <v>333</v>
      </c>
      <c r="G820" s="621">
        <v>923199</v>
      </c>
      <c r="H820" s="622">
        <v>42</v>
      </c>
      <c r="I820" s="620" t="s">
        <v>299</v>
      </c>
      <c r="J820" s="622">
        <v>50</v>
      </c>
      <c r="K820" s="623">
        <v>44.283999999999999</v>
      </c>
      <c r="L820" s="695">
        <f>J820+J821</f>
        <v>250</v>
      </c>
      <c r="M820" s="697">
        <f>SUM(K820:K821)</f>
        <v>250</v>
      </c>
      <c r="N820" s="699">
        <f t="shared" ref="N820" si="230">+L820-M820</f>
        <v>0</v>
      </c>
      <c r="O820" s="607" t="e">
        <f>+((K820+K821)+(#REF!+#REF!))/L820</f>
        <v>#REF!</v>
      </c>
    </row>
    <row r="821" spans="1:15" s="513" customFormat="1" ht="10.15" customHeight="1">
      <c r="A821" s="615"/>
      <c r="B821" s="535" t="s">
        <v>339</v>
      </c>
      <c r="C821" s="624">
        <v>1110</v>
      </c>
      <c r="D821" s="625">
        <v>43553</v>
      </c>
      <c r="E821" s="626" t="s">
        <v>304</v>
      </c>
      <c r="F821" s="626" t="s">
        <v>333</v>
      </c>
      <c r="G821" s="627">
        <v>923199</v>
      </c>
      <c r="H821" s="628">
        <v>42</v>
      </c>
      <c r="I821" s="626" t="s">
        <v>300</v>
      </c>
      <c r="J821" s="628">
        <v>200</v>
      </c>
      <c r="K821" s="629">
        <v>205.71600000000001</v>
      </c>
      <c r="L821" s="696"/>
      <c r="M821" s="698"/>
      <c r="N821" s="700"/>
      <c r="O821" s="608"/>
    </row>
    <row r="822" spans="1:15" s="513" customFormat="1" ht="10.15" customHeight="1">
      <c r="A822" s="615"/>
      <c r="B822" s="535" t="s">
        <v>339</v>
      </c>
      <c r="C822" s="618">
        <v>1574</v>
      </c>
      <c r="D822" s="619">
        <v>43581</v>
      </c>
      <c r="E822" s="620" t="s">
        <v>304</v>
      </c>
      <c r="F822" s="620" t="s">
        <v>333</v>
      </c>
      <c r="G822" s="621">
        <v>923199</v>
      </c>
      <c r="H822" s="622">
        <v>42</v>
      </c>
      <c r="I822" s="620" t="s">
        <v>299</v>
      </c>
      <c r="J822" s="622">
        <v>20</v>
      </c>
      <c r="K822" s="623">
        <v>39.290999999999997</v>
      </c>
      <c r="L822" s="695">
        <f>J822+J823</f>
        <v>250</v>
      </c>
      <c r="M822" s="697">
        <f>SUM(K822:K823)</f>
        <v>250.005</v>
      </c>
      <c r="N822" s="699">
        <f t="shared" ref="N822" si="231">+L822-M822</f>
        <v>-4.9999999999954525E-3</v>
      </c>
      <c r="O822" s="607" t="e">
        <f>+((K822+K823)+(#REF!+#REF!))/L822</f>
        <v>#REF!</v>
      </c>
    </row>
    <row r="823" spans="1:15" s="513" customFormat="1" ht="10.15" customHeight="1">
      <c r="A823" s="615"/>
      <c r="B823" s="535" t="s">
        <v>339</v>
      </c>
      <c r="C823" s="624">
        <v>1574</v>
      </c>
      <c r="D823" s="625">
        <v>43581</v>
      </c>
      <c r="E823" s="626" t="s">
        <v>304</v>
      </c>
      <c r="F823" s="626" t="s">
        <v>333</v>
      </c>
      <c r="G823" s="627">
        <v>923199</v>
      </c>
      <c r="H823" s="628">
        <v>42</v>
      </c>
      <c r="I823" s="626" t="s">
        <v>300</v>
      </c>
      <c r="J823" s="628">
        <v>230</v>
      </c>
      <c r="K823" s="629">
        <v>210.714</v>
      </c>
      <c r="L823" s="696"/>
      <c r="M823" s="698"/>
      <c r="N823" s="700"/>
      <c r="O823" s="608"/>
    </row>
    <row r="824" spans="1:15" s="513" customFormat="1" ht="10.15" customHeight="1">
      <c r="A824" s="615"/>
      <c r="B824" s="535" t="s">
        <v>339</v>
      </c>
      <c r="C824" s="618">
        <v>1883</v>
      </c>
      <c r="D824" s="619">
        <v>43608</v>
      </c>
      <c r="E824" s="620" t="s">
        <v>303</v>
      </c>
      <c r="F824" s="620" t="s">
        <v>333</v>
      </c>
      <c r="G824" s="621">
        <v>923199</v>
      </c>
      <c r="H824" s="622">
        <v>42</v>
      </c>
      <c r="I824" s="620" t="s">
        <v>299</v>
      </c>
      <c r="J824" s="622">
        <v>100</v>
      </c>
      <c r="K824" s="623">
        <v>99.765000000000001</v>
      </c>
      <c r="L824" s="695">
        <f>J824+J825</f>
        <v>400</v>
      </c>
      <c r="M824" s="697">
        <f>SUM(K824:K825)</f>
        <v>435.59499999999997</v>
      </c>
      <c r="N824" s="699">
        <f t="shared" ref="N824" si="232">+L824-M824</f>
        <v>-35.59499999999997</v>
      </c>
      <c r="O824" s="607" t="e">
        <f>+((K824+K825)+(#REF!+#REF!))/L824</f>
        <v>#REF!</v>
      </c>
    </row>
    <row r="825" spans="1:15" s="513" customFormat="1" ht="10.15" customHeight="1">
      <c r="A825" s="615"/>
      <c r="B825" s="535" t="s">
        <v>339</v>
      </c>
      <c r="C825" s="624">
        <v>1883</v>
      </c>
      <c r="D825" s="625">
        <v>43608</v>
      </c>
      <c r="E825" s="626" t="s">
        <v>303</v>
      </c>
      <c r="F825" s="626" t="s">
        <v>333</v>
      </c>
      <c r="G825" s="627">
        <v>923199</v>
      </c>
      <c r="H825" s="628">
        <v>42</v>
      </c>
      <c r="I825" s="626" t="s">
        <v>300</v>
      </c>
      <c r="J825" s="628">
        <v>300</v>
      </c>
      <c r="K825" s="629">
        <v>335.83</v>
      </c>
      <c r="L825" s="696"/>
      <c r="M825" s="698"/>
      <c r="N825" s="700"/>
      <c r="O825" s="608"/>
    </row>
    <row r="826" spans="1:15" s="513" customFormat="1" ht="10.15" customHeight="1">
      <c r="A826" s="615"/>
      <c r="B826" s="535" t="s">
        <v>339</v>
      </c>
      <c r="C826" s="618">
        <v>2052</v>
      </c>
      <c r="D826" s="619">
        <v>43613</v>
      </c>
      <c r="E826" s="620" t="s">
        <v>303</v>
      </c>
      <c r="F826" s="620" t="s">
        <v>333</v>
      </c>
      <c r="G826" s="621">
        <v>923199</v>
      </c>
      <c r="H826" s="622">
        <v>42</v>
      </c>
      <c r="I826" s="620" t="s">
        <v>299</v>
      </c>
      <c r="J826" s="622">
        <v>87</v>
      </c>
      <c r="K826" s="623">
        <v>15.272</v>
      </c>
      <c r="L826" s="695">
        <f>J826+J827</f>
        <v>215</v>
      </c>
      <c r="M826" s="697">
        <f>SUM(K826:K827)</f>
        <v>215</v>
      </c>
      <c r="N826" s="699">
        <f t="shared" ref="N826" si="233">+L826-M826</f>
        <v>0</v>
      </c>
      <c r="O826" s="607" t="e">
        <f>+((K826+K827)+(#REF!+#REF!))/L826</f>
        <v>#REF!</v>
      </c>
    </row>
    <row r="827" spans="1:15" s="513" customFormat="1" ht="10.15" customHeight="1">
      <c r="A827" s="615"/>
      <c r="B827" s="535" t="s">
        <v>339</v>
      </c>
      <c r="C827" s="624">
        <v>2052</v>
      </c>
      <c r="D827" s="625">
        <v>43613</v>
      </c>
      <c r="E827" s="626" t="s">
        <v>303</v>
      </c>
      <c r="F827" s="626" t="s">
        <v>333</v>
      </c>
      <c r="G827" s="627">
        <v>923199</v>
      </c>
      <c r="H827" s="628">
        <v>42</v>
      </c>
      <c r="I827" s="626" t="s">
        <v>300</v>
      </c>
      <c r="J827" s="628">
        <v>128</v>
      </c>
      <c r="K827" s="629">
        <v>199.72800000000001</v>
      </c>
      <c r="L827" s="696"/>
      <c r="M827" s="698"/>
      <c r="N827" s="700"/>
      <c r="O827" s="608"/>
    </row>
    <row r="828" spans="1:15" s="513" customFormat="1" ht="10.15" customHeight="1">
      <c r="A828" s="615"/>
      <c r="B828" s="535" t="s">
        <v>339</v>
      </c>
      <c r="C828" s="618">
        <v>2139</v>
      </c>
      <c r="D828" s="619">
        <v>43627</v>
      </c>
      <c r="E828" s="620" t="s">
        <v>304</v>
      </c>
      <c r="F828" s="620" t="s">
        <v>333</v>
      </c>
      <c r="G828" s="621">
        <v>923199</v>
      </c>
      <c r="H828" s="622">
        <v>42</v>
      </c>
      <c r="I828" s="620" t="s">
        <v>299</v>
      </c>
      <c r="J828" s="622">
        <v>50</v>
      </c>
      <c r="K828" s="623"/>
      <c r="L828" s="695">
        <f>J828+J829</f>
        <v>300</v>
      </c>
      <c r="M828" s="697">
        <f>SUM(K828:K829)</f>
        <v>300</v>
      </c>
      <c r="N828" s="699">
        <f t="shared" ref="N828" si="234">+L828-M828</f>
        <v>0</v>
      </c>
      <c r="O828" s="607" t="e">
        <f>+((K828+K829)+(#REF!+#REF!))/L828</f>
        <v>#REF!</v>
      </c>
    </row>
    <row r="829" spans="1:15" s="513" customFormat="1" ht="10.15" customHeight="1">
      <c r="A829" s="615"/>
      <c r="B829" s="535" t="s">
        <v>339</v>
      </c>
      <c r="C829" s="624">
        <v>2139</v>
      </c>
      <c r="D829" s="625">
        <v>43627</v>
      </c>
      <c r="E829" s="626" t="s">
        <v>304</v>
      </c>
      <c r="F829" s="626" t="s">
        <v>333</v>
      </c>
      <c r="G829" s="627">
        <v>923199</v>
      </c>
      <c r="H829" s="628">
        <v>42</v>
      </c>
      <c r="I829" s="626" t="s">
        <v>300</v>
      </c>
      <c r="J829" s="628">
        <v>250</v>
      </c>
      <c r="K829" s="629">
        <v>300</v>
      </c>
      <c r="L829" s="696"/>
      <c r="M829" s="698"/>
      <c r="N829" s="700"/>
      <c r="O829" s="608"/>
    </row>
    <row r="830" spans="1:15" s="513" customFormat="1" ht="10.15" customHeight="1">
      <c r="A830" s="615"/>
      <c r="B830" s="535" t="s">
        <v>339</v>
      </c>
      <c r="C830" s="618">
        <v>117</v>
      </c>
      <c r="D830" s="619">
        <v>43655</v>
      </c>
      <c r="E830" s="620" t="s">
        <v>303</v>
      </c>
      <c r="F830" s="620" t="s">
        <v>579</v>
      </c>
      <c r="G830" s="621">
        <v>958905</v>
      </c>
      <c r="H830" s="622">
        <v>42</v>
      </c>
      <c r="I830" s="620" t="s">
        <v>299</v>
      </c>
      <c r="J830" s="622">
        <v>1</v>
      </c>
      <c r="K830" s="623"/>
      <c r="L830" s="695">
        <f>J830+J831</f>
        <v>90</v>
      </c>
      <c r="M830" s="697">
        <f>SUM(K830:K831)</f>
        <v>0</v>
      </c>
      <c r="N830" s="699">
        <f t="shared" ref="N830" si="235">+L830-M830</f>
        <v>90</v>
      </c>
      <c r="O830" s="607" t="e">
        <f>+((K830+K831)+(#REF!+#REF!))/L830</f>
        <v>#REF!</v>
      </c>
    </row>
    <row r="831" spans="1:15" s="513" customFormat="1" ht="10.15" customHeight="1">
      <c r="A831" s="615"/>
      <c r="B831" s="535" t="s">
        <v>339</v>
      </c>
      <c r="C831" s="624">
        <v>117</v>
      </c>
      <c r="D831" s="625">
        <v>43655</v>
      </c>
      <c r="E831" s="626" t="s">
        <v>303</v>
      </c>
      <c r="F831" s="626" t="s">
        <v>579</v>
      </c>
      <c r="G831" s="627">
        <v>958905</v>
      </c>
      <c r="H831" s="628">
        <v>42</v>
      </c>
      <c r="I831" s="626" t="s">
        <v>300</v>
      </c>
      <c r="J831" s="628">
        <v>89</v>
      </c>
      <c r="K831" s="629"/>
      <c r="L831" s="696"/>
      <c r="M831" s="698"/>
      <c r="N831" s="700"/>
      <c r="O831" s="608"/>
    </row>
    <row r="832" spans="1:15" s="513" customFormat="1" ht="10.15" customHeight="1">
      <c r="A832" s="615"/>
      <c r="B832" s="535" t="s">
        <v>339</v>
      </c>
      <c r="C832" s="618">
        <v>1110</v>
      </c>
      <c r="D832" s="619">
        <v>43553</v>
      </c>
      <c r="E832" s="620" t="s">
        <v>304</v>
      </c>
      <c r="F832" s="620" t="s">
        <v>335</v>
      </c>
      <c r="G832" s="621">
        <v>964068</v>
      </c>
      <c r="H832" s="622">
        <v>42</v>
      </c>
      <c r="I832" s="620" t="s">
        <v>299</v>
      </c>
      <c r="J832" s="622">
        <v>10</v>
      </c>
      <c r="K832" s="623">
        <v>13.686999999999999</v>
      </c>
      <c r="L832" s="695">
        <f>J832+J833</f>
        <v>110</v>
      </c>
      <c r="M832" s="697">
        <f>SUM(K832:K833)</f>
        <v>95.634999999999991</v>
      </c>
      <c r="N832" s="699">
        <f t="shared" ref="N832" si="236">+L832-M832</f>
        <v>14.365000000000009</v>
      </c>
      <c r="O832" s="607" t="e">
        <f>+((K832+K833)+(#REF!+#REF!))/L832</f>
        <v>#REF!</v>
      </c>
    </row>
    <row r="833" spans="1:15" s="513" customFormat="1" ht="10.15" customHeight="1">
      <c r="A833" s="615"/>
      <c r="B833" s="535" t="s">
        <v>339</v>
      </c>
      <c r="C833" s="624">
        <v>1110</v>
      </c>
      <c r="D833" s="625">
        <v>43553</v>
      </c>
      <c r="E833" s="626" t="s">
        <v>304</v>
      </c>
      <c r="F833" s="626" t="s">
        <v>335</v>
      </c>
      <c r="G833" s="627">
        <v>964068</v>
      </c>
      <c r="H833" s="628">
        <v>42</v>
      </c>
      <c r="I833" s="626" t="s">
        <v>300</v>
      </c>
      <c r="J833" s="628">
        <v>100</v>
      </c>
      <c r="K833" s="629">
        <v>81.947999999999993</v>
      </c>
      <c r="L833" s="696"/>
      <c r="M833" s="698"/>
      <c r="N833" s="700"/>
      <c r="O833" s="608"/>
    </row>
    <row r="834" spans="1:15" s="513" customFormat="1" ht="10.15" customHeight="1">
      <c r="A834" s="615"/>
      <c r="B834" s="535" t="s">
        <v>339</v>
      </c>
      <c r="C834" s="618">
        <v>2027</v>
      </c>
      <c r="D834" s="619">
        <v>43613</v>
      </c>
      <c r="E834" s="620" t="s">
        <v>303</v>
      </c>
      <c r="F834" s="620" t="s">
        <v>335</v>
      </c>
      <c r="G834" s="621">
        <v>964068</v>
      </c>
      <c r="H834" s="622">
        <v>42</v>
      </c>
      <c r="I834" s="620" t="s">
        <v>299</v>
      </c>
      <c r="J834" s="622">
        <v>25</v>
      </c>
      <c r="K834" s="623">
        <v>6.4089999999999998</v>
      </c>
      <c r="L834" s="695">
        <f>J834+J835</f>
        <v>100</v>
      </c>
      <c r="M834" s="697">
        <f>SUM(K834:K835)</f>
        <v>97.910000000000011</v>
      </c>
      <c r="N834" s="699">
        <f t="shared" ref="N834" si="237">+L834-M834</f>
        <v>2.0899999999999892</v>
      </c>
      <c r="O834" s="607" t="e">
        <f>+((K834+K835)+(#REF!+#REF!))/L834</f>
        <v>#REF!</v>
      </c>
    </row>
    <row r="835" spans="1:15" s="513" customFormat="1" ht="10.15" customHeight="1">
      <c r="A835" s="615"/>
      <c r="B835" s="535" t="s">
        <v>339</v>
      </c>
      <c r="C835" s="624">
        <v>2027</v>
      </c>
      <c r="D835" s="625">
        <v>43613</v>
      </c>
      <c r="E835" s="626" t="s">
        <v>303</v>
      </c>
      <c r="F835" s="626" t="s">
        <v>335</v>
      </c>
      <c r="G835" s="627">
        <v>964068</v>
      </c>
      <c r="H835" s="628">
        <v>42</v>
      </c>
      <c r="I835" s="626" t="s">
        <v>300</v>
      </c>
      <c r="J835" s="628">
        <v>75</v>
      </c>
      <c r="K835" s="629">
        <v>91.501000000000005</v>
      </c>
      <c r="L835" s="696"/>
      <c r="M835" s="698"/>
      <c r="N835" s="700"/>
      <c r="O835" s="608"/>
    </row>
    <row r="836" spans="1:15" s="513" customFormat="1" ht="10.15" customHeight="1">
      <c r="A836" s="615"/>
      <c r="B836" s="535" t="s">
        <v>339</v>
      </c>
      <c r="C836" s="618">
        <v>2257</v>
      </c>
      <c r="D836" s="619">
        <v>43637</v>
      </c>
      <c r="E836" s="620" t="s">
        <v>303</v>
      </c>
      <c r="F836" s="620" t="s">
        <v>335</v>
      </c>
      <c r="G836" s="621">
        <v>964068</v>
      </c>
      <c r="H836" s="622">
        <v>42</v>
      </c>
      <c r="I836" s="620" t="s">
        <v>299</v>
      </c>
      <c r="J836" s="622">
        <v>40</v>
      </c>
      <c r="K836" s="623"/>
      <c r="L836" s="695">
        <f>J836+J837</f>
        <v>80</v>
      </c>
      <c r="M836" s="697">
        <f>SUM(K836:K837)</f>
        <v>0</v>
      </c>
      <c r="N836" s="699">
        <f t="shared" ref="N836" si="238">+L836-M836</f>
        <v>80</v>
      </c>
      <c r="O836" s="607" t="e">
        <f>+((K836+K837)+(#REF!+#REF!))/L836</f>
        <v>#REF!</v>
      </c>
    </row>
    <row r="837" spans="1:15" s="513" customFormat="1" ht="10.15" customHeight="1">
      <c r="A837" s="615"/>
      <c r="B837" s="535" t="s">
        <v>339</v>
      </c>
      <c r="C837" s="624">
        <v>2257</v>
      </c>
      <c r="D837" s="625">
        <v>43637</v>
      </c>
      <c r="E837" s="626" t="s">
        <v>303</v>
      </c>
      <c r="F837" s="626" t="s">
        <v>335</v>
      </c>
      <c r="G837" s="627">
        <v>964068</v>
      </c>
      <c r="H837" s="628">
        <v>42</v>
      </c>
      <c r="I837" s="626" t="s">
        <v>300</v>
      </c>
      <c r="J837" s="628">
        <v>40</v>
      </c>
      <c r="K837" s="629"/>
      <c r="L837" s="696"/>
      <c r="M837" s="698"/>
      <c r="N837" s="700"/>
      <c r="O837" s="608"/>
    </row>
    <row r="838" spans="1:15" s="513" customFormat="1" ht="10.15" customHeight="1">
      <c r="A838" s="615"/>
      <c r="B838" s="535" t="s">
        <v>339</v>
      </c>
      <c r="C838" s="618">
        <v>70</v>
      </c>
      <c r="D838" s="619">
        <v>43601</v>
      </c>
      <c r="E838" s="620" t="s">
        <v>303</v>
      </c>
      <c r="F838" s="620" t="s">
        <v>334</v>
      </c>
      <c r="G838" s="621">
        <v>966875</v>
      </c>
      <c r="H838" s="622">
        <v>42</v>
      </c>
      <c r="I838" s="620" t="s">
        <v>299</v>
      </c>
      <c r="J838" s="622">
        <v>27.65</v>
      </c>
      <c r="K838" s="623">
        <v>52.100999999999999</v>
      </c>
      <c r="L838" s="695">
        <f>J838+J839</f>
        <v>104.94999999999999</v>
      </c>
      <c r="M838" s="697">
        <f>SUM(K838:K839)</f>
        <v>81.72</v>
      </c>
      <c r="N838" s="699">
        <f t="shared" ref="N838" si="239">+L838-M838</f>
        <v>23.22999999999999</v>
      </c>
      <c r="O838" s="607" t="e">
        <f>+((K838+K839)+(#REF!+#REF!))/L838</f>
        <v>#REF!</v>
      </c>
    </row>
    <row r="839" spans="1:15" s="513" customFormat="1" ht="10.15" customHeight="1">
      <c r="A839" s="615"/>
      <c r="B839" s="535" t="s">
        <v>339</v>
      </c>
      <c r="C839" s="624">
        <v>70</v>
      </c>
      <c r="D839" s="625">
        <v>43601</v>
      </c>
      <c r="E839" s="626" t="s">
        <v>303</v>
      </c>
      <c r="F839" s="626" t="s">
        <v>334</v>
      </c>
      <c r="G839" s="627">
        <v>966875</v>
      </c>
      <c r="H839" s="628">
        <v>42</v>
      </c>
      <c r="I839" s="626" t="s">
        <v>300</v>
      </c>
      <c r="J839" s="628">
        <v>77.3</v>
      </c>
      <c r="K839" s="629">
        <v>29.619</v>
      </c>
      <c r="L839" s="696"/>
      <c r="M839" s="698"/>
      <c r="N839" s="700"/>
      <c r="O839" s="608"/>
    </row>
    <row r="840" spans="1:15" s="513" customFormat="1" ht="10.15" customHeight="1">
      <c r="A840" s="615"/>
      <c r="B840" s="535" t="s">
        <v>339</v>
      </c>
      <c r="C840" s="618">
        <v>104</v>
      </c>
      <c r="D840" s="619">
        <v>43621</v>
      </c>
      <c r="E840" s="620" t="s">
        <v>303</v>
      </c>
      <c r="F840" s="620" t="s">
        <v>334</v>
      </c>
      <c r="G840" s="621">
        <v>966875</v>
      </c>
      <c r="H840" s="622">
        <v>42</v>
      </c>
      <c r="I840" s="620" t="s">
        <v>299</v>
      </c>
      <c r="J840" s="622">
        <v>10</v>
      </c>
      <c r="K840" s="623"/>
      <c r="L840" s="695">
        <f>J840+J841</f>
        <v>100</v>
      </c>
      <c r="M840" s="697">
        <f>SUM(K840:K841)</f>
        <v>0</v>
      </c>
      <c r="N840" s="699">
        <f t="shared" ref="N840" si="240">+L840-M840</f>
        <v>100</v>
      </c>
      <c r="O840" s="607" t="e">
        <f>+((K840+K841)+(#REF!+#REF!))/L840</f>
        <v>#REF!</v>
      </c>
    </row>
    <row r="841" spans="1:15" s="513" customFormat="1" ht="10.15" customHeight="1">
      <c r="A841" s="615"/>
      <c r="B841" s="535" t="s">
        <v>339</v>
      </c>
      <c r="C841" s="624">
        <v>104</v>
      </c>
      <c r="D841" s="625">
        <v>43621</v>
      </c>
      <c r="E841" s="626" t="s">
        <v>303</v>
      </c>
      <c r="F841" s="626" t="s">
        <v>334</v>
      </c>
      <c r="G841" s="627">
        <v>966875</v>
      </c>
      <c r="H841" s="628">
        <v>42</v>
      </c>
      <c r="I841" s="626" t="s">
        <v>300</v>
      </c>
      <c r="J841" s="628">
        <v>90</v>
      </c>
      <c r="K841" s="629"/>
      <c r="L841" s="696"/>
      <c r="M841" s="698"/>
      <c r="N841" s="700"/>
      <c r="O841" s="608"/>
    </row>
    <row r="842" spans="1:15" s="513" customFormat="1" ht="10.15" customHeight="1">
      <c r="A842" s="615"/>
      <c r="B842" s="535" t="s">
        <v>339</v>
      </c>
      <c r="C842" s="618">
        <v>2139</v>
      </c>
      <c r="D842" s="619">
        <v>43627</v>
      </c>
      <c r="E842" s="620" t="s">
        <v>304</v>
      </c>
      <c r="F842" s="620" t="s">
        <v>334</v>
      </c>
      <c r="G842" s="621">
        <v>966875</v>
      </c>
      <c r="H842" s="622">
        <v>42</v>
      </c>
      <c r="I842" s="620" t="s">
        <v>299</v>
      </c>
      <c r="J842" s="622">
        <v>70</v>
      </c>
      <c r="K842" s="623">
        <v>41.819000000000003</v>
      </c>
      <c r="L842" s="695">
        <f>J842+J843</f>
        <v>250</v>
      </c>
      <c r="M842" s="697">
        <f>SUM(K842:K843)</f>
        <v>92.38</v>
      </c>
      <c r="N842" s="699">
        <f t="shared" ref="N842" si="241">+L842-M842</f>
        <v>157.62</v>
      </c>
      <c r="O842" s="607" t="e">
        <f>+((K842+K843)+(#REF!+#REF!))/L842</f>
        <v>#REF!</v>
      </c>
    </row>
    <row r="843" spans="1:15" s="513" customFormat="1" ht="10.15" customHeight="1">
      <c r="A843" s="615"/>
      <c r="B843" s="535" t="s">
        <v>339</v>
      </c>
      <c r="C843" s="624">
        <v>2139</v>
      </c>
      <c r="D843" s="625">
        <v>43627</v>
      </c>
      <c r="E843" s="626" t="s">
        <v>304</v>
      </c>
      <c r="F843" s="626" t="s">
        <v>334</v>
      </c>
      <c r="G843" s="627">
        <v>966875</v>
      </c>
      <c r="H843" s="628">
        <v>42</v>
      </c>
      <c r="I843" s="626" t="s">
        <v>300</v>
      </c>
      <c r="J843" s="628">
        <v>180</v>
      </c>
      <c r="K843" s="629">
        <v>50.561</v>
      </c>
      <c r="L843" s="696"/>
      <c r="M843" s="698"/>
      <c r="N843" s="700"/>
      <c r="O843" s="608"/>
    </row>
    <row r="844" spans="1:15" s="513" customFormat="1" ht="10.15" customHeight="1">
      <c r="A844" s="615"/>
      <c r="B844" s="535" t="s">
        <v>339</v>
      </c>
      <c r="C844" s="618">
        <v>2257</v>
      </c>
      <c r="D844" s="619">
        <v>43637</v>
      </c>
      <c r="E844" s="620" t="s">
        <v>303</v>
      </c>
      <c r="F844" s="620" t="s">
        <v>334</v>
      </c>
      <c r="G844" s="621">
        <v>966875</v>
      </c>
      <c r="H844" s="622">
        <v>42</v>
      </c>
      <c r="I844" s="620" t="s">
        <v>299</v>
      </c>
      <c r="J844" s="622">
        <v>100</v>
      </c>
      <c r="K844" s="623"/>
      <c r="L844" s="695">
        <f>J844+J845</f>
        <v>160</v>
      </c>
      <c r="M844" s="697">
        <f>SUM(K844:K845)</f>
        <v>0</v>
      </c>
      <c r="N844" s="699">
        <f t="shared" ref="N844" si="242">+L844-M844</f>
        <v>160</v>
      </c>
      <c r="O844" s="607" t="e">
        <f>+((K844+K845)+(#REF!+#REF!))/L844</f>
        <v>#REF!</v>
      </c>
    </row>
    <row r="845" spans="1:15" s="513" customFormat="1" ht="10.15" customHeight="1">
      <c r="A845" s="615"/>
      <c r="B845" s="535" t="s">
        <v>339</v>
      </c>
      <c r="C845" s="624">
        <v>2257</v>
      </c>
      <c r="D845" s="625">
        <v>43637</v>
      </c>
      <c r="E845" s="626" t="s">
        <v>303</v>
      </c>
      <c r="F845" s="626" t="s">
        <v>334</v>
      </c>
      <c r="G845" s="627">
        <v>966875</v>
      </c>
      <c r="H845" s="628">
        <v>42</v>
      </c>
      <c r="I845" s="626" t="s">
        <v>300</v>
      </c>
      <c r="J845" s="628">
        <v>60</v>
      </c>
      <c r="K845" s="629"/>
      <c r="L845" s="696"/>
      <c r="M845" s="698"/>
      <c r="N845" s="700"/>
      <c r="O845" s="608"/>
    </row>
    <row r="846" spans="1:15" s="513" customFormat="1" ht="10.15" customHeight="1">
      <c r="A846" s="615"/>
      <c r="B846" s="535" t="s">
        <v>339</v>
      </c>
      <c r="C846" s="618">
        <v>44</v>
      </c>
      <c r="D846" s="619">
        <v>43565</v>
      </c>
      <c r="E846" s="620" t="s">
        <v>303</v>
      </c>
      <c r="F846" s="620" t="s">
        <v>438</v>
      </c>
      <c r="G846" s="621">
        <v>967692</v>
      </c>
      <c r="H846" s="622">
        <v>42</v>
      </c>
      <c r="I846" s="620" t="s">
        <v>299</v>
      </c>
      <c r="J846" s="622">
        <v>113.85</v>
      </c>
      <c r="K846" s="623">
        <v>195.91300000000001</v>
      </c>
      <c r="L846" s="695">
        <f>J846+J847</f>
        <v>500.20000000000005</v>
      </c>
      <c r="M846" s="697">
        <f>SUM(K846:K847)</f>
        <v>502</v>
      </c>
      <c r="N846" s="699">
        <f t="shared" ref="N846" si="243">+L846-M846</f>
        <v>-1.7999999999999545</v>
      </c>
      <c r="O846" s="607" t="e">
        <f>+((K846+K847)+(#REF!+#REF!))/L846</f>
        <v>#REF!</v>
      </c>
    </row>
    <row r="847" spans="1:15" s="513" customFormat="1" ht="10.15" customHeight="1">
      <c r="A847" s="615"/>
      <c r="B847" s="535" t="s">
        <v>339</v>
      </c>
      <c r="C847" s="624">
        <v>44</v>
      </c>
      <c r="D847" s="625">
        <v>43565</v>
      </c>
      <c r="E847" s="626" t="s">
        <v>303</v>
      </c>
      <c r="F847" s="626" t="s">
        <v>438</v>
      </c>
      <c r="G847" s="627">
        <v>967692</v>
      </c>
      <c r="H847" s="628">
        <v>42</v>
      </c>
      <c r="I847" s="626" t="s">
        <v>300</v>
      </c>
      <c r="J847" s="628">
        <v>386.35</v>
      </c>
      <c r="K847" s="629">
        <v>306.08699999999999</v>
      </c>
      <c r="L847" s="696"/>
      <c r="M847" s="698"/>
      <c r="N847" s="700"/>
      <c r="O847" s="608"/>
    </row>
    <row r="848" spans="1:15" s="513" customFormat="1" ht="10.15" customHeight="1">
      <c r="A848" s="615"/>
      <c r="B848" s="535" t="s">
        <v>339</v>
      </c>
      <c r="C848" s="618">
        <v>93</v>
      </c>
      <c r="D848" s="619">
        <v>43612</v>
      </c>
      <c r="E848" s="620" t="s">
        <v>303</v>
      </c>
      <c r="F848" s="620" t="s">
        <v>438</v>
      </c>
      <c r="G848" s="621">
        <v>967692</v>
      </c>
      <c r="H848" s="622">
        <v>42</v>
      </c>
      <c r="I848" s="620" t="s">
        <v>299</v>
      </c>
      <c r="J848" s="622">
        <v>110.8</v>
      </c>
      <c r="K848" s="623">
        <v>35.426000000000002</v>
      </c>
      <c r="L848" s="695">
        <f>J848+J849</f>
        <v>511.1</v>
      </c>
      <c r="M848" s="697">
        <f>SUM(K848:K849)</f>
        <v>176.995</v>
      </c>
      <c r="N848" s="699">
        <f t="shared" ref="N848" si="244">+L848-M848</f>
        <v>334.10500000000002</v>
      </c>
      <c r="O848" s="607" t="e">
        <f>+((K848+K849)+(#REF!+#REF!))/L848</f>
        <v>#REF!</v>
      </c>
    </row>
    <row r="849" spans="1:15" s="513" customFormat="1" ht="10.15" customHeight="1">
      <c r="A849" s="615"/>
      <c r="B849" s="535" t="s">
        <v>339</v>
      </c>
      <c r="C849" s="624">
        <v>93</v>
      </c>
      <c r="D849" s="625">
        <v>43612</v>
      </c>
      <c r="E849" s="626" t="s">
        <v>303</v>
      </c>
      <c r="F849" s="626" t="s">
        <v>438</v>
      </c>
      <c r="G849" s="627">
        <v>967692</v>
      </c>
      <c r="H849" s="628">
        <v>42</v>
      </c>
      <c r="I849" s="626" t="s">
        <v>300</v>
      </c>
      <c r="J849" s="628">
        <v>400.3</v>
      </c>
      <c r="K849" s="629">
        <v>141.56899999999999</v>
      </c>
      <c r="L849" s="696"/>
      <c r="M849" s="698"/>
      <c r="N849" s="700"/>
      <c r="O849" s="608"/>
    </row>
    <row r="850" spans="1:15" s="513" customFormat="1" ht="10.15" customHeight="1">
      <c r="A850" s="615"/>
      <c r="B850" s="535" t="s">
        <v>339</v>
      </c>
      <c r="C850" s="618">
        <v>2125</v>
      </c>
      <c r="D850" s="619">
        <v>43623</v>
      </c>
      <c r="E850" s="620" t="s">
        <v>303</v>
      </c>
      <c r="F850" s="620" t="s">
        <v>438</v>
      </c>
      <c r="G850" s="621">
        <v>967692</v>
      </c>
      <c r="H850" s="622">
        <v>42</v>
      </c>
      <c r="I850" s="620" t="s">
        <v>299</v>
      </c>
      <c r="J850" s="622">
        <v>71</v>
      </c>
      <c r="K850" s="623"/>
      <c r="L850" s="695">
        <f>J850+J851</f>
        <v>248</v>
      </c>
      <c r="M850" s="697">
        <f>SUM(K850:K851)</f>
        <v>0</v>
      </c>
      <c r="N850" s="699">
        <f t="shared" ref="N850" si="245">+L850-M850</f>
        <v>248</v>
      </c>
      <c r="O850" s="607" t="e">
        <f>+((K850+K851)+(#REF!+#REF!))/L850</f>
        <v>#REF!</v>
      </c>
    </row>
    <row r="851" spans="1:15" s="513" customFormat="1" ht="10.15" customHeight="1">
      <c r="A851" s="615"/>
      <c r="B851" s="535" t="s">
        <v>339</v>
      </c>
      <c r="C851" s="624">
        <v>2125</v>
      </c>
      <c r="D851" s="625">
        <v>43623</v>
      </c>
      <c r="E851" s="626" t="s">
        <v>303</v>
      </c>
      <c r="F851" s="626" t="s">
        <v>438</v>
      </c>
      <c r="G851" s="627">
        <v>967692</v>
      </c>
      <c r="H851" s="628">
        <v>42</v>
      </c>
      <c r="I851" s="626" t="s">
        <v>300</v>
      </c>
      <c r="J851" s="628">
        <v>177</v>
      </c>
      <c r="K851" s="629"/>
      <c r="L851" s="696"/>
      <c r="M851" s="698"/>
      <c r="N851" s="700"/>
      <c r="O851" s="608"/>
    </row>
    <row r="852" spans="1:15" s="513" customFormat="1" ht="10.15" customHeight="1">
      <c r="A852" s="615"/>
      <c r="B852" s="535" t="s">
        <v>339</v>
      </c>
      <c r="C852" s="618">
        <v>847</v>
      </c>
      <c r="D852" s="619">
        <v>43530</v>
      </c>
      <c r="E852" s="620" t="s">
        <v>304</v>
      </c>
      <c r="F852" s="620" t="s">
        <v>439</v>
      </c>
      <c r="G852" s="621">
        <v>963890</v>
      </c>
      <c r="H852" s="622">
        <v>45</v>
      </c>
      <c r="I852" s="620" t="s">
        <v>299</v>
      </c>
      <c r="J852" s="622">
        <v>10</v>
      </c>
      <c r="K852" s="623">
        <v>10</v>
      </c>
      <c r="L852" s="695">
        <f>J852+J853</f>
        <v>160</v>
      </c>
      <c r="M852" s="697">
        <f>SUM(K852:K853)</f>
        <v>160</v>
      </c>
      <c r="N852" s="699">
        <f t="shared" ref="N852" si="246">+L852-M852</f>
        <v>0</v>
      </c>
      <c r="O852" s="607" t="e">
        <f>+((K852+K853)+(#REF!+#REF!))/L852</f>
        <v>#REF!</v>
      </c>
    </row>
    <row r="853" spans="1:15" s="513" customFormat="1" ht="10.15" customHeight="1">
      <c r="A853" s="615"/>
      <c r="B853" s="535" t="s">
        <v>339</v>
      </c>
      <c r="C853" s="624">
        <v>847</v>
      </c>
      <c r="D853" s="625">
        <v>43530</v>
      </c>
      <c r="E853" s="626" t="s">
        <v>304</v>
      </c>
      <c r="F853" s="626" t="s">
        <v>439</v>
      </c>
      <c r="G853" s="627">
        <v>963890</v>
      </c>
      <c r="H853" s="628">
        <v>45</v>
      </c>
      <c r="I853" s="626" t="s">
        <v>300</v>
      </c>
      <c r="J853" s="628">
        <v>150</v>
      </c>
      <c r="K853" s="629">
        <v>150</v>
      </c>
      <c r="L853" s="696"/>
      <c r="M853" s="698"/>
      <c r="N853" s="700"/>
      <c r="O853" s="608"/>
    </row>
    <row r="854" spans="1:15" s="513" customFormat="1" ht="10.15" customHeight="1">
      <c r="A854" s="615"/>
      <c r="B854" s="535" t="s">
        <v>339</v>
      </c>
      <c r="C854" s="618">
        <v>2139</v>
      </c>
      <c r="D854" s="619">
        <v>43627</v>
      </c>
      <c r="E854" s="620" t="s">
        <v>304</v>
      </c>
      <c r="F854" s="620" t="s">
        <v>439</v>
      </c>
      <c r="G854" s="621">
        <v>963890</v>
      </c>
      <c r="H854" s="622">
        <v>45</v>
      </c>
      <c r="I854" s="620" t="s">
        <v>299</v>
      </c>
      <c r="J854" s="622">
        <v>20</v>
      </c>
      <c r="K854" s="623">
        <v>0.109</v>
      </c>
      <c r="L854" s="695">
        <f>J854+J855</f>
        <v>120</v>
      </c>
      <c r="M854" s="697">
        <f>SUM(K854:K855)</f>
        <v>5.43</v>
      </c>
      <c r="N854" s="699">
        <f t="shared" ref="N854" si="247">+L854-M854</f>
        <v>114.57</v>
      </c>
      <c r="O854" s="607" t="e">
        <f>+((K854+K855)+(#REF!+#REF!))/L854</f>
        <v>#REF!</v>
      </c>
    </row>
    <row r="855" spans="1:15" s="513" customFormat="1" ht="10.15" customHeight="1">
      <c r="A855" s="615"/>
      <c r="B855" s="535" t="s">
        <v>339</v>
      </c>
      <c r="C855" s="624">
        <v>2139</v>
      </c>
      <c r="D855" s="625">
        <v>43627</v>
      </c>
      <c r="E855" s="626" t="s">
        <v>304</v>
      </c>
      <c r="F855" s="626" t="s">
        <v>439</v>
      </c>
      <c r="G855" s="627">
        <v>963890</v>
      </c>
      <c r="H855" s="628">
        <v>45</v>
      </c>
      <c r="I855" s="626" t="s">
        <v>300</v>
      </c>
      <c r="J855" s="628">
        <v>100</v>
      </c>
      <c r="K855" s="629">
        <v>5.3209999999999997</v>
      </c>
      <c r="L855" s="696"/>
      <c r="M855" s="698"/>
      <c r="N855" s="700"/>
      <c r="O855" s="608"/>
    </row>
    <row r="856" spans="1:15" s="513" customFormat="1" ht="10.15" customHeight="1">
      <c r="A856" s="615"/>
      <c r="B856" s="535" t="s">
        <v>339</v>
      </c>
      <c r="C856" s="618">
        <v>1594</v>
      </c>
      <c r="D856" s="619">
        <v>43581</v>
      </c>
      <c r="E856" s="620" t="s">
        <v>304</v>
      </c>
      <c r="F856" s="620" t="s">
        <v>440</v>
      </c>
      <c r="G856" s="621">
        <v>31043</v>
      </c>
      <c r="H856" s="622">
        <v>46</v>
      </c>
      <c r="I856" s="620" t="s">
        <v>299</v>
      </c>
      <c r="J856" s="622">
        <v>39</v>
      </c>
      <c r="K856" s="623">
        <v>59.906999999999996</v>
      </c>
      <c r="L856" s="695">
        <f>J856+J857</f>
        <v>250</v>
      </c>
      <c r="M856" s="697">
        <f>SUM(K856:K857)</f>
        <v>152.69</v>
      </c>
      <c r="N856" s="699">
        <f t="shared" ref="N856" si="248">+L856-M856</f>
        <v>97.31</v>
      </c>
      <c r="O856" s="607" t="e">
        <f>+((K856+K857)+(#REF!+#REF!))/L856</f>
        <v>#REF!</v>
      </c>
    </row>
    <row r="857" spans="1:15" s="513" customFormat="1" ht="10.15" customHeight="1">
      <c r="A857" s="615"/>
      <c r="B857" s="535" t="s">
        <v>339</v>
      </c>
      <c r="C857" s="624">
        <v>1594</v>
      </c>
      <c r="D857" s="625">
        <v>43581</v>
      </c>
      <c r="E857" s="626" t="s">
        <v>304</v>
      </c>
      <c r="F857" s="626" t="s">
        <v>440</v>
      </c>
      <c r="G857" s="627">
        <v>31043</v>
      </c>
      <c r="H857" s="628">
        <v>46</v>
      </c>
      <c r="I857" s="626" t="s">
        <v>300</v>
      </c>
      <c r="J857" s="628">
        <v>211</v>
      </c>
      <c r="K857" s="629">
        <v>92.783000000000001</v>
      </c>
      <c r="L857" s="696"/>
      <c r="M857" s="698"/>
      <c r="N857" s="700"/>
      <c r="O857" s="608"/>
    </row>
    <row r="858" spans="1:15" s="513" customFormat="1" ht="10.15" customHeight="1">
      <c r="A858" s="615"/>
      <c r="B858" s="535" t="s">
        <v>339</v>
      </c>
      <c r="C858" s="618">
        <v>1594</v>
      </c>
      <c r="D858" s="619">
        <v>43581</v>
      </c>
      <c r="E858" s="620" t="s">
        <v>304</v>
      </c>
      <c r="F858" s="620" t="s">
        <v>441</v>
      </c>
      <c r="G858" s="621">
        <v>902767</v>
      </c>
      <c r="H858" s="622">
        <v>46</v>
      </c>
      <c r="I858" s="620" t="s">
        <v>299</v>
      </c>
      <c r="J858" s="622">
        <v>16</v>
      </c>
      <c r="K858" s="623">
        <v>39.570999999999998</v>
      </c>
      <c r="L858" s="695">
        <f>J858+J859</f>
        <v>100</v>
      </c>
      <c r="M858" s="697">
        <f>SUM(K858:K859)</f>
        <v>100</v>
      </c>
      <c r="N858" s="699">
        <f t="shared" ref="N858" si="249">+L858-M858</f>
        <v>0</v>
      </c>
      <c r="O858" s="607" t="e">
        <f>+((K858+K859)+(#REF!+#REF!))/L858</f>
        <v>#REF!</v>
      </c>
    </row>
    <row r="859" spans="1:15" s="513" customFormat="1" ht="10.15" customHeight="1">
      <c r="A859" s="615"/>
      <c r="B859" s="535" t="s">
        <v>339</v>
      </c>
      <c r="C859" s="624">
        <v>1594</v>
      </c>
      <c r="D859" s="625">
        <v>43581</v>
      </c>
      <c r="E859" s="626" t="s">
        <v>304</v>
      </c>
      <c r="F859" s="626" t="s">
        <v>441</v>
      </c>
      <c r="G859" s="627">
        <v>902767</v>
      </c>
      <c r="H859" s="628">
        <v>46</v>
      </c>
      <c r="I859" s="626" t="s">
        <v>300</v>
      </c>
      <c r="J859" s="628">
        <v>84</v>
      </c>
      <c r="K859" s="629">
        <v>60.429000000000002</v>
      </c>
      <c r="L859" s="696"/>
      <c r="M859" s="698"/>
      <c r="N859" s="700"/>
      <c r="O859" s="608"/>
    </row>
    <row r="860" spans="1:15" s="513" customFormat="1" ht="10.15" customHeight="1">
      <c r="A860" s="615"/>
      <c r="B860" s="535" t="s">
        <v>339</v>
      </c>
      <c r="C860" s="618">
        <v>1594</v>
      </c>
      <c r="D860" s="619">
        <v>43581</v>
      </c>
      <c r="E860" s="620" t="s">
        <v>304</v>
      </c>
      <c r="F860" s="620" t="s">
        <v>442</v>
      </c>
      <c r="G860" s="621">
        <v>923223</v>
      </c>
      <c r="H860" s="622">
        <v>46</v>
      </c>
      <c r="I860" s="620" t="s">
        <v>299</v>
      </c>
      <c r="J860" s="622">
        <v>39</v>
      </c>
      <c r="K860" s="623">
        <v>96.82</v>
      </c>
      <c r="L860" s="695">
        <f>J860+J861</f>
        <v>250</v>
      </c>
      <c r="M860" s="697">
        <f>SUM(K860:K861)</f>
        <v>198.28299999999999</v>
      </c>
      <c r="N860" s="699">
        <f t="shared" ref="N860" si="250">+L860-M860</f>
        <v>51.717000000000013</v>
      </c>
      <c r="O860" s="607" t="e">
        <f>+((K860+K861)+(#REF!+#REF!))/L860</f>
        <v>#REF!</v>
      </c>
    </row>
    <row r="861" spans="1:15" s="513" customFormat="1" ht="10.15" customHeight="1">
      <c r="A861" s="615"/>
      <c r="B861" s="535" t="s">
        <v>339</v>
      </c>
      <c r="C861" s="624">
        <v>1594</v>
      </c>
      <c r="D861" s="625">
        <v>43581</v>
      </c>
      <c r="E861" s="626" t="s">
        <v>304</v>
      </c>
      <c r="F861" s="626" t="s">
        <v>442</v>
      </c>
      <c r="G861" s="627">
        <v>923223</v>
      </c>
      <c r="H861" s="628">
        <v>46</v>
      </c>
      <c r="I861" s="626" t="s">
        <v>300</v>
      </c>
      <c r="J861" s="628">
        <v>211</v>
      </c>
      <c r="K861" s="629">
        <v>101.46299999999999</v>
      </c>
      <c r="L861" s="696"/>
      <c r="M861" s="698"/>
      <c r="N861" s="700"/>
      <c r="O861" s="608"/>
    </row>
    <row r="862" spans="1:15" s="513" customFormat="1" ht="10.15" customHeight="1">
      <c r="A862" s="615"/>
      <c r="B862" s="535" t="s">
        <v>339</v>
      </c>
      <c r="C862" s="618">
        <v>1462</v>
      </c>
      <c r="D862" s="619">
        <v>43572</v>
      </c>
      <c r="E862" s="620" t="s">
        <v>304</v>
      </c>
      <c r="F862" s="620" t="s">
        <v>443</v>
      </c>
      <c r="G862" s="621">
        <v>39473</v>
      </c>
      <c r="H862" s="622">
        <v>47</v>
      </c>
      <c r="I862" s="620" t="s">
        <v>299</v>
      </c>
      <c r="J862" s="622">
        <v>70</v>
      </c>
      <c r="K862" s="623">
        <v>149.25399999999999</v>
      </c>
      <c r="L862" s="695">
        <f>J862+J863</f>
        <v>260</v>
      </c>
      <c r="M862" s="697">
        <f>SUM(K862:K863)</f>
        <v>260</v>
      </c>
      <c r="N862" s="699">
        <f t="shared" ref="N862" si="251">+L862-M862</f>
        <v>0</v>
      </c>
      <c r="O862" s="607" t="e">
        <f>+((K862+K863)+(#REF!+#REF!))/L862</f>
        <v>#REF!</v>
      </c>
    </row>
    <row r="863" spans="1:15" s="513" customFormat="1" ht="10.15" customHeight="1">
      <c r="A863" s="615"/>
      <c r="B863" s="535" t="s">
        <v>339</v>
      </c>
      <c r="C863" s="624">
        <v>1462</v>
      </c>
      <c r="D863" s="625">
        <v>43572</v>
      </c>
      <c r="E863" s="626" t="s">
        <v>304</v>
      </c>
      <c r="F863" s="626" t="s">
        <v>443</v>
      </c>
      <c r="G863" s="627">
        <v>39473</v>
      </c>
      <c r="H863" s="628">
        <v>47</v>
      </c>
      <c r="I863" s="626" t="s">
        <v>300</v>
      </c>
      <c r="J863" s="628">
        <v>190</v>
      </c>
      <c r="K863" s="629">
        <v>110.746</v>
      </c>
      <c r="L863" s="696"/>
      <c r="M863" s="698"/>
      <c r="N863" s="700"/>
      <c r="O863" s="608"/>
    </row>
    <row r="864" spans="1:15" s="513" customFormat="1" ht="10.15" customHeight="1">
      <c r="A864" s="615"/>
      <c r="B864" s="535" t="s">
        <v>339</v>
      </c>
      <c r="C864" s="618">
        <v>2140</v>
      </c>
      <c r="D864" s="619">
        <v>43627</v>
      </c>
      <c r="E864" s="620" t="s">
        <v>304</v>
      </c>
      <c r="F864" s="620" t="s">
        <v>443</v>
      </c>
      <c r="G864" s="621">
        <v>39473</v>
      </c>
      <c r="H864" s="622">
        <v>47</v>
      </c>
      <c r="I864" s="620" t="s">
        <v>299</v>
      </c>
      <c r="J864" s="622">
        <v>67</v>
      </c>
      <c r="K864" s="623">
        <v>14.712</v>
      </c>
      <c r="L864" s="695">
        <f>J864+J865</f>
        <v>148</v>
      </c>
      <c r="M864" s="697">
        <f>SUM(K864:K865)</f>
        <v>64.885000000000005</v>
      </c>
      <c r="N864" s="699">
        <f t="shared" ref="N864" si="252">+L864-M864</f>
        <v>83.114999999999995</v>
      </c>
      <c r="O864" s="607" t="e">
        <f>+((K864+K865)+(#REF!+#REF!))/L864</f>
        <v>#REF!</v>
      </c>
    </row>
    <row r="865" spans="1:15" s="513" customFormat="1" ht="10.15" customHeight="1">
      <c r="A865" s="615"/>
      <c r="B865" s="535" t="s">
        <v>339</v>
      </c>
      <c r="C865" s="624">
        <v>2140</v>
      </c>
      <c r="D865" s="625">
        <v>43627</v>
      </c>
      <c r="E865" s="626" t="s">
        <v>304</v>
      </c>
      <c r="F865" s="626" t="s">
        <v>443</v>
      </c>
      <c r="G865" s="627">
        <v>39473</v>
      </c>
      <c r="H865" s="628">
        <v>47</v>
      </c>
      <c r="I865" s="626" t="s">
        <v>300</v>
      </c>
      <c r="J865" s="628">
        <v>81</v>
      </c>
      <c r="K865" s="629">
        <v>50.173000000000002</v>
      </c>
      <c r="L865" s="696"/>
      <c r="M865" s="698"/>
      <c r="N865" s="700"/>
      <c r="O865" s="608"/>
    </row>
    <row r="866" spans="1:15" s="513" customFormat="1" ht="10.15" customHeight="1">
      <c r="A866" s="615"/>
      <c r="B866" s="535" t="s">
        <v>339</v>
      </c>
      <c r="C866" s="618">
        <v>1462</v>
      </c>
      <c r="D866" s="619">
        <v>43572</v>
      </c>
      <c r="E866" s="620" t="s">
        <v>304</v>
      </c>
      <c r="F866" s="620" t="s">
        <v>444</v>
      </c>
      <c r="G866" s="621">
        <v>922965</v>
      </c>
      <c r="H866" s="622">
        <v>47</v>
      </c>
      <c r="I866" s="620" t="s">
        <v>299</v>
      </c>
      <c r="J866" s="622">
        <v>59</v>
      </c>
      <c r="K866" s="623">
        <v>82.879000000000005</v>
      </c>
      <c r="L866" s="695">
        <f>J866+J867</f>
        <v>219</v>
      </c>
      <c r="M866" s="697">
        <f>SUM(K866:K867)</f>
        <v>196.04000000000002</v>
      </c>
      <c r="N866" s="699">
        <f t="shared" ref="N866" si="253">+L866-M866</f>
        <v>22.95999999999998</v>
      </c>
      <c r="O866" s="607" t="e">
        <f>+((K866+K867)+(#REF!+#REF!))/L866</f>
        <v>#REF!</v>
      </c>
    </row>
    <row r="867" spans="1:15" s="513" customFormat="1" ht="10.15" customHeight="1">
      <c r="A867" s="615"/>
      <c r="B867" s="535" t="s">
        <v>339</v>
      </c>
      <c r="C867" s="624">
        <v>1462</v>
      </c>
      <c r="D867" s="625">
        <v>43572</v>
      </c>
      <c r="E867" s="626" t="s">
        <v>304</v>
      </c>
      <c r="F867" s="626" t="s">
        <v>444</v>
      </c>
      <c r="G867" s="627">
        <v>922965</v>
      </c>
      <c r="H867" s="628">
        <v>47</v>
      </c>
      <c r="I867" s="626" t="s">
        <v>300</v>
      </c>
      <c r="J867" s="628">
        <v>160</v>
      </c>
      <c r="K867" s="629">
        <v>113.161</v>
      </c>
      <c r="L867" s="696"/>
      <c r="M867" s="698"/>
      <c r="N867" s="700"/>
      <c r="O867" s="608"/>
    </row>
    <row r="868" spans="1:15" s="513" customFormat="1" ht="10.15" customHeight="1">
      <c r="A868" s="615"/>
      <c r="B868" s="535" t="s">
        <v>339</v>
      </c>
      <c r="C868" s="618">
        <v>1594</v>
      </c>
      <c r="D868" s="619">
        <v>43581</v>
      </c>
      <c r="E868" s="620" t="s">
        <v>304</v>
      </c>
      <c r="F868" s="620" t="s">
        <v>445</v>
      </c>
      <c r="G868" s="621">
        <v>951919</v>
      </c>
      <c r="H868" s="622">
        <v>47</v>
      </c>
      <c r="I868" s="620" t="s">
        <v>299</v>
      </c>
      <c r="J868" s="622">
        <v>16</v>
      </c>
      <c r="K868" s="623">
        <v>11.609</v>
      </c>
      <c r="L868" s="695">
        <f>J868+J869</f>
        <v>100</v>
      </c>
      <c r="M868" s="697">
        <f>SUM(K868:K869)</f>
        <v>11.86</v>
      </c>
      <c r="N868" s="699">
        <f t="shared" ref="N868" si="254">+L868-M868</f>
        <v>88.14</v>
      </c>
      <c r="O868" s="607" t="e">
        <f>+((K868+K869)+(#REF!+#REF!))/L868</f>
        <v>#REF!</v>
      </c>
    </row>
    <row r="869" spans="1:15" s="513" customFormat="1" ht="10.15" customHeight="1">
      <c r="A869" s="615"/>
      <c r="B869" s="535" t="s">
        <v>339</v>
      </c>
      <c r="C869" s="624">
        <v>1594</v>
      </c>
      <c r="D869" s="625">
        <v>43581</v>
      </c>
      <c r="E869" s="626" t="s">
        <v>304</v>
      </c>
      <c r="F869" s="626" t="s">
        <v>445</v>
      </c>
      <c r="G869" s="627">
        <v>951919</v>
      </c>
      <c r="H869" s="628">
        <v>47</v>
      </c>
      <c r="I869" s="626" t="s">
        <v>300</v>
      </c>
      <c r="J869" s="628">
        <v>84</v>
      </c>
      <c r="K869" s="629">
        <v>0.251</v>
      </c>
      <c r="L869" s="696"/>
      <c r="M869" s="698"/>
      <c r="N869" s="700"/>
      <c r="O869" s="608"/>
    </row>
    <row r="870" spans="1:15" s="513" customFormat="1" ht="10.15" customHeight="1">
      <c r="A870" s="615"/>
      <c r="B870" s="535" t="s">
        <v>339</v>
      </c>
      <c r="C870" s="618">
        <v>2053</v>
      </c>
      <c r="D870" s="619">
        <v>43613</v>
      </c>
      <c r="E870" s="620" t="s">
        <v>304</v>
      </c>
      <c r="F870" s="620" t="s">
        <v>537</v>
      </c>
      <c r="G870" s="621">
        <v>952183</v>
      </c>
      <c r="H870" s="622">
        <v>47</v>
      </c>
      <c r="I870" s="620" t="s">
        <v>299</v>
      </c>
      <c r="J870" s="622">
        <v>20</v>
      </c>
      <c r="K870" s="623"/>
      <c r="L870" s="695">
        <f>J870+J871</f>
        <v>220</v>
      </c>
      <c r="M870" s="697">
        <f>SUM(K870:K871)</f>
        <v>0</v>
      </c>
      <c r="N870" s="699">
        <f t="shared" ref="N870" si="255">+L870-M870</f>
        <v>220</v>
      </c>
      <c r="O870" s="607" t="e">
        <f>+((K870+K871)+(#REF!+#REF!))/L870</f>
        <v>#REF!</v>
      </c>
    </row>
    <row r="871" spans="1:15" s="513" customFormat="1" ht="10.15" customHeight="1">
      <c r="A871" s="615"/>
      <c r="B871" s="535" t="s">
        <v>339</v>
      </c>
      <c r="C871" s="624">
        <v>2053</v>
      </c>
      <c r="D871" s="625">
        <v>43613</v>
      </c>
      <c r="E871" s="626" t="s">
        <v>304</v>
      </c>
      <c r="F871" s="626" t="s">
        <v>537</v>
      </c>
      <c r="G871" s="627">
        <v>952183</v>
      </c>
      <c r="H871" s="628">
        <v>47</v>
      </c>
      <c r="I871" s="626" t="s">
        <v>300</v>
      </c>
      <c r="J871" s="628">
        <v>200</v>
      </c>
      <c r="K871" s="629"/>
      <c r="L871" s="696"/>
      <c r="M871" s="698"/>
      <c r="N871" s="700"/>
      <c r="O871" s="608"/>
    </row>
    <row r="872" spans="1:15" s="513" customFormat="1" ht="10.15" customHeight="1">
      <c r="A872" s="615"/>
      <c r="B872" s="535" t="s">
        <v>339</v>
      </c>
      <c r="C872" s="618">
        <v>1594</v>
      </c>
      <c r="D872" s="619">
        <v>43581</v>
      </c>
      <c r="E872" s="620" t="s">
        <v>304</v>
      </c>
      <c r="F872" s="620" t="s">
        <v>446</v>
      </c>
      <c r="G872" s="621">
        <v>953992</v>
      </c>
      <c r="H872" s="622">
        <v>47</v>
      </c>
      <c r="I872" s="620" t="s">
        <v>299</v>
      </c>
      <c r="J872" s="622">
        <v>55</v>
      </c>
      <c r="K872" s="623">
        <v>70.391999999999996</v>
      </c>
      <c r="L872" s="695">
        <f>J872+J873</f>
        <v>350</v>
      </c>
      <c r="M872" s="697">
        <f>SUM(K872:K873)</f>
        <v>102.47</v>
      </c>
      <c r="N872" s="699">
        <f t="shared" ref="N872" si="256">+L872-M872</f>
        <v>247.53</v>
      </c>
      <c r="O872" s="607" t="e">
        <f>+((K872+K873)+(#REF!+#REF!))/L872</f>
        <v>#REF!</v>
      </c>
    </row>
    <row r="873" spans="1:15" s="513" customFormat="1" ht="10.15" customHeight="1">
      <c r="A873" s="615"/>
      <c r="B873" s="535" t="s">
        <v>339</v>
      </c>
      <c r="C873" s="624">
        <v>1594</v>
      </c>
      <c r="D873" s="625">
        <v>43581</v>
      </c>
      <c r="E873" s="626" t="s">
        <v>304</v>
      </c>
      <c r="F873" s="626" t="s">
        <v>446</v>
      </c>
      <c r="G873" s="627">
        <v>953992</v>
      </c>
      <c r="H873" s="628">
        <v>47</v>
      </c>
      <c r="I873" s="626" t="s">
        <v>300</v>
      </c>
      <c r="J873" s="628">
        <v>295</v>
      </c>
      <c r="K873" s="629">
        <v>32.078000000000003</v>
      </c>
      <c r="L873" s="696"/>
      <c r="M873" s="698"/>
      <c r="N873" s="700"/>
      <c r="O873" s="608"/>
    </row>
    <row r="874" spans="1:15" s="513" customFormat="1" ht="10.15" customHeight="1">
      <c r="A874" s="615"/>
      <c r="B874" s="535" t="s">
        <v>339</v>
      </c>
      <c r="C874" s="618">
        <v>1594</v>
      </c>
      <c r="D874" s="619">
        <v>43581</v>
      </c>
      <c r="E874" s="620" t="s">
        <v>304</v>
      </c>
      <c r="F874" s="620" t="s">
        <v>447</v>
      </c>
      <c r="G874" s="621">
        <v>954609</v>
      </c>
      <c r="H874" s="622">
        <v>47</v>
      </c>
      <c r="I874" s="620" t="s">
        <v>299</v>
      </c>
      <c r="J874" s="622">
        <v>47</v>
      </c>
      <c r="K874" s="623">
        <v>134.48500000000001</v>
      </c>
      <c r="L874" s="695">
        <f>J874+J875</f>
        <v>300</v>
      </c>
      <c r="M874" s="697">
        <f>SUM(K874:K875)</f>
        <v>247.09500000000003</v>
      </c>
      <c r="N874" s="699">
        <f t="shared" ref="N874" si="257">+L874-M874</f>
        <v>52.904999999999973</v>
      </c>
      <c r="O874" s="607" t="e">
        <f>+((K874+K875)+(#REF!+#REF!))/L874</f>
        <v>#REF!</v>
      </c>
    </row>
    <row r="875" spans="1:15" s="513" customFormat="1" ht="10.15" customHeight="1">
      <c r="A875" s="615"/>
      <c r="B875" s="535" t="s">
        <v>339</v>
      </c>
      <c r="C875" s="624">
        <v>1594</v>
      </c>
      <c r="D875" s="625">
        <v>43581</v>
      </c>
      <c r="E875" s="626" t="s">
        <v>304</v>
      </c>
      <c r="F875" s="626" t="s">
        <v>447</v>
      </c>
      <c r="G875" s="627">
        <v>954609</v>
      </c>
      <c r="H875" s="628">
        <v>47</v>
      </c>
      <c r="I875" s="626" t="s">
        <v>300</v>
      </c>
      <c r="J875" s="628">
        <v>253</v>
      </c>
      <c r="K875" s="629">
        <v>112.61</v>
      </c>
      <c r="L875" s="696"/>
      <c r="M875" s="698"/>
      <c r="N875" s="700"/>
      <c r="O875" s="608"/>
    </row>
    <row r="876" spans="1:15" s="513" customFormat="1" ht="10.15" customHeight="1">
      <c r="A876" s="615"/>
      <c r="B876" s="535" t="s">
        <v>339</v>
      </c>
      <c r="C876" s="618">
        <v>1594</v>
      </c>
      <c r="D876" s="619">
        <v>43581</v>
      </c>
      <c r="E876" s="620" t="s">
        <v>304</v>
      </c>
      <c r="F876" s="620" t="s">
        <v>448</v>
      </c>
      <c r="G876" s="621">
        <v>955330</v>
      </c>
      <c r="H876" s="622">
        <v>47</v>
      </c>
      <c r="I876" s="620" t="s">
        <v>299</v>
      </c>
      <c r="J876" s="622">
        <v>31</v>
      </c>
      <c r="K876" s="623">
        <v>89.338999999999999</v>
      </c>
      <c r="L876" s="695">
        <f>J876+J877</f>
        <v>200</v>
      </c>
      <c r="M876" s="697">
        <f>SUM(K876:K877)</f>
        <v>161.89499999999998</v>
      </c>
      <c r="N876" s="699">
        <f t="shared" ref="N876" si="258">+L876-M876</f>
        <v>38.105000000000018</v>
      </c>
      <c r="O876" s="607" t="e">
        <f>+((K876+K877)+(#REF!+#REF!))/L876</f>
        <v>#REF!</v>
      </c>
    </row>
    <row r="877" spans="1:15" s="513" customFormat="1" ht="10.15" customHeight="1">
      <c r="A877" s="615"/>
      <c r="B877" s="535" t="s">
        <v>339</v>
      </c>
      <c r="C877" s="624">
        <v>1594</v>
      </c>
      <c r="D877" s="625">
        <v>43581</v>
      </c>
      <c r="E877" s="626" t="s">
        <v>304</v>
      </c>
      <c r="F877" s="626" t="s">
        <v>448</v>
      </c>
      <c r="G877" s="627">
        <v>955330</v>
      </c>
      <c r="H877" s="628">
        <v>47</v>
      </c>
      <c r="I877" s="626" t="s">
        <v>300</v>
      </c>
      <c r="J877" s="628">
        <v>169</v>
      </c>
      <c r="K877" s="629">
        <v>72.555999999999997</v>
      </c>
      <c r="L877" s="696"/>
      <c r="M877" s="698"/>
      <c r="N877" s="700"/>
      <c r="O877" s="608"/>
    </row>
    <row r="878" spans="1:15" s="513" customFormat="1" ht="10.15" customHeight="1">
      <c r="A878" s="615"/>
      <c r="B878" s="535" t="s">
        <v>339</v>
      </c>
      <c r="C878" s="618">
        <v>1594</v>
      </c>
      <c r="D878" s="619">
        <v>43581</v>
      </c>
      <c r="E878" s="620" t="s">
        <v>304</v>
      </c>
      <c r="F878" s="620" t="s">
        <v>449</v>
      </c>
      <c r="G878" s="621">
        <v>955404</v>
      </c>
      <c r="H878" s="622">
        <v>47</v>
      </c>
      <c r="I878" s="620" t="s">
        <v>299</v>
      </c>
      <c r="J878" s="622">
        <v>47</v>
      </c>
      <c r="K878" s="623">
        <v>116.277</v>
      </c>
      <c r="L878" s="695">
        <f>J878+J879</f>
        <v>300</v>
      </c>
      <c r="M878" s="697">
        <f>SUM(K878:K879)</f>
        <v>214.53</v>
      </c>
      <c r="N878" s="699">
        <f t="shared" ref="N878" si="259">+L878-M878</f>
        <v>85.47</v>
      </c>
      <c r="O878" s="607" t="e">
        <f>+((K878+K879)+(#REF!+#REF!))/L878</f>
        <v>#REF!</v>
      </c>
    </row>
    <row r="879" spans="1:15" s="513" customFormat="1" ht="10.15" customHeight="1">
      <c r="A879" s="615"/>
      <c r="B879" s="535" t="s">
        <v>339</v>
      </c>
      <c r="C879" s="624">
        <v>1594</v>
      </c>
      <c r="D879" s="625">
        <v>43581</v>
      </c>
      <c r="E879" s="626" t="s">
        <v>304</v>
      </c>
      <c r="F879" s="626" t="s">
        <v>449</v>
      </c>
      <c r="G879" s="627">
        <v>955404</v>
      </c>
      <c r="H879" s="628">
        <v>47</v>
      </c>
      <c r="I879" s="626" t="s">
        <v>300</v>
      </c>
      <c r="J879" s="628">
        <v>253</v>
      </c>
      <c r="K879" s="629">
        <v>98.253</v>
      </c>
      <c r="L879" s="696"/>
      <c r="M879" s="698"/>
      <c r="N879" s="700"/>
      <c r="O879" s="608"/>
    </row>
    <row r="880" spans="1:15" s="513" customFormat="1" ht="10.15" customHeight="1">
      <c r="A880" s="615"/>
      <c r="B880" s="535" t="s">
        <v>339</v>
      </c>
      <c r="C880" s="618">
        <v>1462</v>
      </c>
      <c r="D880" s="619">
        <v>43572</v>
      </c>
      <c r="E880" s="620" t="s">
        <v>304</v>
      </c>
      <c r="F880" s="620" t="s">
        <v>450</v>
      </c>
      <c r="G880" s="621">
        <v>958085</v>
      </c>
      <c r="H880" s="622">
        <v>47</v>
      </c>
      <c r="I880" s="620" t="s">
        <v>299</v>
      </c>
      <c r="J880" s="622">
        <v>47</v>
      </c>
      <c r="K880" s="623">
        <v>115.929</v>
      </c>
      <c r="L880" s="695">
        <f>J880+J881</f>
        <v>176</v>
      </c>
      <c r="M880" s="697">
        <f>SUM(K880:K881)</f>
        <v>176</v>
      </c>
      <c r="N880" s="699">
        <f t="shared" ref="N880" si="260">+L880-M880</f>
        <v>0</v>
      </c>
      <c r="O880" s="607" t="e">
        <f>+((K880+K881)+(#REF!+#REF!))/L880</f>
        <v>#REF!</v>
      </c>
    </row>
    <row r="881" spans="1:15" s="513" customFormat="1" ht="10.15" customHeight="1">
      <c r="A881" s="615"/>
      <c r="B881" s="535" t="s">
        <v>339</v>
      </c>
      <c r="C881" s="624">
        <v>1462</v>
      </c>
      <c r="D881" s="625">
        <v>43572</v>
      </c>
      <c r="E881" s="626" t="s">
        <v>304</v>
      </c>
      <c r="F881" s="626" t="s">
        <v>450</v>
      </c>
      <c r="G881" s="627">
        <v>958085</v>
      </c>
      <c r="H881" s="628">
        <v>47</v>
      </c>
      <c r="I881" s="626" t="s">
        <v>300</v>
      </c>
      <c r="J881" s="628">
        <v>129</v>
      </c>
      <c r="K881" s="629">
        <v>60.070999999999998</v>
      </c>
      <c r="L881" s="696"/>
      <c r="M881" s="698"/>
      <c r="N881" s="700"/>
      <c r="O881" s="608"/>
    </row>
    <row r="882" spans="1:15" s="513" customFormat="1" ht="10.15" customHeight="1">
      <c r="A882" s="615"/>
      <c r="B882" s="535" t="s">
        <v>339</v>
      </c>
      <c r="C882" s="618">
        <v>2140</v>
      </c>
      <c r="D882" s="619">
        <v>43627</v>
      </c>
      <c r="E882" s="620" t="s">
        <v>304</v>
      </c>
      <c r="F882" s="620" t="s">
        <v>450</v>
      </c>
      <c r="G882" s="621">
        <v>958085</v>
      </c>
      <c r="H882" s="622">
        <v>47</v>
      </c>
      <c r="I882" s="620" t="s">
        <v>299</v>
      </c>
      <c r="J882" s="622">
        <v>67</v>
      </c>
      <c r="K882" s="623"/>
      <c r="L882" s="695">
        <f>J882+J883</f>
        <v>148</v>
      </c>
      <c r="M882" s="697">
        <f>SUM(K882:K883)</f>
        <v>0</v>
      </c>
      <c r="N882" s="699">
        <f t="shared" ref="N882" si="261">+L882-M882</f>
        <v>148</v>
      </c>
      <c r="O882" s="607" t="e">
        <f>+((K882+K883)+(#REF!+#REF!))/L882</f>
        <v>#REF!</v>
      </c>
    </row>
    <row r="883" spans="1:15" s="513" customFormat="1" ht="10.15" customHeight="1">
      <c r="A883" s="615"/>
      <c r="B883" s="535" t="s">
        <v>339</v>
      </c>
      <c r="C883" s="624">
        <v>2140</v>
      </c>
      <c r="D883" s="625">
        <v>43627</v>
      </c>
      <c r="E883" s="626" t="s">
        <v>304</v>
      </c>
      <c r="F883" s="626" t="s">
        <v>450</v>
      </c>
      <c r="G883" s="627">
        <v>958085</v>
      </c>
      <c r="H883" s="628">
        <v>47</v>
      </c>
      <c r="I883" s="626" t="s">
        <v>300</v>
      </c>
      <c r="J883" s="628">
        <v>81</v>
      </c>
      <c r="K883" s="629"/>
      <c r="L883" s="696"/>
      <c r="M883" s="698"/>
      <c r="N883" s="700"/>
      <c r="O883" s="608"/>
    </row>
    <row r="884" spans="1:15" s="513" customFormat="1" ht="10.15" customHeight="1">
      <c r="A884" s="615"/>
      <c r="B884" s="535" t="s">
        <v>339</v>
      </c>
      <c r="C884" s="618">
        <v>2053</v>
      </c>
      <c r="D884" s="619">
        <v>43613</v>
      </c>
      <c r="E884" s="620" t="s">
        <v>304</v>
      </c>
      <c r="F884" s="620" t="s">
        <v>538</v>
      </c>
      <c r="G884" s="621">
        <v>926664</v>
      </c>
      <c r="H884" s="622">
        <v>48</v>
      </c>
      <c r="I884" s="620" t="s">
        <v>299</v>
      </c>
      <c r="J884" s="622">
        <v>20</v>
      </c>
      <c r="K884" s="623">
        <v>4.0529999999999999</v>
      </c>
      <c r="L884" s="695">
        <f>J884+J885</f>
        <v>220</v>
      </c>
      <c r="M884" s="697">
        <f>SUM(K884:K885)</f>
        <v>58.234999999999999</v>
      </c>
      <c r="N884" s="699">
        <f t="shared" ref="N884" si="262">+L884-M884</f>
        <v>161.76499999999999</v>
      </c>
      <c r="O884" s="607" t="e">
        <f>+((K884+K885)+(#REF!+#REF!))/L884</f>
        <v>#REF!</v>
      </c>
    </row>
    <row r="885" spans="1:15" s="513" customFormat="1" ht="10.15" customHeight="1">
      <c r="A885" s="615"/>
      <c r="B885" s="535" t="s">
        <v>339</v>
      </c>
      <c r="C885" s="624">
        <v>2053</v>
      </c>
      <c r="D885" s="625">
        <v>43613</v>
      </c>
      <c r="E885" s="626" t="s">
        <v>304</v>
      </c>
      <c r="F885" s="626" t="s">
        <v>538</v>
      </c>
      <c r="G885" s="627">
        <v>926664</v>
      </c>
      <c r="H885" s="628">
        <v>48</v>
      </c>
      <c r="I885" s="626" t="s">
        <v>300</v>
      </c>
      <c r="J885" s="628">
        <v>200</v>
      </c>
      <c r="K885" s="629">
        <v>54.182000000000002</v>
      </c>
      <c r="L885" s="696"/>
      <c r="M885" s="698"/>
      <c r="N885" s="700"/>
      <c r="O885" s="608"/>
    </row>
    <row r="886" spans="1:15" s="536" customFormat="1" ht="10.15" customHeight="1">
      <c r="A886" s="616"/>
      <c r="B886" s="535" t="s">
        <v>339</v>
      </c>
      <c r="C886" s="618">
        <v>794</v>
      </c>
      <c r="D886" s="619">
        <v>43516</v>
      </c>
      <c r="E886" s="620" t="s">
        <v>304</v>
      </c>
      <c r="F886" s="620" t="s">
        <v>451</v>
      </c>
      <c r="G886" s="621">
        <v>967223</v>
      </c>
      <c r="H886" s="622">
        <v>48</v>
      </c>
      <c r="I886" s="620" t="s">
        <v>299</v>
      </c>
      <c r="J886" s="622">
        <v>10</v>
      </c>
      <c r="K886" s="623"/>
      <c r="L886" s="695">
        <f>J886+J887</f>
        <v>110</v>
      </c>
      <c r="M886" s="697">
        <f>SUM(K886:K887)</f>
        <v>0</v>
      </c>
      <c r="N886" s="699">
        <f t="shared" ref="N886" si="263">+L886-M886</f>
        <v>110</v>
      </c>
      <c r="O886" s="607" t="e">
        <f>+((K886+K887)+(#REF!+#REF!))/L886</f>
        <v>#REF!</v>
      </c>
    </row>
    <row r="887" spans="1:15" s="536" customFormat="1" ht="10.15" customHeight="1">
      <c r="A887" s="616"/>
      <c r="B887" s="535" t="s">
        <v>339</v>
      </c>
      <c r="C887" s="624">
        <v>794</v>
      </c>
      <c r="D887" s="625">
        <v>43516</v>
      </c>
      <c r="E887" s="626" t="s">
        <v>304</v>
      </c>
      <c r="F887" s="626" t="s">
        <v>451</v>
      </c>
      <c r="G887" s="627">
        <v>967223</v>
      </c>
      <c r="H887" s="628">
        <v>48</v>
      </c>
      <c r="I887" s="626" t="s">
        <v>300</v>
      </c>
      <c r="J887" s="628">
        <v>100</v>
      </c>
      <c r="K887" s="629"/>
      <c r="L887" s="696"/>
      <c r="M887" s="698"/>
      <c r="N887" s="700"/>
      <c r="O887" s="608"/>
    </row>
    <row r="888" spans="1:15" s="536" customFormat="1" ht="10.15" customHeight="1">
      <c r="A888" s="616"/>
      <c r="B888" s="535" t="s">
        <v>339</v>
      </c>
      <c r="C888" s="618">
        <v>1528</v>
      </c>
      <c r="D888" s="619">
        <v>43578</v>
      </c>
      <c r="E888" s="620" t="s">
        <v>304</v>
      </c>
      <c r="F888" s="620" t="s">
        <v>452</v>
      </c>
      <c r="G888" s="621">
        <v>902733</v>
      </c>
      <c r="H888" s="622">
        <v>49</v>
      </c>
      <c r="I888" s="620" t="s">
        <v>299</v>
      </c>
      <c r="J888" s="622">
        <v>20</v>
      </c>
      <c r="K888" s="623">
        <v>93.168000000000006</v>
      </c>
      <c r="L888" s="695">
        <f>J888+J889</f>
        <v>220</v>
      </c>
      <c r="M888" s="697">
        <f>SUM(K888:K889)</f>
        <v>220</v>
      </c>
      <c r="N888" s="699">
        <f t="shared" ref="N888" si="264">+L888-M888</f>
        <v>0</v>
      </c>
      <c r="O888" s="607" t="e">
        <f>+((K888+K889)+(#REF!+#REF!))/L888</f>
        <v>#REF!</v>
      </c>
    </row>
    <row r="889" spans="1:15" s="536" customFormat="1" ht="10.15" customHeight="1">
      <c r="A889" s="616"/>
      <c r="B889" s="535" t="s">
        <v>339</v>
      </c>
      <c r="C889" s="624">
        <v>1528</v>
      </c>
      <c r="D889" s="625">
        <v>43578</v>
      </c>
      <c r="E889" s="626" t="s">
        <v>304</v>
      </c>
      <c r="F889" s="626" t="s">
        <v>452</v>
      </c>
      <c r="G889" s="627">
        <v>902733</v>
      </c>
      <c r="H889" s="628">
        <v>49</v>
      </c>
      <c r="I889" s="626" t="s">
        <v>300</v>
      </c>
      <c r="J889" s="628">
        <v>200</v>
      </c>
      <c r="K889" s="629">
        <v>126.83199999999999</v>
      </c>
      <c r="L889" s="696"/>
      <c r="M889" s="698"/>
      <c r="N889" s="700"/>
      <c r="O889" s="608"/>
    </row>
    <row r="890" spans="1:15" s="536" customFormat="1" ht="10.15" customHeight="1">
      <c r="A890" s="616"/>
      <c r="B890" s="535" t="s">
        <v>339</v>
      </c>
      <c r="C890" s="618">
        <v>2139</v>
      </c>
      <c r="D890" s="619">
        <v>43627</v>
      </c>
      <c r="E890" s="620" t="s">
        <v>304</v>
      </c>
      <c r="F890" s="620" t="s">
        <v>452</v>
      </c>
      <c r="G890" s="621">
        <v>902733</v>
      </c>
      <c r="H890" s="622">
        <v>49</v>
      </c>
      <c r="I890" s="620" t="s">
        <v>299</v>
      </c>
      <c r="J890" s="622">
        <v>30</v>
      </c>
      <c r="K890" s="623">
        <v>58.869</v>
      </c>
      <c r="L890" s="695">
        <f>J890+J891</f>
        <v>190</v>
      </c>
      <c r="M890" s="697">
        <f>SUM(K890:K891)</f>
        <v>189.126</v>
      </c>
      <c r="N890" s="699">
        <f t="shared" ref="N890" si="265">+L890-M890</f>
        <v>0.87399999999999523</v>
      </c>
      <c r="O890" s="607" t="e">
        <f>+((K890+K891)+(#REF!+#REF!))/L890</f>
        <v>#REF!</v>
      </c>
    </row>
    <row r="891" spans="1:15" s="536" customFormat="1" ht="10.15" customHeight="1">
      <c r="A891" s="616"/>
      <c r="B891" s="535" t="s">
        <v>339</v>
      </c>
      <c r="C891" s="624">
        <v>2139</v>
      </c>
      <c r="D891" s="625">
        <v>43627</v>
      </c>
      <c r="E891" s="626" t="s">
        <v>304</v>
      </c>
      <c r="F891" s="626" t="s">
        <v>452</v>
      </c>
      <c r="G891" s="627">
        <v>902733</v>
      </c>
      <c r="H891" s="628">
        <v>49</v>
      </c>
      <c r="I891" s="626" t="s">
        <v>300</v>
      </c>
      <c r="J891" s="628">
        <v>160</v>
      </c>
      <c r="K891" s="629">
        <v>130.25700000000001</v>
      </c>
      <c r="L891" s="696"/>
      <c r="M891" s="698"/>
      <c r="N891" s="700"/>
      <c r="O891" s="608"/>
    </row>
    <row r="892" spans="1:15" s="536" customFormat="1" ht="10.15" customHeight="1">
      <c r="A892" s="616"/>
      <c r="B892" s="535" t="s">
        <v>339</v>
      </c>
      <c r="C892" s="618">
        <v>1594</v>
      </c>
      <c r="D892" s="619">
        <v>43581</v>
      </c>
      <c r="E892" s="620" t="s">
        <v>304</v>
      </c>
      <c r="F892" s="620" t="s">
        <v>453</v>
      </c>
      <c r="G892" s="621">
        <v>952323</v>
      </c>
      <c r="H892" s="622">
        <v>49</v>
      </c>
      <c r="I892" s="620" t="s">
        <v>299</v>
      </c>
      <c r="J892" s="622">
        <v>55</v>
      </c>
      <c r="K892" s="623">
        <v>119.399</v>
      </c>
      <c r="L892" s="695">
        <f>J892+J893</f>
        <v>350</v>
      </c>
      <c r="M892" s="697">
        <f>SUM(K892:K893)</f>
        <v>224.67000000000002</v>
      </c>
      <c r="N892" s="699">
        <f t="shared" ref="N892" si="266">+L892-M892</f>
        <v>125.32999999999998</v>
      </c>
      <c r="O892" s="607" t="e">
        <f>+((K892+K893)+(#REF!+#REF!))/L892</f>
        <v>#REF!</v>
      </c>
    </row>
    <row r="893" spans="1:15" s="536" customFormat="1" ht="10.15" customHeight="1">
      <c r="A893" s="616"/>
      <c r="B893" s="535" t="s">
        <v>339</v>
      </c>
      <c r="C893" s="624">
        <v>1594</v>
      </c>
      <c r="D893" s="625">
        <v>43581</v>
      </c>
      <c r="E893" s="626" t="s">
        <v>304</v>
      </c>
      <c r="F893" s="626" t="s">
        <v>453</v>
      </c>
      <c r="G893" s="627">
        <v>952323</v>
      </c>
      <c r="H893" s="628">
        <v>49</v>
      </c>
      <c r="I893" s="626" t="s">
        <v>300</v>
      </c>
      <c r="J893" s="628">
        <v>295</v>
      </c>
      <c r="K893" s="629">
        <v>105.271</v>
      </c>
      <c r="L893" s="696"/>
      <c r="M893" s="698"/>
      <c r="N893" s="700"/>
      <c r="O893" s="608"/>
    </row>
    <row r="894" spans="1:15" s="536" customFormat="1" ht="10.15" customHeight="1">
      <c r="A894" s="616"/>
      <c r="B894" s="535" t="s">
        <v>339</v>
      </c>
      <c r="C894" s="618">
        <v>1462</v>
      </c>
      <c r="D894" s="619">
        <v>43572</v>
      </c>
      <c r="E894" s="620" t="s">
        <v>304</v>
      </c>
      <c r="F894" s="620" t="s">
        <v>454</v>
      </c>
      <c r="G894" s="621">
        <v>952868</v>
      </c>
      <c r="H894" s="622">
        <v>49</v>
      </c>
      <c r="I894" s="620" t="s">
        <v>299</v>
      </c>
      <c r="J894" s="622">
        <v>36</v>
      </c>
      <c r="K894" s="623">
        <v>58.786999999999999</v>
      </c>
      <c r="L894" s="695">
        <f>J894+J895</f>
        <v>134</v>
      </c>
      <c r="M894" s="697">
        <f>SUM(K894:K895)</f>
        <v>117.78</v>
      </c>
      <c r="N894" s="699">
        <f t="shared" ref="N894" si="267">+L894-M894</f>
        <v>16.22</v>
      </c>
      <c r="O894" s="607" t="e">
        <f>+((K894+K895)+(#REF!+#REF!))/L894</f>
        <v>#REF!</v>
      </c>
    </row>
    <row r="895" spans="1:15" s="536" customFormat="1" ht="10.15" customHeight="1">
      <c r="A895" s="616"/>
      <c r="B895" s="535" t="s">
        <v>339</v>
      </c>
      <c r="C895" s="624">
        <v>1462</v>
      </c>
      <c r="D895" s="625">
        <v>43572</v>
      </c>
      <c r="E895" s="626" t="s">
        <v>304</v>
      </c>
      <c r="F895" s="626" t="s">
        <v>454</v>
      </c>
      <c r="G895" s="627">
        <v>952868</v>
      </c>
      <c r="H895" s="628">
        <v>49</v>
      </c>
      <c r="I895" s="626" t="s">
        <v>300</v>
      </c>
      <c r="J895" s="628">
        <v>98</v>
      </c>
      <c r="K895" s="629">
        <v>58.993000000000002</v>
      </c>
      <c r="L895" s="696"/>
      <c r="M895" s="698"/>
      <c r="N895" s="700"/>
      <c r="O895" s="608"/>
    </row>
    <row r="896" spans="1:15" s="536" customFormat="1" ht="10.15" customHeight="1">
      <c r="A896" s="616"/>
      <c r="B896" s="535" t="s">
        <v>339</v>
      </c>
      <c r="C896" s="618">
        <v>1638</v>
      </c>
      <c r="D896" s="619">
        <v>43585</v>
      </c>
      <c r="E896" s="620" t="s">
        <v>304</v>
      </c>
      <c r="F896" s="620" t="s">
        <v>455</v>
      </c>
      <c r="G896" s="621">
        <v>956608</v>
      </c>
      <c r="H896" s="622">
        <v>49</v>
      </c>
      <c r="I896" s="620" t="s">
        <v>299</v>
      </c>
      <c r="J896" s="622">
        <v>10</v>
      </c>
      <c r="K896" s="623">
        <v>45.533999999999999</v>
      </c>
      <c r="L896" s="695">
        <f>J896+J897</f>
        <v>100</v>
      </c>
      <c r="M896" s="697">
        <f>SUM(K896:K897)</f>
        <v>100</v>
      </c>
      <c r="N896" s="699">
        <f t="shared" ref="N896" si="268">+L896-M896</f>
        <v>0</v>
      </c>
      <c r="O896" s="607" t="e">
        <f>+((K896+K897)+(#REF!+#REF!))/L896</f>
        <v>#REF!</v>
      </c>
    </row>
    <row r="897" spans="1:15" s="536" customFormat="1" ht="10.15" customHeight="1">
      <c r="A897" s="616"/>
      <c r="B897" s="535" t="s">
        <v>339</v>
      </c>
      <c r="C897" s="624">
        <v>1638</v>
      </c>
      <c r="D897" s="625">
        <v>43585</v>
      </c>
      <c r="E897" s="626" t="s">
        <v>304</v>
      </c>
      <c r="F897" s="626" t="s">
        <v>455</v>
      </c>
      <c r="G897" s="627">
        <v>956608</v>
      </c>
      <c r="H897" s="628">
        <v>49</v>
      </c>
      <c r="I897" s="626" t="s">
        <v>300</v>
      </c>
      <c r="J897" s="628">
        <v>90</v>
      </c>
      <c r="K897" s="629">
        <v>54.466000000000001</v>
      </c>
      <c r="L897" s="696"/>
      <c r="M897" s="698"/>
      <c r="N897" s="700"/>
      <c r="O897" s="608"/>
    </row>
    <row r="898" spans="1:15" s="536" customFormat="1" ht="10.15" customHeight="1">
      <c r="A898" s="616"/>
      <c r="B898" s="535" t="s">
        <v>339</v>
      </c>
      <c r="C898" s="618">
        <v>1594</v>
      </c>
      <c r="D898" s="619">
        <v>43581</v>
      </c>
      <c r="E898" s="620" t="s">
        <v>304</v>
      </c>
      <c r="F898" s="620" t="s">
        <v>456</v>
      </c>
      <c r="G898" s="621">
        <v>961564</v>
      </c>
      <c r="H898" s="622">
        <v>49</v>
      </c>
      <c r="I898" s="620" t="s">
        <v>299</v>
      </c>
      <c r="J898" s="622">
        <v>23</v>
      </c>
      <c r="K898" s="623"/>
      <c r="L898" s="695">
        <f>J898+J899</f>
        <v>150</v>
      </c>
      <c r="M898" s="697">
        <f>SUM(K898:K899)</f>
        <v>0</v>
      </c>
      <c r="N898" s="699">
        <f t="shared" ref="N898" si="269">+L898-M898</f>
        <v>150</v>
      </c>
      <c r="O898" s="607" t="e">
        <f>+((K898+K899)+(#REF!+#REF!))/L898</f>
        <v>#REF!</v>
      </c>
    </row>
    <row r="899" spans="1:15" s="536" customFormat="1" ht="10.15" customHeight="1">
      <c r="A899" s="616"/>
      <c r="B899" s="535" t="s">
        <v>339</v>
      </c>
      <c r="C899" s="624">
        <v>1594</v>
      </c>
      <c r="D899" s="625">
        <v>43581</v>
      </c>
      <c r="E899" s="626" t="s">
        <v>304</v>
      </c>
      <c r="F899" s="626" t="s">
        <v>456</v>
      </c>
      <c r="G899" s="627">
        <v>961564</v>
      </c>
      <c r="H899" s="628">
        <v>49</v>
      </c>
      <c r="I899" s="626" t="s">
        <v>300</v>
      </c>
      <c r="J899" s="628">
        <v>127</v>
      </c>
      <c r="K899" s="629"/>
      <c r="L899" s="696"/>
      <c r="M899" s="698"/>
      <c r="N899" s="700"/>
      <c r="O899" s="608"/>
    </row>
    <row r="900" spans="1:15" s="536" customFormat="1" ht="10.15" customHeight="1">
      <c r="A900" s="616"/>
      <c r="B900" s="535" t="s">
        <v>339</v>
      </c>
      <c r="C900" s="618">
        <v>1079</v>
      </c>
      <c r="D900" s="619">
        <v>43551</v>
      </c>
      <c r="E900" s="620" t="s">
        <v>304</v>
      </c>
      <c r="F900" s="620" t="s">
        <v>457</v>
      </c>
      <c r="G900" s="621">
        <v>956591</v>
      </c>
      <c r="H900" s="622">
        <v>50</v>
      </c>
      <c r="I900" s="620" t="s">
        <v>299</v>
      </c>
      <c r="J900" s="622">
        <v>100</v>
      </c>
      <c r="K900" s="623">
        <v>117.39100000000001</v>
      </c>
      <c r="L900" s="695">
        <f>J900+J901</f>
        <v>300</v>
      </c>
      <c r="M900" s="697">
        <f>SUM(K900:K901)</f>
        <v>289.61</v>
      </c>
      <c r="N900" s="699">
        <f t="shared" ref="N900" si="270">+L900-M900</f>
        <v>10.389999999999986</v>
      </c>
      <c r="O900" s="607" t="e">
        <f>+((K900+K901)+(#REF!+#REF!))/L900</f>
        <v>#REF!</v>
      </c>
    </row>
    <row r="901" spans="1:15" s="536" customFormat="1" ht="10.15" customHeight="1">
      <c r="A901" s="616"/>
      <c r="B901" s="535" t="s">
        <v>339</v>
      </c>
      <c r="C901" s="624">
        <v>1079</v>
      </c>
      <c r="D901" s="625">
        <v>43551</v>
      </c>
      <c r="E901" s="626" t="s">
        <v>304</v>
      </c>
      <c r="F901" s="626" t="s">
        <v>457</v>
      </c>
      <c r="G901" s="627">
        <v>956591</v>
      </c>
      <c r="H901" s="628">
        <v>50</v>
      </c>
      <c r="I901" s="626" t="s">
        <v>300</v>
      </c>
      <c r="J901" s="628">
        <v>200</v>
      </c>
      <c r="K901" s="629">
        <v>172.21899999999999</v>
      </c>
      <c r="L901" s="696"/>
      <c r="M901" s="698"/>
      <c r="N901" s="700"/>
      <c r="O901" s="608"/>
    </row>
    <row r="902" spans="1:15" s="536" customFormat="1" ht="10.15" customHeight="1">
      <c r="A902" s="616"/>
      <c r="B902" s="535" t="s">
        <v>339</v>
      </c>
      <c r="C902" s="618">
        <v>1411</v>
      </c>
      <c r="D902" s="619">
        <v>43566</v>
      </c>
      <c r="E902" s="620" t="s">
        <v>303</v>
      </c>
      <c r="F902" s="620" t="s">
        <v>457</v>
      </c>
      <c r="G902" s="621">
        <v>956591</v>
      </c>
      <c r="H902" s="622">
        <v>50</v>
      </c>
      <c r="I902" s="620" t="s">
        <v>299</v>
      </c>
      <c r="J902" s="622">
        <v>25</v>
      </c>
      <c r="K902" s="623">
        <v>12.68</v>
      </c>
      <c r="L902" s="695">
        <f>J902+J903</f>
        <v>600</v>
      </c>
      <c r="M902" s="697">
        <f>SUM(K902:K903)</f>
        <v>45.75</v>
      </c>
      <c r="N902" s="699">
        <f t="shared" ref="N902" si="271">+L902-M902</f>
        <v>554.25</v>
      </c>
      <c r="O902" s="607" t="e">
        <f>+((K902+K903)+(#REF!+#REF!))/L902</f>
        <v>#REF!</v>
      </c>
    </row>
    <row r="903" spans="1:15" s="536" customFormat="1" ht="10.15" customHeight="1">
      <c r="A903" s="616"/>
      <c r="B903" s="535" t="s">
        <v>339</v>
      </c>
      <c r="C903" s="624">
        <v>1411</v>
      </c>
      <c r="D903" s="625">
        <v>43566</v>
      </c>
      <c r="E903" s="626" t="s">
        <v>303</v>
      </c>
      <c r="F903" s="626" t="s">
        <v>457</v>
      </c>
      <c r="G903" s="627">
        <v>956591</v>
      </c>
      <c r="H903" s="628">
        <v>50</v>
      </c>
      <c r="I903" s="626" t="s">
        <v>300</v>
      </c>
      <c r="J903" s="628">
        <v>575</v>
      </c>
      <c r="K903" s="629">
        <v>33.07</v>
      </c>
      <c r="L903" s="696"/>
      <c r="M903" s="698"/>
      <c r="N903" s="700"/>
      <c r="O903" s="608"/>
    </row>
    <row r="904" spans="1:15" s="536" customFormat="1" ht="10.15" customHeight="1">
      <c r="A904" s="616"/>
      <c r="B904" s="535" t="s">
        <v>339</v>
      </c>
      <c r="C904" s="618">
        <v>1462</v>
      </c>
      <c r="D904" s="619">
        <v>43572</v>
      </c>
      <c r="E904" s="620" t="s">
        <v>304</v>
      </c>
      <c r="F904" s="620" t="s">
        <v>458</v>
      </c>
      <c r="G904" s="621">
        <v>958713</v>
      </c>
      <c r="H904" s="622">
        <v>50</v>
      </c>
      <c r="I904" s="620" t="s">
        <v>299</v>
      </c>
      <c r="J904" s="622">
        <v>83</v>
      </c>
      <c r="K904" s="623">
        <v>20</v>
      </c>
      <c r="L904" s="695">
        <f>J904+J905</f>
        <v>310</v>
      </c>
      <c r="M904" s="697">
        <f>SUM(K904:K905)</f>
        <v>33.363</v>
      </c>
      <c r="N904" s="699">
        <f t="shared" ref="N904" si="272">+L904-M904</f>
        <v>276.637</v>
      </c>
      <c r="O904" s="607" t="e">
        <f>+((K904+K905)+(#REF!+#REF!))/L904</f>
        <v>#REF!</v>
      </c>
    </row>
    <row r="905" spans="1:15" s="536" customFormat="1" ht="10.15" customHeight="1">
      <c r="A905" s="616"/>
      <c r="B905" s="535" t="s">
        <v>339</v>
      </c>
      <c r="C905" s="624">
        <v>1462</v>
      </c>
      <c r="D905" s="625">
        <v>43572</v>
      </c>
      <c r="E905" s="626" t="s">
        <v>304</v>
      </c>
      <c r="F905" s="626" t="s">
        <v>458</v>
      </c>
      <c r="G905" s="627">
        <v>958713</v>
      </c>
      <c r="H905" s="628">
        <v>50</v>
      </c>
      <c r="I905" s="626" t="s">
        <v>300</v>
      </c>
      <c r="J905" s="628">
        <v>227</v>
      </c>
      <c r="K905" s="629">
        <v>13.363</v>
      </c>
      <c r="L905" s="696"/>
      <c r="M905" s="698"/>
      <c r="N905" s="700"/>
      <c r="O905" s="608"/>
    </row>
    <row r="906" spans="1:15" s="536" customFormat="1" ht="10.15" customHeight="1">
      <c r="A906" s="616"/>
      <c r="B906" s="535" t="s">
        <v>339</v>
      </c>
      <c r="C906" s="618">
        <v>1528</v>
      </c>
      <c r="D906" s="619">
        <v>43578</v>
      </c>
      <c r="E906" s="620" t="s">
        <v>304</v>
      </c>
      <c r="F906" s="620" t="s">
        <v>459</v>
      </c>
      <c r="G906" s="621">
        <v>960060</v>
      </c>
      <c r="H906" s="622">
        <v>50</v>
      </c>
      <c r="I906" s="620" t="s">
        <v>299</v>
      </c>
      <c r="J906" s="622">
        <v>20</v>
      </c>
      <c r="K906" s="623">
        <v>130.94200000000001</v>
      </c>
      <c r="L906" s="695">
        <f>J906+J907</f>
        <v>220</v>
      </c>
      <c r="M906" s="697">
        <f>SUM(K906:K907)</f>
        <v>220</v>
      </c>
      <c r="N906" s="699">
        <f t="shared" ref="N906" si="273">+L906-M906</f>
        <v>0</v>
      </c>
      <c r="O906" s="607" t="e">
        <f>+((K906+K907)+(#REF!+#REF!))/L906</f>
        <v>#REF!</v>
      </c>
    </row>
    <row r="907" spans="1:15" s="536" customFormat="1" ht="10.15" customHeight="1">
      <c r="A907" s="616"/>
      <c r="B907" s="535" t="s">
        <v>339</v>
      </c>
      <c r="C907" s="624">
        <v>1528</v>
      </c>
      <c r="D907" s="625">
        <v>43578</v>
      </c>
      <c r="E907" s="626" t="s">
        <v>304</v>
      </c>
      <c r="F907" s="626" t="s">
        <v>459</v>
      </c>
      <c r="G907" s="627">
        <v>960060</v>
      </c>
      <c r="H907" s="628">
        <v>50</v>
      </c>
      <c r="I907" s="626" t="s">
        <v>300</v>
      </c>
      <c r="J907" s="628">
        <v>200</v>
      </c>
      <c r="K907" s="629">
        <v>89.058000000000007</v>
      </c>
      <c r="L907" s="696"/>
      <c r="M907" s="698"/>
      <c r="N907" s="700"/>
      <c r="O907" s="608"/>
    </row>
    <row r="908" spans="1:15" s="536" customFormat="1" ht="10.15" customHeight="1">
      <c r="A908" s="616"/>
      <c r="B908" s="535" t="s">
        <v>339</v>
      </c>
      <c r="C908" s="618">
        <v>2139</v>
      </c>
      <c r="D908" s="619">
        <v>43627</v>
      </c>
      <c r="E908" s="620" t="s">
        <v>304</v>
      </c>
      <c r="F908" s="620" t="s">
        <v>459</v>
      </c>
      <c r="G908" s="621">
        <v>960060</v>
      </c>
      <c r="H908" s="622">
        <v>50</v>
      </c>
      <c r="I908" s="620" t="s">
        <v>299</v>
      </c>
      <c r="J908" s="622">
        <v>30</v>
      </c>
      <c r="K908" s="623">
        <v>126.08499999999999</v>
      </c>
      <c r="L908" s="695">
        <f>J908+J909</f>
        <v>190</v>
      </c>
      <c r="M908" s="697">
        <f>SUM(K908:K909)</f>
        <v>190</v>
      </c>
      <c r="N908" s="699">
        <f t="shared" ref="N908" si="274">+L908-M908</f>
        <v>0</v>
      </c>
      <c r="O908" s="607" t="e">
        <f>+((K908+K909)+(#REF!+#REF!))/L908</f>
        <v>#REF!</v>
      </c>
    </row>
    <row r="909" spans="1:15" s="536" customFormat="1" ht="10.15" customHeight="1">
      <c r="A909" s="616"/>
      <c r="B909" s="535" t="s">
        <v>339</v>
      </c>
      <c r="C909" s="624">
        <v>2139</v>
      </c>
      <c r="D909" s="625">
        <v>43627</v>
      </c>
      <c r="E909" s="626" t="s">
        <v>304</v>
      </c>
      <c r="F909" s="626" t="s">
        <v>459</v>
      </c>
      <c r="G909" s="627">
        <v>960060</v>
      </c>
      <c r="H909" s="628">
        <v>50</v>
      </c>
      <c r="I909" s="626" t="s">
        <v>300</v>
      </c>
      <c r="J909" s="628">
        <v>160</v>
      </c>
      <c r="K909" s="629">
        <v>63.914999999999999</v>
      </c>
      <c r="L909" s="696"/>
      <c r="M909" s="698"/>
      <c r="N909" s="700"/>
      <c r="O909" s="608"/>
    </row>
    <row r="910" spans="1:15" s="536" customFormat="1" ht="10.15" customHeight="1">
      <c r="A910" s="616"/>
      <c r="B910" s="535" t="s">
        <v>339</v>
      </c>
      <c r="C910" s="618">
        <v>2026</v>
      </c>
      <c r="D910" s="619">
        <v>43613</v>
      </c>
      <c r="E910" s="620" t="s">
        <v>303</v>
      </c>
      <c r="F910" s="620" t="s">
        <v>526</v>
      </c>
      <c r="G910" s="621">
        <v>962146</v>
      </c>
      <c r="H910" s="622">
        <v>50</v>
      </c>
      <c r="I910" s="620" t="s">
        <v>299</v>
      </c>
      <c r="J910" s="622">
        <v>50</v>
      </c>
      <c r="K910" s="623">
        <v>58.064</v>
      </c>
      <c r="L910" s="695">
        <f>J910+J911</f>
        <v>300</v>
      </c>
      <c r="M910" s="697">
        <f>SUM(K910:K911)</f>
        <v>69.260000000000005</v>
      </c>
      <c r="N910" s="699">
        <f t="shared" ref="N910" si="275">+L910-M910</f>
        <v>230.74</v>
      </c>
      <c r="O910" s="607" t="e">
        <f>+((K910+K911)+(#REF!+#REF!))/L910</f>
        <v>#REF!</v>
      </c>
    </row>
    <row r="911" spans="1:15" s="536" customFormat="1" ht="10.15" customHeight="1">
      <c r="A911" s="616"/>
      <c r="B911" s="535" t="s">
        <v>339</v>
      </c>
      <c r="C911" s="624">
        <v>2026</v>
      </c>
      <c r="D911" s="625">
        <v>43613</v>
      </c>
      <c r="E911" s="626" t="s">
        <v>303</v>
      </c>
      <c r="F911" s="626" t="s">
        <v>526</v>
      </c>
      <c r="G911" s="627">
        <v>962146</v>
      </c>
      <c r="H911" s="628">
        <v>50</v>
      </c>
      <c r="I911" s="626" t="s">
        <v>300</v>
      </c>
      <c r="J911" s="628">
        <v>250</v>
      </c>
      <c r="K911" s="629">
        <v>11.196</v>
      </c>
      <c r="L911" s="696"/>
      <c r="M911" s="698"/>
      <c r="N911" s="700"/>
      <c r="O911" s="608"/>
    </row>
    <row r="912" spans="1:15" s="536" customFormat="1" ht="10.15" customHeight="1">
      <c r="A912" s="616"/>
      <c r="B912" s="535" t="s">
        <v>339</v>
      </c>
      <c r="C912" s="618">
        <v>794</v>
      </c>
      <c r="D912" s="619">
        <v>43516</v>
      </c>
      <c r="E912" s="620" t="s">
        <v>304</v>
      </c>
      <c r="F912" s="620" t="s">
        <v>460</v>
      </c>
      <c r="G912" s="621">
        <v>963607</v>
      </c>
      <c r="H912" s="622">
        <v>50</v>
      </c>
      <c r="I912" s="620" t="s">
        <v>299</v>
      </c>
      <c r="J912" s="622">
        <v>10</v>
      </c>
      <c r="K912" s="623">
        <v>81.504000000000005</v>
      </c>
      <c r="L912" s="695">
        <f t="shared" ref="L912" si="276">J912+J913</f>
        <v>110</v>
      </c>
      <c r="M912" s="697">
        <f t="shared" ref="M912" si="277">SUM(K912:K913)</f>
        <v>109.25</v>
      </c>
      <c r="N912" s="699">
        <f t="shared" ref="N912" si="278">+L912-M912</f>
        <v>0.75</v>
      </c>
      <c r="O912" s="607" t="e">
        <f>+((K912+K913)+(#REF!+#REF!))/L912</f>
        <v>#REF!</v>
      </c>
    </row>
    <row r="913" spans="1:15" s="536" customFormat="1" ht="10.15" customHeight="1">
      <c r="A913" s="616"/>
      <c r="B913" s="535" t="s">
        <v>339</v>
      </c>
      <c r="C913" s="624">
        <v>794</v>
      </c>
      <c r="D913" s="625">
        <v>43516</v>
      </c>
      <c r="E913" s="626" t="s">
        <v>304</v>
      </c>
      <c r="F913" s="626" t="s">
        <v>460</v>
      </c>
      <c r="G913" s="627">
        <v>963607</v>
      </c>
      <c r="H913" s="628">
        <v>50</v>
      </c>
      <c r="I913" s="626" t="s">
        <v>300</v>
      </c>
      <c r="J913" s="628">
        <v>100</v>
      </c>
      <c r="K913" s="629">
        <v>27.745999999999999</v>
      </c>
      <c r="L913" s="696"/>
      <c r="M913" s="698"/>
      <c r="N913" s="700"/>
      <c r="O913" s="608"/>
    </row>
    <row r="914" spans="1:15" s="536" customFormat="1" ht="10.15" customHeight="1">
      <c r="A914" s="616"/>
      <c r="B914" s="535" t="s">
        <v>339</v>
      </c>
      <c r="C914" s="618">
        <v>794</v>
      </c>
      <c r="D914" s="619">
        <v>43516</v>
      </c>
      <c r="E914" s="620" t="s">
        <v>304</v>
      </c>
      <c r="F914" s="620" t="s">
        <v>461</v>
      </c>
      <c r="G914" s="621">
        <v>964344</v>
      </c>
      <c r="H914" s="622">
        <v>51</v>
      </c>
      <c r="I914" s="620" t="s">
        <v>299</v>
      </c>
      <c r="J914" s="622">
        <v>10</v>
      </c>
      <c r="K914" s="623">
        <v>50.53</v>
      </c>
      <c r="L914" s="695">
        <f t="shared" ref="L914" si="279">J914+J915</f>
        <v>110</v>
      </c>
      <c r="M914" s="697">
        <f t="shared" ref="M914" si="280">SUM(K914:K915)</f>
        <v>110</v>
      </c>
      <c r="N914" s="699">
        <f t="shared" ref="N914" si="281">+L914-M914</f>
        <v>0</v>
      </c>
      <c r="O914" s="607" t="e">
        <f>+((K914+K915)+(#REF!+#REF!))/L914</f>
        <v>#REF!</v>
      </c>
    </row>
    <row r="915" spans="1:15" s="536" customFormat="1" ht="10.15" customHeight="1">
      <c r="A915" s="616"/>
      <c r="B915" s="535" t="s">
        <v>339</v>
      </c>
      <c r="C915" s="624">
        <v>794</v>
      </c>
      <c r="D915" s="625">
        <v>43516</v>
      </c>
      <c r="E915" s="626" t="s">
        <v>304</v>
      </c>
      <c r="F915" s="626" t="s">
        <v>461</v>
      </c>
      <c r="G915" s="627">
        <v>964344</v>
      </c>
      <c r="H915" s="628">
        <v>51</v>
      </c>
      <c r="I915" s="626" t="s">
        <v>300</v>
      </c>
      <c r="J915" s="628">
        <v>100</v>
      </c>
      <c r="K915" s="629">
        <v>59.47</v>
      </c>
      <c r="L915" s="696"/>
      <c r="M915" s="698"/>
      <c r="N915" s="700"/>
      <c r="O915" s="608"/>
    </row>
    <row r="916" spans="1:15" s="536" customFormat="1" ht="10.15" customHeight="1">
      <c r="A916" s="616"/>
      <c r="B916" s="535" t="s">
        <v>339</v>
      </c>
      <c r="C916" s="618">
        <v>795</v>
      </c>
      <c r="D916" s="619">
        <v>43524</v>
      </c>
      <c r="E916" s="620" t="s">
        <v>304</v>
      </c>
      <c r="F916" s="620" t="s">
        <v>462</v>
      </c>
      <c r="G916" s="621">
        <v>913411</v>
      </c>
      <c r="H916" s="622">
        <v>52</v>
      </c>
      <c r="I916" s="620" t="s">
        <v>299</v>
      </c>
      <c r="J916" s="622">
        <v>44</v>
      </c>
      <c r="K916" s="623">
        <v>30.684000000000001</v>
      </c>
      <c r="L916" s="695">
        <f t="shared" ref="L916" si="282">J916+J917</f>
        <v>162</v>
      </c>
      <c r="M916" s="697">
        <f t="shared" ref="M916" si="283">SUM(K916:K917)</f>
        <v>148.684</v>
      </c>
      <c r="N916" s="699">
        <f t="shared" ref="N916" si="284">+L916-M916</f>
        <v>13.316000000000003</v>
      </c>
      <c r="O916" s="607" t="e">
        <f>+((K916+K917)+(#REF!+#REF!))/L916</f>
        <v>#REF!</v>
      </c>
    </row>
    <row r="917" spans="1:15" s="536" customFormat="1" ht="10.15" customHeight="1">
      <c r="A917" s="616"/>
      <c r="B917" s="535" t="s">
        <v>339</v>
      </c>
      <c r="C917" s="624">
        <v>795</v>
      </c>
      <c r="D917" s="625">
        <v>43524</v>
      </c>
      <c r="E917" s="626" t="s">
        <v>304</v>
      </c>
      <c r="F917" s="626" t="s">
        <v>462</v>
      </c>
      <c r="G917" s="627">
        <v>913411</v>
      </c>
      <c r="H917" s="628">
        <v>52</v>
      </c>
      <c r="I917" s="626" t="s">
        <v>300</v>
      </c>
      <c r="J917" s="628">
        <v>118</v>
      </c>
      <c r="K917" s="629">
        <v>118</v>
      </c>
      <c r="L917" s="696"/>
      <c r="M917" s="698"/>
      <c r="N917" s="700"/>
      <c r="O917" s="608"/>
    </row>
    <row r="918" spans="1:15" s="536" customFormat="1" ht="10.15" customHeight="1">
      <c r="A918" s="616"/>
      <c r="B918" s="535" t="s">
        <v>339</v>
      </c>
      <c r="C918" s="618">
        <v>1638</v>
      </c>
      <c r="D918" s="619">
        <v>43585</v>
      </c>
      <c r="E918" s="620" t="s">
        <v>304</v>
      </c>
      <c r="F918" s="620" t="s">
        <v>463</v>
      </c>
      <c r="G918" s="621">
        <v>951136</v>
      </c>
      <c r="H918" s="622">
        <v>52</v>
      </c>
      <c r="I918" s="620" t="s">
        <v>299</v>
      </c>
      <c r="J918" s="622">
        <v>10</v>
      </c>
      <c r="K918" s="623">
        <v>68.63</v>
      </c>
      <c r="L918" s="695">
        <f t="shared" ref="L918" si="285">J918+J919</f>
        <v>100</v>
      </c>
      <c r="M918" s="697">
        <f t="shared" ref="M918" si="286">SUM(K918:K919)</f>
        <v>121.17399999999999</v>
      </c>
      <c r="N918" s="699">
        <f t="shared" ref="N918" si="287">+L918-M918</f>
        <v>-21.173999999999992</v>
      </c>
      <c r="O918" s="607" t="e">
        <f>+((K918+K919)+(#REF!+#REF!))/L918</f>
        <v>#REF!</v>
      </c>
    </row>
    <row r="919" spans="1:15" s="536" customFormat="1" ht="10.15" customHeight="1">
      <c r="A919" s="616"/>
      <c r="B919" s="535" t="s">
        <v>339</v>
      </c>
      <c r="C919" s="624">
        <v>1638</v>
      </c>
      <c r="D919" s="625">
        <v>43585</v>
      </c>
      <c r="E919" s="626" t="s">
        <v>304</v>
      </c>
      <c r="F919" s="626" t="s">
        <v>463</v>
      </c>
      <c r="G919" s="627">
        <v>951136</v>
      </c>
      <c r="H919" s="628">
        <v>52</v>
      </c>
      <c r="I919" s="626" t="s">
        <v>300</v>
      </c>
      <c r="J919" s="628">
        <v>90</v>
      </c>
      <c r="K919" s="629">
        <v>52.543999999999997</v>
      </c>
      <c r="L919" s="696"/>
      <c r="M919" s="698"/>
      <c r="N919" s="700"/>
      <c r="O919" s="608"/>
    </row>
    <row r="920" spans="1:15" s="536" customFormat="1" ht="10.15" customHeight="1">
      <c r="A920" s="616"/>
      <c r="B920" s="535" t="s">
        <v>339</v>
      </c>
      <c r="C920" s="618">
        <v>2485</v>
      </c>
      <c r="D920" s="619">
        <v>43655</v>
      </c>
      <c r="E920" s="620" t="s">
        <v>304</v>
      </c>
      <c r="F920" s="620" t="s">
        <v>463</v>
      </c>
      <c r="G920" s="621">
        <v>951136</v>
      </c>
      <c r="H920" s="622">
        <v>52</v>
      </c>
      <c r="I920" s="620" t="s">
        <v>299</v>
      </c>
      <c r="J920" s="622">
        <v>0</v>
      </c>
      <c r="K920" s="623"/>
      <c r="L920" s="695">
        <f t="shared" ref="L920" si="288">J920+J921</f>
        <v>86.709000000000003</v>
      </c>
      <c r="M920" s="697">
        <f t="shared" ref="M920" si="289">SUM(K920:K921)</f>
        <v>0</v>
      </c>
      <c r="N920" s="699">
        <f t="shared" ref="N920" si="290">+L920-M920</f>
        <v>86.709000000000003</v>
      </c>
      <c r="O920" s="607" t="e">
        <f>+((K920+K921)+(#REF!+#REF!))/L920</f>
        <v>#REF!</v>
      </c>
    </row>
    <row r="921" spans="1:15" s="536" customFormat="1" ht="10.15" customHeight="1">
      <c r="A921" s="616"/>
      <c r="B921" s="535" t="s">
        <v>339</v>
      </c>
      <c r="C921" s="624">
        <v>2485</v>
      </c>
      <c r="D921" s="625">
        <v>43655</v>
      </c>
      <c r="E921" s="626" t="s">
        <v>304</v>
      </c>
      <c r="F921" s="626" t="s">
        <v>463</v>
      </c>
      <c r="G921" s="627">
        <v>951136</v>
      </c>
      <c r="H921" s="628">
        <v>52</v>
      </c>
      <c r="I921" s="626" t="s">
        <v>300</v>
      </c>
      <c r="J921" s="628">
        <v>86.709000000000003</v>
      </c>
      <c r="K921" s="629"/>
      <c r="L921" s="696"/>
      <c r="M921" s="698"/>
      <c r="N921" s="700"/>
      <c r="O921" s="608"/>
    </row>
    <row r="922" spans="1:15" s="536" customFormat="1" ht="10.15" customHeight="1">
      <c r="A922" s="616"/>
      <c r="B922" s="535" t="s">
        <v>339</v>
      </c>
      <c r="C922" s="618">
        <v>2139</v>
      </c>
      <c r="D922" s="619">
        <v>43627</v>
      </c>
      <c r="E922" s="620" t="s">
        <v>304</v>
      </c>
      <c r="F922" s="620" t="s">
        <v>571</v>
      </c>
      <c r="G922" s="621">
        <v>952052</v>
      </c>
      <c r="H922" s="622">
        <v>52</v>
      </c>
      <c r="I922" s="620" t="s">
        <v>299</v>
      </c>
      <c r="J922" s="622">
        <v>20</v>
      </c>
      <c r="K922" s="623">
        <v>20</v>
      </c>
      <c r="L922" s="695">
        <f t="shared" ref="L922" si="291">J922+J923</f>
        <v>150</v>
      </c>
      <c r="M922" s="697">
        <f t="shared" ref="M922" si="292">SUM(K922:K923)</f>
        <v>58.902999999999999</v>
      </c>
      <c r="N922" s="699">
        <f t="shared" ref="N922" si="293">+L922-M922</f>
        <v>91.097000000000008</v>
      </c>
      <c r="O922" s="607" t="e">
        <f>+((K922+K923)+(#REF!+#REF!))/L922</f>
        <v>#REF!</v>
      </c>
    </row>
    <row r="923" spans="1:15" s="536" customFormat="1" ht="10.15" customHeight="1">
      <c r="A923" s="616"/>
      <c r="B923" s="535" t="s">
        <v>339</v>
      </c>
      <c r="C923" s="624">
        <v>2139</v>
      </c>
      <c r="D923" s="625">
        <v>43627</v>
      </c>
      <c r="E923" s="626" t="s">
        <v>304</v>
      </c>
      <c r="F923" s="626" t="s">
        <v>571</v>
      </c>
      <c r="G923" s="627">
        <v>952052</v>
      </c>
      <c r="H923" s="628">
        <v>52</v>
      </c>
      <c r="I923" s="626" t="s">
        <v>300</v>
      </c>
      <c r="J923" s="628">
        <v>130</v>
      </c>
      <c r="K923" s="629">
        <v>38.902999999999999</v>
      </c>
      <c r="L923" s="696"/>
      <c r="M923" s="698"/>
      <c r="N923" s="700"/>
      <c r="O923" s="608"/>
    </row>
    <row r="924" spans="1:15" s="536" customFormat="1" ht="10.15" customHeight="1">
      <c r="A924" s="616"/>
      <c r="B924" s="535" t="s">
        <v>339</v>
      </c>
      <c r="C924" s="618">
        <v>1196</v>
      </c>
      <c r="D924" s="619">
        <v>43553</v>
      </c>
      <c r="E924" s="620" t="s">
        <v>304</v>
      </c>
      <c r="F924" s="620" t="s">
        <v>464</v>
      </c>
      <c r="G924" s="621">
        <v>953084</v>
      </c>
      <c r="H924" s="622">
        <v>52</v>
      </c>
      <c r="I924" s="620" t="s">
        <v>299</v>
      </c>
      <c r="J924" s="622">
        <v>260</v>
      </c>
      <c r="K924" s="623">
        <v>190.018</v>
      </c>
      <c r="L924" s="695">
        <f t="shared" ref="L924" si="294">J924+J925</f>
        <v>300</v>
      </c>
      <c r="M924" s="697">
        <f t="shared" ref="M924" si="295">SUM(K924:K925)</f>
        <v>299.55</v>
      </c>
      <c r="N924" s="699">
        <f t="shared" ref="N924" si="296">+L924-M924</f>
        <v>0.44999999999998863</v>
      </c>
      <c r="O924" s="607" t="e">
        <f>+((K924+K925)+(#REF!+#REF!))/L924</f>
        <v>#REF!</v>
      </c>
    </row>
    <row r="925" spans="1:15" s="536" customFormat="1" ht="10.15" customHeight="1">
      <c r="A925" s="616"/>
      <c r="B925" s="535" t="s">
        <v>339</v>
      </c>
      <c r="C925" s="624">
        <v>1196</v>
      </c>
      <c r="D925" s="625">
        <v>43553</v>
      </c>
      <c r="E925" s="626" t="s">
        <v>304</v>
      </c>
      <c r="F925" s="626" t="s">
        <v>464</v>
      </c>
      <c r="G925" s="627">
        <v>953084</v>
      </c>
      <c r="H925" s="628">
        <v>52</v>
      </c>
      <c r="I925" s="626" t="s">
        <v>300</v>
      </c>
      <c r="J925" s="628">
        <v>40</v>
      </c>
      <c r="K925" s="629">
        <v>109.532</v>
      </c>
      <c r="L925" s="696"/>
      <c r="M925" s="698"/>
      <c r="N925" s="700"/>
      <c r="O925" s="608"/>
    </row>
    <row r="926" spans="1:15" s="536" customFormat="1" ht="10.15" customHeight="1">
      <c r="A926" s="616"/>
      <c r="B926" s="535" t="s">
        <v>339</v>
      </c>
      <c r="C926" s="618">
        <v>847</v>
      </c>
      <c r="D926" s="619">
        <v>43530</v>
      </c>
      <c r="E926" s="620" t="s">
        <v>304</v>
      </c>
      <c r="F926" s="620" t="s">
        <v>465</v>
      </c>
      <c r="G926" s="621">
        <v>956244</v>
      </c>
      <c r="H926" s="622">
        <v>52</v>
      </c>
      <c r="I926" s="620" t="s">
        <v>299</v>
      </c>
      <c r="J926" s="622">
        <v>10</v>
      </c>
      <c r="K926" s="623">
        <v>58.689</v>
      </c>
      <c r="L926" s="695">
        <f t="shared" ref="L926" si="297">J926+J927</f>
        <v>160</v>
      </c>
      <c r="M926" s="697">
        <f t="shared" ref="M926" si="298">SUM(K926:K927)</f>
        <v>160</v>
      </c>
      <c r="N926" s="699">
        <f t="shared" ref="N926" si="299">+L926-M926</f>
        <v>0</v>
      </c>
      <c r="O926" s="607" t="e">
        <f>+((K926+K927)+(#REF!+#REF!))/L926</f>
        <v>#REF!</v>
      </c>
    </row>
    <row r="927" spans="1:15" s="536" customFormat="1" ht="10.15" customHeight="1">
      <c r="A927" s="616"/>
      <c r="B927" s="535" t="s">
        <v>339</v>
      </c>
      <c r="C927" s="624">
        <v>847</v>
      </c>
      <c r="D927" s="625">
        <v>43530</v>
      </c>
      <c r="E927" s="626" t="s">
        <v>304</v>
      </c>
      <c r="F927" s="626" t="s">
        <v>465</v>
      </c>
      <c r="G927" s="627">
        <v>956244</v>
      </c>
      <c r="H927" s="628">
        <v>52</v>
      </c>
      <c r="I927" s="626" t="s">
        <v>300</v>
      </c>
      <c r="J927" s="628">
        <v>150</v>
      </c>
      <c r="K927" s="629">
        <v>101.31100000000001</v>
      </c>
      <c r="L927" s="696"/>
      <c r="M927" s="698"/>
      <c r="N927" s="700"/>
      <c r="O927" s="608"/>
    </row>
    <row r="928" spans="1:15" s="536" customFormat="1" ht="10.15" customHeight="1">
      <c r="A928" s="616"/>
      <c r="B928" s="535" t="s">
        <v>339</v>
      </c>
      <c r="C928" s="618">
        <v>2257</v>
      </c>
      <c r="D928" s="619">
        <v>43637</v>
      </c>
      <c r="E928" s="620" t="s">
        <v>303</v>
      </c>
      <c r="F928" s="620" t="s">
        <v>465</v>
      </c>
      <c r="G928" s="621">
        <v>956244</v>
      </c>
      <c r="H928" s="622">
        <v>52</v>
      </c>
      <c r="I928" s="620" t="s">
        <v>299</v>
      </c>
      <c r="J928" s="622">
        <v>30</v>
      </c>
      <c r="K928" s="623">
        <v>38.701999999999998</v>
      </c>
      <c r="L928" s="695">
        <f t="shared" ref="L928" si="300">J928+J929</f>
        <v>170</v>
      </c>
      <c r="M928" s="697">
        <f t="shared" ref="M928" si="301">SUM(K928:K929)</f>
        <v>45.68</v>
      </c>
      <c r="N928" s="699">
        <f t="shared" ref="N928" si="302">+L928-M928</f>
        <v>124.32</v>
      </c>
      <c r="O928" s="607" t="e">
        <f>+((K928+K929)+(#REF!+#REF!))/L928</f>
        <v>#REF!</v>
      </c>
    </row>
    <row r="929" spans="1:15" s="536" customFormat="1" ht="10.15" customHeight="1">
      <c r="A929" s="616"/>
      <c r="B929" s="535" t="s">
        <v>339</v>
      </c>
      <c r="C929" s="624">
        <v>2257</v>
      </c>
      <c r="D929" s="625">
        <v>43637</v>
      </c>
      <c r="E929" s="626" t="s">
        <v>303</v>
      </c>
      <c r="F929" s="626" t="s">
        <v>465</v>
      </c>
      <c r="G929" s="627">
        <v>956244</v>
      </c>
      <c r="H929" s="628">
        <v>52</v>
      </c>
      <c r="I929" s="626" t="s">
        <v>300</v>
      </c>
      <c r="J929" s="628">
        <v>140</v>
      </c>
      <c r="K929" s="629">
        <v>6.9779999999999998</v>
      </c>
      <c r="L929" s="696"/>
      <c r="M929" s="698"/>
      <c r="N929" s="700"/>
      <c r="O929" s="608"/>
    </row>
    <row r="930" spans="1:15" s="536" customFormat="1" ht="10.15" customHeight="1">
      <c r="A930" s="616"/>
      <c r="B930" s="535" t="s">
        <v>339</v>
      </c>
      <c r="C930" s="618">
        <v>1110</v>
      </c>
      <c r="D930" s="619">
        <v>43553</v>
      </c>
      <c r="E930" s="620" t="s">
        <v>304</v>
      </c>
      <c r="F930" s="620" t="s">
        <v>466</v>
      </c>
      <c r="G930" s="621">
        <v>961133</v>
      </c>
      <c r="H930" s="622">
        <v>52</v>
      </c>
      <c r="I930" s="620" t="s">
        <v>299</v>
      </c>
      <c r="J930" s="622">
        <v>20</v>
      </c>
      <c r="K930" s="623">
        <v>20</v>
      </c>
      <c r="L930" s="695">
        <f t="shared" ref="L930" si="303">J930+J931</f>
        <v>170</v>
      </c>
      <c r="M930" s="697">
        <f t="shared" ref="M930" si="304">SUM(K930:K931)</f>
        <v>170.001</v>
      </c>
      <c r="N930" s="699">
        <f t="shared" ref="N930" si="305">+L930-M930</f>
        <v>-1.0000000000047748E-3</v>
      </c>
      <c r="O930" s="607" t="e">
        <f>+((K930+K931)+(#REF!+#REF!))/L930</f>
        <v>#REF!</v>
      </c>
    </row>
    <row r="931" spans="1:15" s="536" customFormat="1" ht="10.15" customHeight="1">
      <c r="A931" s="616"/>
      <c r="B931" s="535" t="s">
        <v>339</v>
      </c>
      <c r="C931" s="624">
        <v>1110</v>
      </c>
      <c r="D931" s="625">
        <v>43553</v>
      </c>
      <c r="E931" s="626" t="s">
        <v>304</v>
      </c>
      <c r="F931" s="626" t="s">
        <v>466</v>
      </c>
      <c r="G931" s="627">
        <v>961133</v>
      </c>
      <c r="H931" s="628">
        <v>52</v>
      </c>
      <c r="I931" s="626" t="s">
        <v>300</v>
      </c>
      <c r="J931" s="628">
        <v>150</v>
      </c>
      <c r="K931" s="629">
        <v>150.001</v>
      </c>
      <c r="L931" s="696"/>
      <c r="M931" s="698"/>
      <c r="N931" s="700"/>
      <c r="O931" s="608"/>
    </row>
    <row r="932" spans="1:15" s="536" customFormat="1" ht="10.15" customHeight="1">
      <c r="A932" s="616"/>
      <c r="B932" s="535" t="s">
        <v>339</v>
      </c>
      <c r="C932" s="618">
        <v>794</v>
      </c>
      <c r="D932" s="619">
        <v>43516</v>
      </c>
      <c r="E932" s="620" t="s">
        <v>304</v>
      </c>
      <c r="F932" s="620" t="s">
        <v>467</v>
      </c>
      <c r="G932" s="621">
        <v>962497</v>
      </c>
      <c r="H932" s="622">
        <v>52</v>
      </c>
      <c r="I932" s="620" t="s">
        <v>299</v>
      </c>
      <c r="J932" s="622">
        <v>10</v>
      </c>
      <c r="K932" s="623">
        <v>18.437999999999999</v>
      </c>
      <c r="L932" s="695">
        <f t="shared" ref="L932" si="306">J932+J933</f>
        <v>110</v>
      </c>
      <c r="M932" s="697">
        <f t="shared" ref="M932" si="307">SUM(K932:K933)</f>
        <v>58.739999999999995</v>
      </c>
      <c r="N932" s="699">
        <f t="shared" ref="N932" si="308">+L932-M932</f>
        <v>51.260000000000005</v>
      </c>
      <c r="O932" s="607" t="e">
        <f>+((K932+K933)+(#REF!+#REF!))/L932</f>
        <v>#REF!</v>
      </c>
    </row>
    <row r="933" spans="1:15" s="536" customFormat="1" ht="10.15" customHeight="1">
      <c r="A933" s="616"/>
      <c r="B933" s="535" t="s">
        <v>339</v>
      </c>
      <c r="C933" s="624">
        <v>794</v>
      </c>
      <c r="D933" s="625">
        <v>43516</v>
      </c>
      <c r="E933" s="626" t="s">
        <v>304</v>
      </c>
      <c r="F933" s="626" t="s">
        <v>467</v>
      </c>
      <c r="G933" s="627">
        <v>962497</v>
      </c>
      <c r="H933" s="628">
        <v>52</v>
      </c>
      <c r="I933" s="626" t="s">
        <v>300</v>
      </c>
      <c r="J933" s="628">
        <v>100</v>
      </c>
      <c r="K933" s="629">
        <v>40.302</v>
      </c>
      <c r="L933" s="696"/>
      <c r="M933" s="698"/>
      <c r="N933" s="700"/>
      <c r="O933" s="608"/>
    </row>
    <row r="934" spans="1:15" s="536" customFormat="1" ht="10.15" customHeight="1">
      <c r="A934" s="616"/>
      <c r="B934" s="535" t="s">
        <v>339</v>
      </c>
      <c r="C934" s="618">
        <v>1110</v>
      </c>
      <c r="D934" s="619">
        <v>43553</v>
      </c>
      <c r="E934" s="620" t="s">
        <v>304</v>
      </c>
      <c r="F934" s="620" t="s">
        <v>468</v>
      </c>
      <c r="G934" s="621">
        <v>966236</v>
      </c>
      <c r="H934" s="622">
        <v>52</v>
      </c>
      <c r="I934" s="620" t="s">
        <v>299</v>
      </c>
      <c r="J934" s="622">
        <v>5</v>
      </c>
      <c r="K934" s="623">
        <v>5</v>
      </c>
      <c r="L934" s="695">
        <f t="shared" ref="L934" si="309">J934+J935</f>
        <v>100</v>
      </c>
      <c r="M934" s="697">
        <f t="shared" ref="M934" si="310">SUM(K934:K935)</f>
        <v>51.429000000000002</v>
      </c>
      <c r="N934" s="699">
        <f t="shared" ref="N934" si="311">+L934-M934</f>
        <v>48.570999999999998</v>
      </c>
      <c r="O934" s="607" t="e">
        <f>+((K934+K935)+(#REF!+#REF!))/L934</f>
        <v>#REF!</v>
      </c>
    </row>
    <row r="935" spans="1:15" s="536" customFormat="1" ht="10.15" customHeight="1">
      <c r="A935" s="616"/>
      <c r="B935" s="535" t="s">
        <v>339</v>
      </c>
      <c r="C935" s="624">
        <v>1110</v>
      </c>
      <c r="D935" s="625">
        <v>43553</v>
      </c>
      <c r="E935" s="626" t="s">
        <v>304</v>
      </c>
      <c r="F935" s="626" t="s">
        <v>468</v>
      </c>
      <c r="G935" s="627">
        <v>966236</v>
      </c>
      <c r="H935" s="628">
        <v>52</v>
      </c>
      <c r="I935" s="626" t="s">
        <v>300</v>
      </c>
      <c r="J935" s="628">
        <v>95</v>
      </c>
      <c r="K935" s="629">
        <v>46.429000000000002</v>
      </c>
      <c r="L935" s="696"/>
      <c r="M935" s="698"/>
      <c r="N935" s="700"/>
      <c r="O935" s="608"/>
    </row>
    <row r="936" spans="1:15" s="536" customFormat="1" ht="10.15" customHeight="1">
      <c r="A936" s="616"/>
      <c r="B936" s="535" t="s">
        <v>339</v>
      </c>
      <c r="C936" s="618">
        <v>1112</v>
      </c>
      <c r="D936" s="619">
        <v>43553</v>
      </c>
      <c r="E936" s="620" t="s">
        <v>304</v>
      </c>
      <c r="F936" s="620" t="s">
        <v>469</v>
      </c>
      <c r="G936" s="621">
        <v>966342</v>
      </c>
      <c r="H936" s="622">
        <v>52</v>
      </c>
      <c r="I936" s="620" t="s">
        <v>299</v>
      </c>
      <c r="J936" s="622">
        <v>48</v>
      </c>
      <c r="K936" s="623">
        <v>50.612000000000002</v>
      </c>
      <c r="L936" s="695">
        <f t="shared" ref="L936" si="312">J936+J937</f>
        <v>150</v>
      </c>
      <c r="M936" s="697">
        <f t="shared" ref="M936" si="313">SUM(K936:K937)</f>
        <v>148.946</v>
      </c>
      <c r="N936" s="699">
        <f t="shared" ref="N936" si="314">+L936-M936</f>
        <v>1.054000000000002</v>
      </c>
      <c r="O936" s="607" t="e">
        <f>+((K936+K937)+(#REF!+#REF!))/L936</f>
        <v>#REF!</v>
      </c>
    </row>
    <row r="937" spans="1:15" s="536" customFormat="1" ht="10.15" customHeight="1">
      <c r="A937" s="616"/>
      <c r="B937" s="535" t="s">
        <v>339</v>
      </c>
      <c r="C937" s="624">
        <v>1112</v>
      </c>
      <c r="D937" s="625">
        <v>43553</v>
      </c>
      <c r="E937" s="626" t="s">
        <v>304</v>
      </c>
      <c r="F937" s="626" t="s">
        <v>469</v>
      </c>
      <c r="G937" s="627">
        <v>966342</v>
      </c>
      <c r="H937" s="628">
        <v>52</v>
      </c>
      <c r="I937" s="626" t="s">
        <v>300</v>
      </c>
      <c r="J937" s="628">
        <v>102</v>
      </c>
      <c r="K937" s="629">
        <v>98.334000000000003</v>
      </c>
      <c r="L937" s="696"/>
      <c r="M937" s="698"/>
      <c r="N937" s="700"/>
      <c r="O937" s="608"/>
    </row>
    <row r="938" spans="1:15" s="536" customFormat="1" ht="10.15" customHeight="1">
      <c r="A938" s="616"/>
      <c r="B938" s="535" t="s">
        <v>339</v>
      </c>
      <c r="C938" s="618">
        <v>1638</v>
      </c>
      <c r="D938" s="619">
        <v>43585</v>
      </c>
      <c r="E938" s="620" t="s">
        <v>304</v>
      </c>
      <c r="F938" s="620" t="s">
        <v>469</v>
      </c>
      <c r="G938" s="621">
        <v>966342</v>
      </c>
      <c r="H938" s="622">
        <v>52</v>
      </c>
      <c r="I938" s="620" t="s">
        <v>299</v>
      </c>
      <c r="J938" s="622">
        <v>11</v>
      </c>
      <c r="K938" s="623">
        <v>11.558</v>
      </c>
      <c r="L938" s="695">
        <f t="shared" ref="L938" si="315">J938+J939</f>
        <v>92</v>
      </c>
      <c r="M938" s="697">
        <f t="shared" ref="M938" si="316">SUM(K938:K939)</f>
        <v>92</v>
      </c>
      <c r="N938" s="699">
        <f t="shared" ref="N938" si="317">+L938-M938</f>
        <v>0</v>
      </c>
      <c r="O938" s="607" t="e">
        <f>+((K938+K939)+(#REF!+#REF!))/L938</f>
        <v>#REF!</v>
      </c>
    </row>
    <row r="939" spans="1:15" s="536" customFormat="1" ht="10.15" customHeight="1">
      <c r="A939" s="616"/>
      <c r="B939" s="535" t="s">
        <v>339</v>
      </c>
      <c r="C939" s="624">
        <v>1638</v>
      </c>
      <c r="D939" s="625">
        <v>43585</v>
      </c>
      <c r="E939" s="626" t="s">
        <v>304</v>
      </c>
      <c r="F939" s="626" t="s">
        <v>469</v>
      </c>
      <c r="G939" s="627">
        <v>966342</v>
      </c>
      <c r="H939" s="628">
        <v>52</v>
      </c>
      <c r="I939" s="626" t="s">
        <v>300</v>
      </c>
      <c r="J939" s="628">
        <v>81</v>
      </c>
      <c r="K939" s="629">
        <v>80.441999999999993</v>
      </c>
      <c r="L939" s="696"/>
      <c r="M939" s="698"/>
      <c r="N939" s="700"/>
      <c r="O939" s="608"/>
    </row>
    <row r="940" spans="1:15" s="536" customFormat="1" ht="10.15" customHeight="1">
      <c r="A940" s="616"/>
      <c r="B940" s="535" t="s">
        <v>339</v>
      </c>
      <c r="C940" s="618">
        <v>2122</v>
      </c>
      <c r="D940" s="619">
        <v>43623</v>
      </c>
      <c r="E940" s="620" t="s">
        <v>304</v>
      </c>
      <c r="F940" s="620" t="s">
        <v>469</v>
      </c>
      <c r="G940" s="621">
        <v>966342</v>
      </c>
      <c r="H940" s="622">
        <v>52</v>
      </c>
      <c r="I940" s="620" t="s">
        <v>299</v>
      </c>
      <c r="J940" s="622">
        <v>2</v>
      </c>
      <c r="K940" s="623">
        <v>9.1679999999999993</v>
      </c>
      <c r="L940" s="695">
        <f t="shared" ref="L940" si="318">J940+J941</f>
        <v>50</v>
      </c>
      <c r="M940" s="697">
        <f t="shared" ref="M940" si="319">SUM(K940:K941)</f>
        <v>11.459999999999999</v>
      </c>
      <c r="N940" s="699">
        <f t="shared" ref="N940" si="320">+L940-M940</f>
        <v>38.54</v>
      </c>
      <c r="O940" s="607" t="e">
        <f>+((K940+K941)+(#REF!+#REF!))/L940</f>
        <v>#REF!</v>
      </c>
    </row>
    <row r="941" spans="1:15" s="536" customFormat="1" ht="10.15" customHeight="1">
      <c r="A941" s="616"/>
      <c r="B941" s="535" t="s">
        <v>339</v>
      </c>
      <c r="C941" s="624">
        <v>2122</v>
      </c>
      <c r="D941" s="625">
        <v>43623</v>
      </c>
      <c r="E941" s="626" t="s">
        <v>304</v>
      </c>
      <c r="F941" s="626" t="s">
        <v>469</v>
      </c>
      <c r="G941" s="627">
        <v>966342</v>
      </c>
      <c r="H941" s="628">
        <v>52</v>
      </c>
      <c r="I941" s="626" t="s">
        <v>300</v>
      </c>
      <c r="J941" s="628">
        <v>48</v>
      </c>
      <c r="K941" s="629">
        <v>2.2919999999999998</v>
      </c>
      <c r="L941" s="696"/>
      <c r="M941" s="698"/>
      <c r="N941" s="700"/>
      <c r="O941" s="608"/>
    </row>
    <row r="942" spans="1:15" s="536" customFormat="1" ht="10.15" customHeight="1">
      <c r="A942" s="616"/>
      <c r="B942" s="535" t="s">
        <v>339</v>
      </c>
      <c r="C942" s="618">
        <v>2257</v>
      </c>
      <c r="D942" s="619">
        <v>43637</v>
      </c>
      <c r="E942" s="620" t="s">
        <v>303</v>
      </c>
      <c r="F942" s="620" t="s">
        <v>469</v>
      </c>
      <c r="G942" s="621">
        <v>966342</v>
      </c>
      <c r="H942" s="622">
        <v>52</v>
      </c>
      <c r="I942" s="620" t="s">
        <v>299</v>
      </c>
      <c r="J942" s="622">
        <v>100</v>
      </c>
      <c r="K942" s="623"/>
      <c r="L942" s="695">
        <f t="shared" ref="L942" si="321">J942+J943</f>
        <v>150</v>
      </c>
      <c r="M942" s="697">
        <f t="shared" ref="M942" si="322">SUM(K942:K943)</f>
        <v>0</v>
      </c>
      <c r="N942" s="699">
        <f t="shared" ref="N942" si="323">+L942-M942</f>
        <v>150</v>
      </c>
      <c r="O942" s="607" t="e">
        <f>+((K942+K943)+(#REF!+#REF!))/L942</f>
        <v>#REF!</v>
      </c>
    </row>
    <row r="943" spans="1:15" s="536" customFormat="1" ht="10.15" customHeight="1">
      <c r="A943" s="616"/>
      <c r="B943" s="535" t="s">
        <v>339</v>
      </c>
      <c r="C943" s="624">
        <v>2257</v>
      </c>
      <c r="D943" s="625">
        <v>43637</v>
      </c>
      <c r="E943" s="626" t="s">
        <v>303</v>
      </c>
      <c r="F943" s="626" t="s">
        <v>469</v>
      </c>
      <c r="G943" s="627">
        <v>966342</v>
      </c>
      <c r="H943" s="628">
        <v>52</v>
      </c>
      <c r="I943" s="626" t="s">
        <v>300</v>
      </c>
      <c r="J943" s="628">
        <v>50</v>
      </c>
      <c r="K943" s="629"/>
      <c r="L943" s="696"/>
      <c r="M943" s="698"/>
      <c r="N943" s="700"/>
      <c r="O943" s="608"/>
    </row>
    <row r="944" spans="1:15" s="536" customFormat="1" ht="10.15" customHeight="1">
      <c r="A944" s="616"/>
      <c r="B944" s="535" t="s">
        <v>339</v>
      </c>
      <c r="C944" s="618">
        <v>795</v>
      </c>
      <c r="D944" s="619">
        <v>43524</v>
      </c>
      <c r="E944" s="620" t="s">
        <v>304</v>
      </c>
      <c r="F944" s="620" t="s">
        <v>470</v>
      </c>
      <c r="G944" s="621">
        <v>955517</v>
      </c>
      <c r="H944" s="622">
        <v>55</v>
      </c>
      <c r="I944" s="620" t="s">
        <v>299</v>
      </c>
      <c r="J944" s="622">
        <v>25</v>
      </c>
      <c r="K944" s="623">
        <v>7.4539999999999997</v>
      </c>
      <c r="L944" s="695">
        <f t="shared" ref="L944" si="324">J944+J945</f>
        <v>92</v>
      </c>
      <c r="M944" s="697">
        <f t="shared" ref="M944" si="325">SUM(K944:K945)</f>
        <v>92</v>
      </c>
      <c r="N944" s="699">
        <f t="shared" ref="N944" si="326">+L944-M944</f>
        <v>0</v>
      </c>
      <c r="O944" s="607" t="e">
        <f>+((K944+K945)+(#REF!+#REF!))/L944</f>
        <v>#REF!</v>
      </c>
    </row>
    <row r="945" spans="1:15" s="536" customFormat="1" ht="10.15" customHeight="1">
      <c r="A945" s="616"/>
      <c r="B945" s="535" t="s">
        <v>339</v>
      </c>
      <c r="C945" s="624">
        <v>795</v>
      </c>
      <c r="D945" s="625">
        <v>43524</v>
      </c>
      <c r="E945" s="626" t="s">
        <v>304</v>
      </c>
      <c r="F945" s="626" t="s">
        <v>470</v>
      </c>
      <c r="G945" s="627">
        <v>955517</v>
      </c>
      <c r="H945" s="628">
        <v>55</v>
      </c>
      <c r="I945" s="626" t="s">
        <v>300</v>
      </c>
      <c r="J945" s="628">
        <v>67</v>
      </c>
      <c r="K945" s="629">
        <v>84.546000000000006</v>
      </c>
      <c r="L945" s="696"/>
      <c r="M945" s="698"/>
      <c r="N945" s="700"/>
      <c r="O945" s="608"/>
    </row>
    <row r="946" spans="1:15" s="536" customFormat="1" ht="10.15" customHeight="1">
      <c r="A946" s="616"/>
      <c r="B946" s="535" t="s">
        <v>339</v>
      </c>
      <c r="C946" s="618">
        <v>1462</v>
      </c>
      <c r="D946" s="619">
        <v>43572</v>
      </c>
      <c r="E946" s="620" t="s">
        <v>304</v>
      </c>
      <c r="F946" s="620" t="s">
        <v>470</v>
      </c>
      <c r="G946" s="621">
        <v>955517</v>
      </c>
      <c r="H946" s="622">
        <v>55</v>
      </c>
      <c r="I946" s="620" t="s">
        <v>299</v>
      </c>
      <c r="J946" s="622">
        <v>70</v>
      </c>
      <c r="K946" s="623">
        <v>101.85299999999999</v>
      </c>
      <c r="L946" s="695">
        <f t="shared" ref="L946" si="327">J946+J947</f>
        <v>260</v>
      </c>
      <c r="M946" s="697">
        <f t="shared" ref="M946" si="328">SUM(K946:K947)</f>
        <v>260</v>
      </c>
      <c r="N946" s="699">
        <f t="shared" ref="N946" si="329">+L946-M946</f>
        <v>0</v>
      </c>
      <c r="O946" s="607" t="e">
        <f>+((K946+K947)+(#REF!+#REF!))/L946</f>
        <v>#REF!</v>
      </c>
    </row>
    <row r="947" spans="1:15" s="536" customFormat="1" ht="10.15" customHeight="1" thickBot="1">
      <c r="A947" s="616"/>
      <c r="B947" s="535" t="s">
        <v>339</v>
      </c>
      <c r="C947" s="624">
        <v>1462</v>
      </c>
      <c r="D947" s="625">
        <v>43572</v>
      </c>
      <c r="E947" s="626" t="s">
        <v>304</v>
      </c>
      <c r="F947" s="626" t="s">
        <v>470</v>
      </c>
      <c r="G947" s="627">
        <v>955517</v>
      </c>
      <c r="H947" s="628">
        <v>55</v>
      </c>
      <c r="I947" s="626" t="s">
        <v>300</v>
      </c>
      <c r="J947" s="628">
        <v>190</v>
      </c>
      <c r="K947" s="629">
        <v>158.14699999999999</v>
      </c>
      <c r="L947" s="696"/>
      <c r="M947" s="698"/>
      <c r="N947" s="700"/>
      <c r="O947" s="609"/>
    </row>
    <row r="948" spans="1:15" s="536" customFormat="1" ht="10.15" customHeight="1">
      <c r="A948" s="616"/>
      <c r="B948" s="535" t="s">
        <v>339</v>
      </c>
      <c r="C948" s="618">
        <v>2140</v>
      </c>
      <c r="D948" s="619">
        <v>43627</v>
      </c>
      <c r="E948" s="620" t="s">
        <v>304</v>
      </c>
      <c r="F948" s="620" t="s">
        <v>470</v>
      </c>
      <c r="G948" s="621">
        <v>955517</v>
      </c>
      <c r="H948" s="622">
        <v>55</v>
      </c>
      <c r="I948" s="620" t="s">
        <v>299</v>
      </c>
      <c r="J948" s="622">
        <v>67</v>
      </c>
      <c r="K948" s="623"/>
      <c r="L948" s="695">
        <f t="shared" ref="L948" si="330">J948+J949</f>
        <v>148</v>
      </c>
      <c r="M948" s="697">
        <f t="shared" ref="M948" si="331">SUM(K948:K949)</f>
        <v>0</v>
      </c>
      <c r="N948" s="699">
        <f t="shared" ref="N948" si="332">+L948-M948</f>
        <v>148</v>
      </c>
      <c r="O948" s="537"/>
    </row>
    <row r="949" spans="1:15" s="536" customFormat="1" ht="10.15" customHeight="1">
      <c r="A949" s="616"/>
      <c r="B949" s="535" t="s">
        <v>339</v>
      </c>
      <c r="C949" s="624">
        <v>2140</v>
      </c>
      <c r="D949" s="625">
        <v>43627</v>
      </c>
      <c r="E949" s="626" t="s">
        <v>304</v>
      </c>
      <c r="F949" s="626" t="s">
        <v>470</v>
      </c>
      <c r="G949" s="627">
        <v>955517</v>
      </c>
      <c r="H949" s="628">
        <v>55</v>
      </c>
      <c r="I949" s="626" t="s">
        <v>300</v>
      </c>
      <c r="J949" s="628">
        <v>81</v>
      </c>
      <c r="K949" s="629"/>
      <c r="L949" s="696"/>
      <c r="M949" s="698"/>
      <c r="N949" s="700"/>
      <c r="O949" s="537"/>
    </row>
    <row r="950" spans="1:15" s="536" customFormat="1" ht="10.15" customHeight="1">
      <c r="A950" s="616"/>
      <c r="B950" s="535" t="s">
        <v>339</v>
      </c>
      <c r="C950" s="618">
        <v>1462</v>
      </c>
      <c r="D950" s="619">
        <v>43572</v>
      </c>
      <c r="E950" s="620" t="s">
        <v>304</v>
      </c>
      <c r="F950" s="620" t="s">
        <v>471</v>
      </c>
      <c r="G950" s="621">
        <v>958078</v>
      </c>
      <c r="H950" s="622">
        <v>55</v>
      </c>
      <c r="I950" s="620" t="s">
        <v>299</v>
      </c>
      <c r="J950" s="622">
        <v>129</v>
      </c>
      <c r="K950" s="623">
        <v>196.80199999999999</v>
      </c>
      <c r="L950" s="695">
        <f t="shared" ref="L950" si="333">J950+J951</f>
        <v>481</v>
      </c>
      <c r="M950" s="697">
        <f t="shared" ref="M950" si="334">SUM(K950:K951)</f>
        <v>481</v>
      </c>
      <c r="N950" s="699">
        <f t="shared" ref="N950" si="335">+L950-M950</f>
        <v>0</v>
      </c>
      <c r="O950" s="537"/>
    </row>
    <row r="951" spans="1:15" s="536" customFormat="1" ht="10.15" customHeight="1">
      <c r="A951" s="616"/>
      <c r="B951" s="535" t="s">
        <v>339</v>
      </c>
      <c r="C951" s="624">
        <v>1462</v>
      </c>
      <c r="D951" s="625">
        <v>43572</v>
      </c>
      <c r="E951" s="626" t="s">
        <v>304</v>
      </c>
      <c r="F951" s="626" t="s">
        <v>471</v>
      </c>
      <c r="G951" s="627">
        <v>958078</v>
      </c>
      <c r="H951" s="628">
        <v>55</v>
      </c>
      <c r="I951" s="626" t="s">
        <v>300</v>
      </c>
      <c r="J951" s="628">
        <v>352</v>
      </c>
      <c r="K951" s="629">
        <v>284.19799999999998</v>
      </c>
      <c r="L951" s="696"/>
      <c r="M951" s="698"/>
      <c r="N951" s="700"/>
      <c r="O951" s="537"/>
    </row>
    <row r="952" spans="1:15" s="536" customFormat="1" ht="10.15" customHeight="1">
      <c r="A952" s="616"/>
      <c r="B952" s="535" t="s">
        <v>339</v>
      </c>
      <c r="C952" s="618">
        <v>2140</v>
      </c>
      <c r="D952" s="619">
        <v>43627</v>
      </c>
      <c r="E952" s="620" t="s">
        <v>304</v>
      </c>
      <c r="F952" s="620" t="s">
        <v>471</v>
      </c>
      <c r="G952" s="621">
        <v>958078</v>
      </c>
      <c r="H952" s="622">
        <v>55</v>
      </c>
      <c r="I952" s="620" t="s">
        <v>299</v>
      </c>
      <c r="J952" s="622">
        <v>67</v>
      </c>
      <c r="K952" s="623">
        <v>38.054000000000002</v>
      </c>
      <c r="L952" s="695">
        <f t="shared" ref="L952" si="336">J952+J953</f>
        <v>148</v>
      </c>
      <c r="M952" s="697">
        <f t="shared" ref="M952" si="337">SUM(K952:K953)</f>
        <v>43.43</v>
      </c>
      <c r="N952" s="699">
        <f t="shared" ref="N952" si="338">+L952-M952</f>
        <v>104.57</v>
      </c>
      <c r="O952" s="537"/>
    </row>
    <row r="953" spans="1:15" s="536" customFormat="1" ht="10.15" customHeight="1">
      <c r="A953" s="616"/>
      <c r="B953" s="535" t="s">
        <v>339</v>
      </c>
      <c r="C953" s="624">
        <v>2140</v>
      </c>
      <c r="D953" s="625">
        <v>43627</v>
      </c>
      <c r="E953" s="626" t="s">
        <v>304</v>
      </c>
      <c r="F953" s="626" t="s">
        <v>471</v>
      </c>
      <c r="G953" s="627">
        <v>958078</v>
      </c>
      <c r="H953" s="628">
        <v>55</v>
      </c>
      <c r="I953" s="626" t="s">
        <v>300</v>
      </c>
      <c r="J953" s="628">
        <v>81</v>
      </c>
      <c r="K953" s="629">
        <v>5.3760000000000003</v>
      </c>
      <c r="L953" s="696"/>
      <c r="M953" s="698"/>
      <c r="N953" s="700"/>
      <c r="O953" s="537"/>
    </row>
    <row r="954" spans="1:15" s="536" customFormat="1" ht="10.15" customHeight="1">
      <c r="A954" s="615"/>
      <c r="B954" s="535" t="s">
        <v>339</v>
      </c>
      <c r="C954" s="618">
        <v>1462</v>
      </c>
      <c r="D954" s="619">
        <v>43572</v>
      </c>
      <c r="E954" s="620" t="s">
        <v>304</v>
      </c>
      <c r="F954" s="620" t="s">
        <v>472</v>
      </c>
      <c r="G954" s="621">
        <v>958573</v>
      </c>
      <c r="H954" s="622">
        <v>55</v>
      </c>
      <c r="I954" s="620" t="s">
        <v>299</v>
      </c>
      <c r="J954" s="622">
        <v>130</v>
      </c>
      <c r="K954" s="623">
        <v>198.982</v>
      </c>
      <c r="L954" s="695">
        <f t="shared" ref="L954" si="339">J954+J955</f>
        <v>480</v>
      </c>
      <c r="M954" s="697">
        <f t="shared" ref="M954" si="340">SUM(K954:K955)</f>
        <v>480</v>
      </c>
      <c r="N954" s="699">
        <f t="shared" ref="N954" si="341">+L954-M954</f>
        <v>0</v>
      </c>
      <c r="O954" s="537"/>
    </row>
    <row r="955" spans="1:15" s="536" customFormat="1" ht="10.15" customHeight="1">
      <c r="A955" s="615"/>
      <c r="B955" s="535" t="s">
        <v>339</v>
      </c>
      <c r="C955" s="624">
        <v>1462</v>
      </c>
      <c r="D955" s="625">
        <v>43572</v>
      </c>
      <c r="E955" s="626" t="s">
        <v>304</v>
      </c>
      <c r="F955" s="626" t="s">
        <v>472</v>
      </c>
      <c r="G955" s="627">
        <v>958573</v>
      </c>
      <c r="H955" s="628">
        <v>55</v>
      </c>
      <c r="I955" s="626" t="s">
        <v>300</v>
      </c>
      <c r="J955" s="628">
        <v>350</v>
      </c>
      <c r="K955" s="629">
        <v>281.01799999999997</v>
      </c>
      <c r="L955" s="696"/>
      <c r="M955" s="698"/>
      <c r="N955" s="700"/>
      <c r="O955" s="537"/>
    </row>
    <row r="956" spans="1:15" s="536" customFormat="1" ht="10.15" customHeight="1">
      <c r="A956" s="615"/>
      <c r="B956" s="535" t="s">
        <v>339</v>
      </c>
      <c r="C956" s="618">
        <v>2140</v>
      </c>
      <c r="D956" s="619">
        <v>43627</v>
      </c>
      <c r="E956" s="620" t="s">
        <v>304</v>
      </c>
      <c r="F956" s="620" t="s">
        <v>472</v>
      </c>
      <c r="G956" s="621">
        <v>958573</v>
      </c>
      <c r="H956" s="622">
        <v>55</v>
      </c>
      <c r="I956" s="620" t="s">
        <v>299</v>
      </c>
      <c r="J956" s="622">
        <v>67</v>
      </c>
      <c r="K956" s="623">
        <v>125.03100000000001</v>
      </c>
      <c r="L956" s="695">
        <f t="shared" ref="L956" si="342">J956+J957</f>
        <v>148</v>
      </c>
      <c r="M956" s="697">
        <f t="shared" ref="M956" si="343">SUM(K956:K957)</f>
        <v>131.69</v>
      </c>
      <c r="N956" s="699">
        <f t="shared" ref="N956" si="344">+L956-M956</f>
        <v>16.310000000000002</v>
      </c>
      <c r="O956" s="537"/>
    </row>
    <row r="957" spans="1:15" s="536" customFormat="1" ht="10.15" customHeight="1">
      <c r="A957" s="615"/>
      <c r="B957" s="535" t="s">
        <v>339</v>
      </c>
      <c r="C957" s="624">
        <v>2140</v>
      </c>
      <c r="D957" s="625">
        <v>43627</v>
      </c>
      <c r="E957" s="626" t="s">
        <v>304</v>
      </c>
      <c r="F957" s="626" t="s">
        <v>472</v>
      </c>
      <c r="G957" s="627">
        <v>958573</v>
      </c>
      <c r="H957" s="628">
        <v>55</v>
      </c>
      <c r="I957" s="626" t="s">
        <v>300</v>
      </c>
      <c r="J957" s="628">
        <v>81</v>
      </c>
      <c r="K957" s="629">
        <v>6.6589999999999998</v>
      </c>
      <c r="L957" s="696"/>
      <c r="M957" s="698"/>
      <c r="N957" s="700"/>
      <c r="O957" s="537"/>
    </row>
    <row r="958" spans="1:15" s="536" customFormat="1" ht="10.15" customHeight="1">
      <c r="A958" s="615"/>
      <c r="B958" s="535" t="s">
        <v>339</v>
      </c>
      <c r="C958" s="618">
        <v>1462</v>
      </c>
      <c r="D958" s="619">
        <v>43572</v>
      </c>
      <c r="E958" s="620" t="s">
        <v>304</v>
      </c>
      <c r="F958" s="620" t="s">
        <v>473</v>
      </c>
      <c r="G958" s="621">
        <v>959062</v>
      </c>
      <c r="H958" s="622">
        <v>55</v>
      </c>
      <c r="I958" s="620" t="s">
        <v>299</v>
      </c>
      <c r="J958" s="622">
        <v>113</v>
      </c>
      <c r="K958" s="623">
        <v>195.03299999999999</v>
      </c>
      <c r="L958" s="695">
        <f t="shared" ref="L958" si="345">J958+J959</f>
        <v>420</v>
      </c>
      <c r="M958" s="697">
        <f t="shared" ref="M958" si="346">SUM(K958:K959)</f>
        <v>420</v>
      </c>
      <c r="N958" s="699">
        <f t="shared" ref="N958" si="347">+L958-M958</f>
        <v>0</v>
      </c>
      <c r="O958" s="537"/>
    </row>
    <row r="959" spans="1:15" s="536" customFormat="1" ht="10.15" customHeight="1">
      <c r="A959" s="615"/>
      <c r="B959" s="535" t="s">
        <v>339</v>
      </c>
      <c r="C959" s="624">
        <v>1462</v>
      </c>
      <c r="D959" s="625">
        <v>43572</v>
      </c>
      <c r="E959" s="626" t="s">
        <v>304</v>
      </c>
      <c r="F959" s="626" t="s">
        <v>473</v>
      </c>
      <c r="G959" s="627">
        <v>959062</v>
      </c>
      <c r="H959" s="628">
        <v>55</v>
      </c>
      <c r="I959" s="626" t="s">
        <v>300</v>
      </c>
      <c r="J959" s="628">
        <v>307</v>
      </c>
      <c r="K959" s="629">
        <v>224.96700000000001</v>
      </c>
      <c r="L959" s="696"/>
      <c r="M959" s="698"/>
      <c r="N959" s="700"/>
      <c r="O959" s="537"/>
    </row>
    <row r="960" spans="1:15" s="536" customFormat="1" ht="10.15" customHeight="1">
      <c r="A960" s="615"/>
      <c r="B960" s="535" t="s">
        <v>339</v>
      </c>
      <c r="C960" s="618">
        <v>2140</v>
      </c>
      <c r="D960" s="619">
        <v>43627</v>
      </c>
      <c r="E960" s="620" t="s">
        <v>304</v>
      </c>
      <c r="F960" s="620" t="s">
        <v>473</v>
      </c>
      <c r="G960" s="621">
        <v>959062</v>
      </c>
      <c r="H960" s="622">
        <v>55</v>
      </c>
      <c r="I960" s="620" t="s">
        <v>299</v>
      </c>
      <c r="J960" s="622">
        <v>67</v>
      </c>
      <c r="K960" s="623">
        <v>90.710999999999999</v>
      </c>
      <c r="L960" s="695">
        <f t="shared" ref="L960" si="348">J960+J961</f>
        <v>148</v>
      </c>
      <c r="M960" s="697">
        <f t="shared" ref="M960" si="349">SUM(K960:K961)</f>
        <v>148</v>
      </c>
      <c r="N960" s="699">
        <f t="shared" ref="N960" si="350">+L960-M960</f>
        <v>0</v>
      </c>
      <c r="O960" s="537"/>
    </row>
    <row r="961" spans="1:15" s="536" customFormat="1" ht="10.15" customHeight="1">
      <c r="A961" s="615"/>
      <c r="B961" s="535" t="s">
        <v>339</v>
      </c>
      <c r="C961" s="624">
        <v>2140</v>
      </c>
      <c r="D961" s="625">
        <v>43627</v>
      </c>
      <c r="E961" s="626" t="s">
        <v>304</v>
      </c>
      <c r="F961" s="626" t="s">
        <v>473</v>
      </c>
      <c r="G961" s="627">
        <v>959062</v>
      </c>
      <c r="H961" s="628">
        <v>55</v>
      </c>
      <c r="I961" s="626" t="s">
        <v>300</v>
      </c>
      <c r="J961" s="628">
        <v>81</v>
      </c>
      <c r="K961" s="629">
        <v>57.289000000000001</v>
      </c>
      <c r="L961" s="696"/>
      <c r="M961" s="698"/>
      <c r="N961" s="700"/>
      <c r="O961" s="537"/>
    </row>
    <row r="962" spans="1:15" s="536" customFormat="1" ht="10.15" customHeight="1">
      <c r="A962" s="615"/>
      <c r="B962" s="535" t="s">
        <v>339</v>
      </c>
      <c r="C962" s="618">
        <v>2140</v>
      </c>
      <c r="D962" s="619">
        <v>43627</v>
      </c>
      <c r="E962" s="620" t="s">
        <v>304</v>
      </c>
      <c r="F962" s="620" t="s">
        <v>572</v>
      </c>
      <c r="G962" s="621">
        <v>960761</v>
      </c>
      <c r="H962" s="622">
        <v>55</v>
      </c>
      <c r="I962" s="620" t="s">
        <v>299</v>
      </c>
      <c r="J962" s="622">
        <v>67</v>
      </c>
      <c r="K962" s="623">
        <v>100.765</v>
      </c>
      <c r="L962" s="695">
        <f t="shared" ref="L962" si="351">J962+J963</f>
        <v>148</v>
      </c>
      <c r="M962" s="697">
        <f t="shared" ref="M962" si="352">SUM(K962:K963)</f>
        <v>112.64400000000001</v>
      </c>
      <c r="N962" s="699">
        <f t="shared" ref="N962" si="353">+L962-M962</f>
        <v>35.355999999999995</v>
      </c>
      <c r="O962" s="537"/>
    </row>
    <row r="963" spans="1:15" s="536" customFormat="1" ht="10.15" customHeight="1">
      <c r="A963" s="615"/>
      <c r="B963" s="535" t="s">
        <v>339</v>
      </c>
      <c r="C963" s="624">
        <v>2140</v>
      </c>
      <c r="D963" s="625">
        <v>43627</v>
      </c>
      <c r="E963" s="626" t="s">
        <v>304</v>
      </c>
      <c r="F963" s="626" t="s">
        <v>572</v>
      </c>
      <c r="G963" s="627">
        <v>960761</v>
      </c>
      <c r="H963" s="628">
        <v>55</v>
      </c>
      <c r="I963" s="626" t="s">
        <v>300</v>
      </c>
      <c r="J963" s="628">
        <v>81</v>
      </c>
      <c r="K963" s="629">
        <v>11.879</v>
      </c>
      <c r="L963" s="696"/>
      <c r="M963" s="698"/>
      <c r="N963" s="700"/>
      <c r="O963" s="537"/>
    </row>
    <row r="964" spans="1:15" s="536" customFormat="1" ht="10.15" customHeight="1">
      <c r="A964" s="615"/>
      <c r="B964" s="535" t="s">
        <v>339</v>
      </c>
      <c r="C964" s="618">
        <v>2140</v>
      </c>
      <c r="D964" s="619">
        <v>43627</v>
      </c>
      <c r="E964" s="620" t="s">
        <v>304</v>
      </c>
      <c r="F964" s="620" t="s">
        <v>573</v>
      </c>
      <c r="G964" s="621">
        <v>960936</v>
      </c>
      <c r="H964" s="622">
        <v>55</v>
      </c>
      <c r="I964" s="620" t="s">
        <v>299</v>
      </c>
      <c r="J964" s="622">
        <v>67</v>
      </c>
      <c r="K964" s="623">
        <v>38.097000000000001</v>
      </c>
      <c r="L964" s="695">
        <f t="shared" ref="L964" si="354">J964+J965</f>
        <v>148</v>
      </c>
      <c r="M964" s="697">
        <f t="shared" ref="M964" si="355">SUM(K964:K965)</f>
        <v>74.7</v>
      </c>
      <c r="N964" s="699">
        <f t="shared" ref="N964" si="356">+L964-M964</f>
        <v>73.3</v>
      </c>
      <c r="O964" s="537"/>
    </row>
    <row r="965" spans="1:15" s="536" customFormat="1" ht="10.15" customHeight="1">
      <c r="A965" s="615"/>
      <c r="B965" s="535" t="s">
        <v>339</v>
      </c>
      <c r="C965" s="624">
        <v>2140</v>
      </c>
      <c r="D965" s="625">
        <v>43627</v>
      </c>
      <c r="E965" s="626" t="s">
        <v>304</v>
      </c>
      <c r="F965" s="626" t="s">
        <v>573</v>
      </c>
      <c r="G965" s="627">
        <v>960936</v>
      </c>
      <c r="H965" s="628">
        <v>55</v>
      </c>
      <c r="I965" s="626" t="s">
        <v>300</v>
      </c>
      <c r="J965" s="628">
        <v>81</v>
      </c>
      <c r="K965" s="629">
        <v>36.603000000000002</v>
      </c>
      <c r="L965" s="696"/>
      <c r="M965" s="698"/>
      <c r="N965" s="700"/>
      <c r="O965" s="537"/>
    </row>
    <row r="966" spans="1:15" s="536" customFormat="1" ht="10.15" customHeight="1">
      <c r="A966" s="615"/>
      <c r="B966" s="535" t="s">
        <v>339</v>
      </c>
      <c r="C966" s="618">
        <v>15</v>
      </c>
      <c r="D966" s="619">
        <v>43523</v>
      </c>
      <c r="E966" s="620" t="s">
        <v>303</v>
      </c>
      <c r="F966" s="620" t="s">
        <v>474</v>
      </c>
      <c r="G966" s="621">
        <v>963731</v>
      </c>
      <c r="H966" s="622">
        <v>55</v>
      </c>
      <c r="I966" s="620" t="s">
        <v>299</v>
      </c>
      <c r="J966" s="622">
        <v>2</v>
      </c>
      <c r="K966" s="623">
        <v>38.006</v>
      </c>
      <c r="L966" s="695">
        <f t="shared" ref="L966" si="357">J966+J967</f>
        <v>100</v>
      </c>
      <c r="M966" s="697">
        <f t="shared" ref="M966" si="358">SUM(K966:K967)</f>
        <v>100</v>
      </c>
      <c r="N966" s="699">
        <f t="shared" ref="N966" si="359">+L966-M966</f>
        <v>0</v>
      </c>
      <c r="O966" s="537"/>
    </row>
    <row r="967" spans="1:15" s="536" customFormat="1" ht="10.15" customHeight="1">
      <c r="A967" s="615"/>
      <c r="B967" s="535" t="s">
        <v>339</v>
      </c>
      <c r="C967" s="624">
        <v>15</v>
      </c>
      <c r="D967" s="625">
        <v>43523</v>
      </c>
      <c r="E967" s="626" t="s">
        <v>303</v>
      </c>
      <c r="F967" s="626" t="s">
        <v>474</v>
      </c>
      <c r="G967" s="627">
        <v>963731</v>
      </c>
      <c r="H967" s="628">
        <v>55</v>
      </c>
      <c r="I967" s="626" t="s">
        <v>300</v>
      </c>
      <c r="J967" s="628">
        <v>98</v>
      </c>
      <c r="K967" s="629">
        <v>61.994</v>
      </c>
      <c r="L967" s="696"/>
      <c r="M967" s="698"/>
      <c r="N967" s="700"/>
      <c r="O967" s="537"/>
    </row>
    <row r="968" spans="1:15" s="536" customFormat="1" ht="10.15" customHeight="1">
      <c r="A968" s="615"/>
      <c r="B968" s="535" t="s">
        <v>339</v>
      </c>
      <c r="C968" s="618">
        <v>795</v>
      </c>
      <c r="D968" s="619">
        <v>43524</v>
      </c>
      <c r="E968" s="620" t="s">
        <v>304</v>
      </c>
      <c r="F968" s="620" t="s">
        <v>475</v>
      </c>
      <c r="G968" s="621">
        <v>965035</v>
      </c>
      <c r="H968" s="622">
        <v>55</v>
      </c>
      <c r="I968" s="620" t="s">
        <v>299</v>
      </c>
      <c r="J968" s="622">
        <v>6</v>
      </c>
      <c r="K968" s="623">
        <v>3.59</v>
      </c>
      <c r="L968" s="695">
        <f t="shared" ref="L968" si="360">J968+J969</f>
        <v>24</v>
      </c>
      <c r="M968" s="697">
        <f t="shared" ref="M968" si="361">SUM(K968:K969)</f>
        <v>24</v>
      </c>
      <c r="N968" s="699">
        <f t="shared" ref="N968" si="362">+L968-M968</f>
        <v>0</v>
      </c>
      <c r="O968" s="537"/>
    </row>
    <row r="969" spans="1:15" s="536" customFormat="1" ht="10.15" customHeight="1">
      <c r="A969" s="615"/>
      <c r="B969" s="535" t="s">
        <v>339</v>
      </c>
      <c r="C969" s="624">
        <v>795</v>
      </c>
      <c r="D969" s="625">
        <v>43524</v>
      </c>
      <c r="E969" s="626" t="s">
        <v>304</v>
      </c>
      <c r="F969" s="626" t="s">
        <v>475</v>
      </c>
      <c r="G969" s="627">
        <v>965035</v>
      </c>
      <c r="H969" s="628">
        <v>55</v>
      </c>
      <c r="I969" s="626" t="s">
        <v>300</v>
      </c>
      <c r="J969" s="628">
        <v>18</v>
      </c>
      <c r="K969" s="629">
        <v>20.41</v>
      </c>
      <c r="L969" s="696"/>
      <c r="M969" s="698"/>
      <c r="N969" s="700"/>
      <c r="O969" s="537"/>
    </row>
    <row r="970" spans="1:15" s="536" customFormat="1" ht="10.15" customHeight="1">
      <c r="A970" s="615"/>
      <c r="B970" s="535" t="s">
        <v>339</v>
      </c>
      <c r="C970" s="618">
        <v>83</v>
      </c>
      <c r="D970" s="619">
        <v>43608</v>
      </c>
      <c r="E970" s="620" t="s">
        <v>303</v>
      </c>
      <c r="F970" s="620" t="s">
        <v>317</v>
      </c>
      <c r="G970" s="621">
        <v>966599</v>
      </c>
      <c r="H970" s="622">
        <v>56</v>
      </c>
      <c r="I970" s="620" t="s">
        <v>299</v>
      </c>
      <c r="J970" s="622">
        <v>6.38</v>
      </c>
      <c r="K970" s="623">
        <v>0.63800000000000001</v>
      </c>
      <c r="L970" s="695">
        <f t="shared" ref="L970" si="363">J970+J971</f>
        <v>16.34</v>
      </c>
      <c r="M970" s="697">
        <f t="shared" ref="M970" si="364">SUM(K970:K971)</f>
        <v>2.4079999999999999</v>
      </c>
      <c r="N970" s="699">
        <f t="shared" ref="N970" si="365">+L970-M970</f>
        <v>13.932</v>
      </c>
      <c r="O970" s="537"/>
    </row>
    <row r="971" spans="1:15" s="536" customFormat="1" ht="10.15" customHeight="1">
      <c r="A971" s="615"/>
      <c r="B971" s="535" t="s">
        <v>339</v>
      </c>
      <c r="C971" s="624">
        <v>83</v>
      </c>
      <c r="D971" s="625">
        <v>43608</v>
      </c>
      <c r="E971" s="626" t="s">
        <v>303</v>
      </c>
      <c r="F971" s="626" t="s">
        <v>317</v>
      </c>
      <c r="G971" s="627">
        <v>966599</v>
      </c>
      <c r="H971" s="628">
        <v>56</v>
      </c>
      <c r="I971" s="626" t="s">
        <v>300</v>
      </c>
      <c r="J971" s="628">
        <v>9.9600000000000009</v>
      </c>
      <c r="K971" s="629">
        <v>1.77</v>
      </c>
      <c r="L971" s="696"/>
      <c r="M971" s="698"/>
      <c r="N971" s="700"/>
      <c r="O971" s="537"/>
    </row>
    <row r="972" spans="1:15" s="536" customFormat="1" ht="10.15" customHeight="1">
      <c r="A972" s="615"/>
      <c r="B972" s="535" t="s">
        <v>339</v>
      </c>
      <c r="C972" s="618">
        <v>1352</v>
      </c>
      <c r="D972" s="619">
        <v>43564</v>
      </c>
      <c r="E972" s="620" t="s">
        <v>304</v>
      </c>
      <c r="F972" s="620" t="s">
        <v>321</v>
      </c>
      <c r="G972" s="621">
        <v>966994</v>
      </c>
      <c r="H972" s="622">
        <v>56</v>
      </c>
      <c r="I972" s="620" t="s">
        <v>299</v>
      </c>
      <c r="J972" s="622">
        <v>0</v>
      </c>
      <c r="K972" s="623"/>
      <c r="L972" s="695">
        <f t="shared" ref="L972" si="366">J972+J973</f>
        <v>266.05</v>
      </c>
      <c r="M972" s="697">
        <f t="shared" ref="M972" si="367">SUM(K972:K973)</f>
        <v>266.05200000000002</v>
      </c>
      <c r="N972" s="699">
        <f t="shared" ref="N972" si="368">+L972-M972</f>
        <v>-2.0000000000095497E-3</v>
      </c>
      <c r="O972" s="537"/>
    </row>
    <row r="973" spans="1:15" s="536" customFormat="1" ht="10.15" customHeight="1">
      <c r="A973" s="615"/>
      <c r="B973" s="535" t="s">
        <v>339</v>
      </c>
      <c r="C973" s="624">
        <v>1352</v>
      </c>
      <c r="D973" s="625">
        <v>43564</v>
      </c>
      <c r="E973" s="626" t="s">
        <v>304</v>
      </c>
      <c r="F973" s="626" t="s">
        <v>321</v>
      </c>
      <c r="G973" s="627">
        <v>966994</v>
      </c>
      <c r="H973" s="628">
        <v>56</v>
      </c>
      <c r="I973" s="626" t="s">
        <v>300</v>
      </c>
      <c r="J973" s="628">
        <v>266.05</v>
      </c>
      <c r="K973" s="629">
        <v>266.05200000000002</v>
      </c>
      <c r="L973" s="696"/>
      <c r="M973" s="698"/>
      <c r="N973" s="700"/>
      <c r="O973" s="537"/>
    </row>
    <row r="974" spans="1:15" s="536" customFormat="1" ht="10.15" customHeight="1">
      <c r="A974" s="615"/>
      <c r="B974" s="535" t="s">
        <v>339</v>
      </c>
      <c r="C974" s="618">
        <v>544</v>
      </c>
      <c r="D974" s="619">
        <v>43507</v>
      </c>
      <c r="E974" s="620" t="s">
        <v>304</v>
      </c>
      <c r="F974" s="620" t="s">
        <v>323</v>
      </c>
      <c r="G974" s="621">
        <v>966995</v>
      </c>
      <c r="H974" s="622">
        <v>56</v>
      </c>
      <c r="I974" s="620" t="s">
        <v>299</v>
      </c>
      <c r="J974" s="622">
        <v>70.709999999999994</v>
      </c>
      <c r="K974" s="623">
        <v>641.00800000000004</v>
      </c>
      <c r="L974" s="695">
        <f t="shared" ref="L974" si="369">J974+J975</f>
        <v>2000.463</v>
      </c>
      <c r="M974" s="697">
        <f t="shared" ref="M974" si="370">SUM(K974:K975)</f>
        <v>1960.461</v>
      </c>
      <c r="N974" s="699">
        <f t="shared" ref="N974" si="371">+L974-M974</f>
        <v>40.001999999999953</v>
      </c>
      <c r="O974" s="537"/>
    </row>
    <row r="975" spans="1:15" s="536" customFormat="1" ht="10.15" customHeight="1">
      <c r="A975" s="615"/>
      <c r="B975" s="535" t="s">
        <v>339</v>
      </c>
      <c r="C975" s="624">
        <v>544</v>
      </c>
      <c r="D975" s="625">
        <v>43507</v>
      </c>
      <c r="E975" s="626" t="s">
        <v>304</v>
      </c>
      <c r="F975" s="626" t="s">
        <v>323</v>
      </c>
      <c r="G975" s="627">
        <v>966995</v>
      </c>
      <c r="H975" s="628">
        <v>56</v>
      </c>
      <c r="I975" s="626" t="s">
        <v>300</v>
      </c>
      <c r="J975" s="628">
        <v>1929.7529999999999</v>
      </c>
      <c r="K975" s="629">
        <v>1319.453</v>
      </c>
      <c r="L975" s="696"/>
      <c r="M975" s="698"/>
      <c r="N975" s="700"/>
      <c r="O975" s="537"/>
    </row>
    <row r="976" spans="1:15" s="536" customFormat="1" ht="10.15" customHeight="1">
      <c r="A976" s="615"/>
      <c r="B976" s="535" t="s">
        <v>339</v>
      </c>
      <c r="C976" s="618">
        <v>2312</v>
      </c>
      <c r="D976" s="619">
        <v>43643</v>
      </c>
      <c r="E976" s="620" t="s">
        <v>304</v>
      </c>
      <c r="F976" s="620" t="s">
        <v>323</v>
      </c>
      <c r="G976" s="621">
        <v>966995</v>
      </c>
      <c r="H976" s="622">
        <v>56</v>
      </c>
      <c r="I976" s="620" t="s">
        <v>299</v>
      </c>
      <c r="J976" s="622">
        <v>12.974</v>
      </c>
      <c r="K976" s="623"/>
      <c r="L976" s="695">
        <f t="shared" ref="L976" si="372">J976+J977</f>
        <v>100.40600000000001</v>
      </c>
      <c r="M976" s="697">
        <f t="shared" ref="M976" si="373">SUM(K976:K977)</f>
        <v>0</v>
      </c>
      <c r="N976" s="699">
        <f t="shared" ref="N976" si="374">+L976-M976</f>
        <v>100.40600000000001</v>
      </c>
      <c r="O976" s="537"/>
    </row>
    <row r="977" spans="1:15" s="536" customFormat="1" ht="10.15" customHeight="1">
      <c r="A977" s="615"/>
      <c r="B977" s="535" t="s">
        <v>339</v>
      </c>
      <c r="C977" s="624">
        <v>2312</v>
      </c>
      <c r="D977" s="625">
        <v>43643</v>
      </c>
      <c r="E977" s="626" t="s">
        <v>304</v>
      </c>
      <c r="F977" s="626" t="s">
        <v>323</v>
      </c>
      <c r="G977" s="627">
        <v>966995</v>
      </c>
      <c r="H977" s="628">
        <v>56</v>
      </c>
      <c r="I977" s="626" t="s">
        <v>300</v>
      </c>
      <c r="J977" s="628">
        <v>87.432000000000002</v>
      </c>
      <c r="K977" s="629"/>
      <c r="L977" s="696"/>
      <c r="M977" s="698"/>
      <c r="N977" s="700"/>
      <c r="O977" s="537"/>
    </row>
    <row r="978" spans="1:15" s="536" customFormat="1" ht="10.15" customHeight="1">
      <c r="A978" s="615"/>
      <c r="B978" s="535" t="s">
        <v>339</v>
      </c>
      <c r="C978" s="618">
        <v>1111</v>
      </c>
      <c r="D978" s="619">
        <v>43553</v>
      </c>
      <c r="E978" s="620" t="s">
        <v>304</v>
      </c>
      <c r="F978" s="620" t="s">
        <v>330</v>
      </c>
      <c r="G978" s="621">
        <v>965073</v>
      </c>
      <c r="H978" s="622">
        <v>57</v>
      </c>
      <c r="I978" s="620" t="s">
        <v>299</v>
      </c>
      <c r="J978" s="622">
        <v>0</v>
      </c>
      <c r="K978" s="623"/>
      <c r="L978" s="695">
        <f t="shared" ref="L978" si="375">J978+J979</f>
        <v>88.683000000000007</v>
      </c>
      <c r="M978" s="697">
        <f t="shared" ref="M978" si="376">SUM(K978:K979)</f>
        <v>88.683999999999997</v>
      </c>
      <c r="N978" s="699">
        <f t="shared" ref="N978" si="377">+L978-M978</f>
        <v>-9.9999999999056399E-4</v>
      </c>
      <c r="O978" s="537"/>
    </row>
    <row r="979" spans="1:15" s="536" customFormat="1" ht="10.15" customHeight="1">
      <c r="A979" s="615"/>
      <c r="B979" s="535" t="s">
        <v>339</v>
      </c>
      <c r="C979" s="624">
        <v>1111</v>
      </c>
      <c r="D979" s="625">
        <v>43553</v>
      </c>
      <c r="E979" s="626" t="s">
        <v>304</v>
      </c>
      <c r="F979" s="626" t="s">
        <v>330</v>
      </c>
      <c r="G979" s="627">
        <v>965073</v>
      </c>
      <c r="H979" s="628">
        <v>57</v>
      </c>
      <c r="I979" s="626" t="s">
        <v>300</v>
      </c>
      <c r="J979" s="628">
        <v>88.683000000000007</v>
      </c>
      <c r="K979" s="629">
        <v>88.683999999999997</v>
      </c>
      <c r="L979" s="696"/>
      <c r="M979" s="698"/>
      <c r="N979" s="700"/>
      <c r="O979" s="537"/>
    </row>
    <row r="980" spans="1:15" s="536" customFormat="1" ht="10.15" customHeight="1">
      <c r="A980" s="615"/>
      <c r="B980" s="535" t="s">
        <v>339</v>
      </c>
      <c r="C980" s="618">
        <v>1463</v>
      </c>
      <c r="D980" s="619">
        <v>43572</v>
      </c>
      <c r="E980" s="620" t="s">
        <v>304</v>
      </c>
      <c r="F980" s="620" t="s">
        <v>330</v>
      </c>
      <c r="G980" s="621">
        <v>965073</v>
      </c>
      <c r="H980" s="622">
        <v>57</v>
      </c>
      <c r="I980" s="620" t="s">
        <v>299</v>
      </c>
      <c r="J980" s="622">
        <v>0</v>
      </c>
      <c r="K980" s="623"/>
      <c r="L980" s="695">
        <f t="shared" ref="L980" si="378">J980+J981</f>
        <v>133.02500000000001</v>
      </c>
      <c r="M980" s="697">
        <f t="shared" ref="M980" si="379">SUM(K980:K981)</f>
        <v>142.27500000000001</v>
      </c>
      <c r="N980" s="699">
        <f t="shared" ref="N980" si="380">+L980-M980</f>
        <v>-9.25</v>
      </c>
      <c r="O980" s="537"/>
    </row>
    <row r="981" spans="1:15" s="536" customFormat="1" ht="10.15" customHeight="1">
      <c r="A981" s="615"/>
      <c r="B981" s="535" t="s">
        <v>339</v>
      </c>
      <c r="C981" s="624">
        <v>1463</v>
      </c>
      <c r="D981" s="625">
        <v>43572</v>
      </c>
      <c r="E981" s="626" t="s">
        <v>304</v>
      </c>
      <c r="F981" s="626" t="s">
        <v>330</v>
      </c>
      <c r="G981" s="627">
        <v>965073</v>
      </c>
      <c r="H981" s="628">
        <v>57</v>
      </c>
      <c r="I981" s="626" t="s">
        <v>300</v>
      </c>
      <c r="J981" s="628">
        <v>133.02500000000001</v>
      </c>
      <c r="K981" s="629">
        <v>142.27500000000001</v>
      </c>
      <c r="L981" s="696"/>
      <c r="M981" s="698"/>
      <c r="N981" s="700"/>
      <c r="O981" s="537"/>
    </row>
    <row r="982" spans="1:15" s="536" customFormat="1" ht="10.15" customHeight="1">
      <c r="A982" s="615"/>
      <c r="B982" s="535" t="s">
        <v>339</v>
      </c>
      <c r="C982" s="618">
        <v>2398</v>
      </c>
      <c r="D982" s="619">
        <v>43649</v>
      </c>
      <c r="E982" s="620" t="s">
        <v>304</v>
      </c>
      <c r="F982" s="620" t="s">
        <v>330</v>
      </c>
      <c r="G982" s="621">
        <v>965073</v>
      </c>
      <c r="H982" s="622">
        <v>57</v>
      </c>
      <c r="I982" s="620" t="s">
        <v>299</v>
      </c>
      <c r="J982" s="622">
        <v>0</v>
      </c>
      <c r="K982" s="623"/>
      <c r="L982" s="695">
        <f t="shared" ref="L982" si="381">J982+J983</f>
        <v>108.372</v>
      </c>
      <c r="M982" s="697">
        <f t="shared" ref="M982" si="382">SUM(K982:K983)</f>
        <v>0</v>
      </c>
      <c r="N982" s="699">
        <f t="shared" ref="N982" si="383">+L982-M982</f>
        <v>108.372</v>
      </c>
      <c r="O982" s="537"/>
    </row>
    <row r="983" spans="1:15" s="536" customFormat="1" ht="10.15" customHeight="1">
      <c r="A983" s="615"/>
      <c r="B983" s="535" t="s">
        <v>339</v>
      </c>
      <c r="C983" s="624">
        <v>2398</v>
      </c>
      <c r="D983" s="625">
        <v>43649</v>
      </c>
      <c r="E983" s="626" t="s">
        <v>304</v>
      </c>
      <c r="F983" s="626" t="s">
        <v>330</v>
      </c>
      <c r="G983" s="627">
        <v>965073</v>
      </c>
      <c r="H983" s="628">
        <v>57</v>
      </c>
      <c r="I983" s="626" t="s">
        <v>300</v>
      </c>
      <c r="J983" s="628">
        <v>108.372</v>
      </c>
      <c r="K983" s="629"/>
      <c r="L983" s="696"/>
      <c r="M983" s="698"/>
      <c r="N983" s="700"/>
      <c r="O983" s="537"/>
    </row>
    <row r="984" spans="1:15" s="536" customFormat="1" ht="10.15" customHeight="1">
      <c r="A984" s="615"/>
      <c r="B984" s="535" t="s">
        <v>339</v>
      </c>
      <c r="C984" s="618">
        <v>56</v>
      </c>
      <c r="D984" s="619">
        <v>43579</v>
      </c>
      <c r="E984" s="620" t="s">
        <v>303</v>
      </c>
      <c r="F984" s="620" t="s">
        <v>331</v>
      </c>
      <c r="G984" s="621">
        <v>965344</v>
      </c>
      <c r="H984" s="622">
        <v>57</v>
      </c>
      <c r="I984" s="620" t="s">
        <v>299</v>
      </c>
      <c r="J984" s="622">
        <v>22.8</v>
      </c>
      <c r="K984" s="623">
        <v>39.216999999999999</v>
      </c>
      <c r="L984" s="695">
        <f t="shared" ref="L984" si="384">J984+J985</f>
        <v>100.17</v>
      </c>
      <c r="M984" s="697">
        <f t="shared" ref="M984" si="385">SUM(K984:K985)</f>
        <v>96.894999999999996</v>
      </c>
      <c r="N984" s="699">
        <f t="shared" ref="N984" si="386">+L984-M984</f>
        <v>3.2750000000000057</v>
      </c>
      <c r="O984" s="537"/>
    </row>
    <row r="985" spans="1:15" s="536" customFormat="1" ht="10.15" customHeight="1">
      <c r="A985" s="615"/>
      <c r="B985" s="535" t="s">
        <v>339</v>
      </c>
      <c r="C985" s="624">
        <v>56</v>
      </c>
      <c r="D985" s="625">
        <v>43579</v>
      </c>
      <c r="E985" s="626" t="s">
        <v>303</v>
      </c>
      <c r="F985" s="626" t="s">
        <v>331</v>
      </c>
      <c r="G985" s="627">
        <v>965344</v>
      </c>
      <c r="H985" s="628">
        <v>57</v>
      </c>
      <c r="I985" s="626" t="s">
        <v>300</v>
      </c>
      <c r="J985" s="628">
        <v>77.37</v>
      </c>
      <c r="K985" s="629">
        <v>57.677999999999997</v>
      </c>
      <c r="L985" s="696"/>
      <c r="M985" s="698"/>
      <c r="N985" s="700"/>
      <c r="O985" s="537"/>
    </row>
    <row r="986" spans="1:15" s="536" customFormat="1" ht="10.15" customHeight="1">
      <c r="A986" s="615"/>
      <c r="B986" s="535" t="s">
        <v>339</v>
      </c>
      <c r="C986" s="618">
        <v>686</v>
      </c>
      <c r="D986" s="619">
        <v>43516</v>
      </c>
      <c r="E986" s="620" t="s">
        <v>304</v>
      </c>
      <c r="F986" s="620" t="s">
        <v>332</v>
      </c>
      <c r="G986" s="621">
        <v>967145</v>
      </c>
      <c r="H986" s="622">
        <v>57</v>
      </c>
      <c r="I986" s="620" t="s">
        <v>299</v>
      </c>
      <c r="J986" s="622">
        <v>101.88500000000001</v>
      </c>
      <c r="K986" s="623">
        <v>865.697</v>
      </c>
      <c r="L986" s="695">
        <f t="shared" ref="L986" si="387">J986+J987</f>
        <v>2177.2140000000004</v>
      </c>
      <c r="M986" s="697">
        <f t="shared" ref="M986" si="388">SUM(K986:K987)</f>
        <v>2153.125</v>
      </c>
      <c r="N986" s="699">
        <f t="shared" ref="N986" si="389">+L986-M986</f>
        <v>24.089000000000397</v>
      </c>
      <c r="O986" s="537"/>
    </row>
    <row r="987" spans="1:15" s="536" customFormat="1" ht="10.15" customHeight="1">
      <c r="A987" s="615"/>
      <c r="B987" s="535" t="s">
        <v>339</v>
      </c>
      <c r="C987" s="624">
        <v>686</v>
      </c>
      <c r="D987" s="625">
        <v>43516</v>
      </c>
      <c r="E987" s="626" t="s">
        <v>304</v>
      </c>
      <c r="F987" s="626" t="s">
        <v>332</v>
      </c>
      <c r="G987" s="627">
        <v>967145</v>
      </c>
      <c r="H987" s="628">
        <v>57</v>
      </c>
      <c r="I987" s="626" t="s">
        <v>300</v>
      </c>
      <c r="J987" s="628">
        <v>2075.3290000000002</v>
      </c>
      <c r="K987" s="629">
        <v>1287.4280000000001</v>
      </c>
      <c r="L987" s="696"/>
      <c r="M987" s="698"/>
      <c r="N987" s="700"/>
      <c r="O987" s="537"/>
    </row>
    <row r="988" spans="1:15" s="536" customFormat="1" ht="10.15" customHeight="1">
      <c r="A988" s="615"/>
      <c r="B988" s="535" t="s">
        <v>339</v>
      </c>
      <c r="C988" s="618">
        <v>825</v>
      </c>
      <c r="D988" s="619">
        <v>43529</v>
      </c>
      <c r="E988" s="620" t="s">
        <v>304</v>
      </c>
      <c r="F988" s="620" t="s">
        <v>332</v>
      </c>
      <c r="G988" s="621">
        <v>967145</v>
      </c>
      <c r="H988" s="622">
        <v>57</v>
      </c>
      <c r="I988" s="620" t="s">
        <v>299</v>
      </c>
      <c r="J988" s="622">
        <v>81.236000000000004</v>
      </c>
      <c r="K988" s="623">
        <v>26.792000000000002</v>
      </c>
      <c r="L988" s="695">
        <f t="shared" ref="L988" si="390">J988+J989</f>
        <v>155.9</v>
      </c>
      <c r="M988" s="697">
        <f t="shared" ref="M988" si="391">SUM(K988:K989)</f>
        <v>157.589</v>
      </c>
      <c r="N988" s="699">
        <f t="shared" ref="N988" si="392">+L988-M988</f>
        <v>-1.688999999999993</v>
      </c>
      <c r="O988" s="537"/>
    </row>
    <row r="989" spans="1:15" s="536" customFormat="1" ht="10.15" customHeight="1">
      <c r="A989" s="615"/>
      <c r="B989" s="535" t="s">
        <v>339</v>
      </c>
      <c r="C989" s="624">
        <v>825</v>
      </c>
      <c r="D989" s="625">
        <v>43529</v>
      </c>
      <c r="E989" s="626" t="s">
        <v>304</v>
      </c>
      <c r="F989" s="626" t="s">
        <v>332</v>
      </c>
      <c r="G989" s="627">
        <v>967145</v>
      </c>
      <c r="H989" s="628">
        <v>57</v>
      </c>
      <c r="I989" s="626" t="s">
        <v>300</v>
      </c>
      <c r="J989" s="628">
        <v>74.664000000000001</v>
      </c>
      <c r="K989" s="629">
        <v>130.797</v>
      </c>
      <c r="L989" s="696"/>
      <c r="M989" s="698"/>
      <c r="N989" s="700"/>
      <c r="O989" s="538"/>
    </row>
    <row r="990" spans="1:15" s="536" customFormat="1" ht="10.15" customHeight="1">
      <c r="A990" s="615"/>
      <c r="B990" s="535" t="s">
        <v>339</v>
      </c>
      <c r="C990" s="618">
        <v>971</v>
      </c>
      <c r="D990" s="619">
        <v>43543</v>
      </c>
      <c r="E990" s="620" t="s">
        <v>304</v>
      </c>
      <c r="F990" s="620" t="s">
        <v>332</v>
      </c>
      <c r="G990" s="621">
        <v>967145</v>
      </c>
      <c r="H990" s="622">
        <v>57</v>
      </c>
      <c r="I990" s="620" t="s">
        <v>299</v>
      </c>
      <c r="J990" s="622">
        <v>106.78700000000001</v>
      </c>
      <c r="K990" s="623">
        <v>153.376</v>
      </c>
      <c r="L990" s="695">
        <f t="shared" ref="L990" si="393">J990+J991</f>
        <v>567.34699999999998</v>
      </c>
      <c r="M990" s="697">
        <f t="shared" ref="M990" si="394">SUM(K990:K991)</f>
        <v>450.58299999999997</v>
      </c>
      <c r="N990" s="699">
        <f t="shared" ref="N990" si="395">+L990-M990</f>
        <v>116.76400000000001</v>
      </c>
      <c r="O990" s="538"/>
    </row>
    <row r="991" spans="1:15" s="536" customFormat="1" ht="10.15" customHeight="1">
      <c r="A991" s="615"/>
      <c r="B991" s="535" t="s">
        <v>339</v>
      </c>
      <c r="C991" s="624">
        <v>971</v>
      </c>
      <c r="D991" s="625">
        <v>43543</v>
      </c>
      <c r="E991" s="626" t="s">
        <v>304</v>
      </c>
      <c r="F991" s="626" t="s">
        <v>332</v>
      </c>
      <c r="G991" s="627">
        <v>967145</v>
      </c>
      <c r="H991" s="628">
        <v>57</v>
      </c>
      <c r="I991" s="626" t="s">
        <v>300</v>
      </c>
      <c r="J991" s="628">
        <v>460.56</v>
      </c>
      <c r="K991" s="629">
        <v>297.20699999999999</v>
      </c>
      <c r="L991" s="696"/>
      <c r="M991" s="698"/>
      <c r="N991" s="700"/>
      <c r="O991" s="538"/>
    </row>
    <row r="992" spans="1:15" s="536" customFormat="1" ht="10.15" customHeight="1">
      <c r="A992" s="615"/>
      <c r="B992" s="535" t="s">
        <v>339</v>
      </c>
      <c r="C992" s="618">
        <v>2444</v>
      </c>
      <c r="D992" s="619">
        <v>43651</v>
      </c>
      <c r="E992" s="620" t="s">
        <v>304</v>
      </c>
      <c r="F992" s="620" t="s">
        <v>332</v>
      </c>
      <c r="G992" s="621">
        <v>967145</v>
      </c>
      <c r="H992" s="622">
        <v>57</v>
      </c>
      <c r="I992" s="620" t="s">
        <v>299</v>
      </c>
      <c r="J992" s="622">
        <v>48.002000000000002</v>
      </c>
      <c r="K992" s="623"/>
      <c r="L992" s="695">
        <f t="shared" ref="L992" si="396">J992+J993</f>
        <v>100.02800000000001</v>
      </c>
      <c r="M992" s="697">
        <f t="shared" ref="M992" si="397">SUM(K992:K993)</f>
        <v>0</v>
      </c>
      <c r="N992" s="699">
        <f t="shared" ref="N992" si="398">+L992-M992</f>
        <v>100.02800000000001</v>
      </c>
      <c r="O992" s="538"/>
    </row>
    <row r="993" spans="1:15" s="536" customFormat="1" ht="10.15" customHeight="1">
      <c r="A993" s="615"/>
      <c r="B993" s="535" t="s">
        <v>339</v>
      </c>
      <c r="C993" s="624">
        <v>2444</v>
      </c>
      <c r="D993" s="625">
        <v>43651</v>
      </c>
      <c r="E993" s="626" t="s">
        <v>304</v>
      </c>
      <c r="F993" s="626" t="s">
        <v>332</v>
      </c>
      <c r="G993" s="627">
        <v>967145</v>
      </c>
      <c r="H993" s="628">
        <v>57</v>
      </c>
      <c r="I993" s="626" t="s">
        <v>300</v>
      </c>
      <c r="J993" s="628">
        <v>52.026000000000003</v>
      </c>
      <c r="K993" s="629"/>
      <c r="L993" s="696"/>
      <c r="M993" s="698"/>
      <c r="N993" s="700"/>
      <c r="O993" s="538"/>
    </row>
    <row r="994" spans="1:15" s="536" customFormat="1" ht="10.15" customHeight="1">
      <c r="A994" s="615"/>
      <c r="B994" s="535" t="s">
        <v>339</v>
      </c>
      <c r="C994" s="618">
        <v>2</v>
      </c>
      <c r="D994" s="619">
        <v>43510</v>
      </c>
      <c r="E994" s="620" t="s">
        <v>303</v>
      </c>
      <c r="F994" s="620" t="s">
        <v>476</v>
      </c>
      <c r="G994" s="621">
        <v>955660</v>
      </c>
      <c r="H994" s="622">
        <v>58</v>
      </c>
      <c r="I994" s="620" t="s">
        <v>299</v>
      </c>
      <c r="J994" s="622">
        <v>110.85</v>
      </c>
      <c r="K994" s="623">
        <v>102.834</v>
      </c>
      <c r="L994" s="695">
        <f t="shared" ref="L994" si="399">J994+J995</f>
        <v>486.99</v>
      </c>
      <c r="M994" s="697">
        <f t="shared" ref="M994" si="400">SUM(K994:K995)</f>
        <v>488.3</v>
      </c>
      <c r="N994" s="699">
        <f t="shared" ref="N994" si="401">+L994-M994</f>
        <v>-1.3100000000000023</v>
      </c>
      <c r="O994" s="538"/>
    </row>
    <row r="995" spans="1:15" s="536" customFormat="1" ht="10.15" customHeight="1">
      <c r="A995" s="615"/>
      <c r="B995" s="535" t="s">
        <v>339</v>
      </c>
      <c r="C995" s="624">
        <v>2</v>
      </c>
      <c r="D995" s="625">
        <v>43510</v>
      </c>
      <c r="E995" s="626" t="s">
        <v>303</v>
      </c>
      <c r="F995" s="626" t="s">
        <v>476</v>
      </c>
      <c r="G995" s="627">
        <v>955660</v>
      </c>
      <c r="H995" s="628">
        <v>58</v>
      </c>
      <c r="I995" s="626" t="s">
        <v>300</v>
      </c>
      <c r="J995" s="628">
        <v>376.14</v>
      </c>
      <c r="K995" s="629">
        <v>385.46600000000001</v>
      </c>
      <c r="L995" s="696"/>
      <c r="M995" s="698"/>
      <c r="N995" s="700"/>
      <c r="O995" s="538"/>
    </row>
    <row r="996" spans="1:15" s="536" customFormat="1" ht="10.15" customHeight="1">
      <c r="A996" s="615"/>
      <c r="B996" s="535" t="s">
        <v>339</v>
      </c>
      <c r="C996" s="618">
        <v>793</v>
      </c>
      <c r="D996" s="619">
        <v>43524</v>
      </c>
      <c r="E996" s="620" t="s">
        <v>304</v>
      </c>
      <c r="F996" s="620" t="s">
        <v>476</v>
      </c>
      <c r="G996" s="621">
        <v>955660</v>
      </c>
      <c r="H996" s="622">
        <v>58</v>
      </c>
      <c r="I996" s="620" t="s">
        <v>299</v>
      </c>
      <c r="J996" s="622">
        <v>1</v>
      </c>
      <c r="K996" s="623">
        <v>40.173999999999999</v>
      </c>
      <c r="L996" s="695">
        <f t="shared" ref="L996" si="402">J996+J997</f>
        <v>120</v>
      </c>
      <c r="M996" s="697">
        <f t="shared" ref="M996" si="403">SUM(K996:K997)</f>
        <v>129.749</v>
      </c>
      <c r="N996" s="699">
        <f t="shared" ref="N996" si="404">+L996-M996</f>
        <v>-9.7489999999999952</v>
      </c>
      <c r="O996" s="538"/>
    </row>
    <row r="997" spans="1:15" s="536" customFormat="1" ht="10.15" customHeight="1">
      <c r="A997" s="615"/>
      <c r="B997" s="535" t="s">
        <v>339</v>
      </c>
      <c r="C997" s="624">
        <v>793</v>
      </c>
      <c r="D997" s="625">
        <v>43524</v>
      </c>
      <c r="E997" s="626" t="s">
        <v>304</v>
      </c>
      <c r="F997" s="626" t="s">
        <v>476</v>
      </c>
      <c r="G997" s="627">
        <v>955660</v>
      </c>
      <c r="H997" s="628">
        <v>58</v>
      </c>
      <c r="I997" s="626" t="s">
        <v>300</v>
      </c>
      <c r="J997" s="628">
        <v>119</v>
      </c>
      <c r="K997" s="629">
        <v>89.575000000000003</v>
      </c>
      <c r="L997" s="696"/>
      <c r="M997" s="698"/>
      <c r="N997" s="700"/>
      <c r="O997" s="538"/>
    </row>
    <row r="998" spans="1:15" s="536" customFormat="1" ht="10.15" customHeight="1">
      <c r="A998" s="615"/>
      <c r="B998" s="535" t="s">
        <v>339</v>
      </c>
      <c r="C998" s="618">
        <v>2108</v>
      </c>
      <c r="D998" s="619">
        <v>43623</v>
      </c>
      <c r="E998" s="620" t="s">
        <v>303</v>
      </c>
      <c r="F998" s="620" t="s">
        <v>476</v>
      </c>
      <c r="G998" s="621">
        <v>955660</v>
      </c>
      <c r="H998" s="622">
        <v>58</v>
      </c>
      <c r="I998" s="620" t="s">
        <v>299</v>
      </c>
      <c r="J998" s="622">
        <v>1</v>
      </c>
      <c r="K998" s="623"/>
      <c r="L998" s="695">
        <f t="shared" ref="L998" si="405">J998+J999</f>
        <v>120</v>
      </c>
      <c r="M998" s="697">
        <f t="shared" ref="M998" si="406">SUM(K998:K999)</f>
        <v>0</v>
      </c>
      <c r="N998" s="699">
        <f t="shared" ref="N998" si="407">+L998-M998</f>
        <v>120</v>
      </c>
      <c r="O998" s="538"/>
    </row>
    <row r="999" spans="1:15" s="536" customFormat="1" ht="10.15" customHeight="1">
      <c r="A999" s="615"/>
      <c r="B999" s="535" t="s">
        <v>339</v>
      </c>
      <c r="C999" s="624">
        <v>2108</v>
      </c>
      <c r="D999" s="625">
        <v>43623</v>
      </c>
      <c r="E999" s="626" t="s">
        <v>303</v>
      </c>
      <c r="F999" s="626" t="s">
        <v>476</v>
      </c>
      <c r="G999" s="627">
        <v>955660</v>
      </c>
      <c r="H999" s="628">
        <v>58</v>
      </c>
      <c r="I999" s="626" t="s">
        <v>300</v>
      </c>
      <c r="J999" s="628">
        <v>119</v>
      </c>
      <c r="K999" s="629"/>
      <c r="L999" s="696"/>
      <c r="M999" s="698"/>
      <c r="N999" s="700"/>
      <c r="O999" s="538"/>
    </row>
    <row r="1000" spans="1:15" s="536" customFormat="1" ht="10.15" customHeight="1">
      <c r="A1000" s="615"/>
      <c r="B1000" s="535" t="s">
        <v>339</v>
      </c>
      <c r="C1000" s="618">
        <v>2201</v>
      </c>
      <c r="D1000" s="619">
        <v>43635</v>
      </c>
      <c r="E1000" s="620" t="s">
        <v>304</v>
      </c>
      <c r="F1000" s="620" t="s">
        <v>476</v>
      </c>
      <c r="G1000" s="621">
        <v>955660</v>
      </c>
      <c r="H1000" s="622">
        <v>58</v>
      </c>
      <c r="I1000" s="620" t="s">
        <v>299</v>
      </c>
      <c r="J1000" s="622">
        <v>89</v>
      </c>
      <c r="K1000" s="623"/>
      <c r="L1000" s="695">
        <f t="shared" ref="L1000" si="408">J1000+J1001</f>
        <v>110</v>
      </c>
      <c r="M1000" s="697">
        <f t="shared" ref="M1000" si="409">SUM(K1000:K1001)</f>
        <v>0</v>
      </c>
      <c r="N1000" s="699">
        <f t="shared" ref="N1000" si="410">+L1000-M1000</f>
        <v>110</v>
      </c>
      <c r="O1000" s="538"/>
    </row>
    <row r="1001" spans="1:15" s="536" customFormat="1" ht="10.15" customHeight="1">
      <c r="A1001" s="615"/>
      <c r="B1001" s="535" t="s">
        <v>339</v>
      </c>
      <c r="C1001" s="624">
        <v>2201</v>
      </c>
      <c r="D1001" s="625">
        <v>43635</v>
      </c>
      <c r="E1001" s="626" t="s">
        <v>304</v>
      </c>
      <c r="F1001" s="626" t="s">
        <v>476</v>
      </c>
      <c r="G1001" s="627">
        <v>955660</v>
      </c>
      <c r="H1001" s="628">
        <v>58</v>
      </c>
      <c r="I1001" s="626" t="s">
        <v>300</v>
      </c>
      <c r="J1001" s="628">
        <v>21</v>
      </c>
      <c r="K1001" s="629"/>
      <c r="L1001" s="696"/>
      <c r="M1001" s="698"/>
      <c r="N1001" s="700"/>
      <c r="O1001" s="538"/>
    </row>
    <row r="1002" spans="1:15" s="536" customFormat="1" ht="10.15" customHeight="1">
      <c r="A1002" s="615"/>
      <c r="B1002" s="535" t="s">
        <v>339</v>
      </c>
      <c r="C1002" s="618">
        <v>2053</v>
      </c>
      <c r="D1002" s="619">
        <v>43613</v>
      </c>
      <c r="E1002" s="620" t="s">
        <v>304</v>
      </c>
      <c r="F1002" s="620" t="s">
        <v>539</v>
      </c>
      <c r="G1002" s="621">
        <v>958080</v>
      </c>
      <c r="H1002" s="622">
        <v>58</v>
      </c>
      <c r="I1002" s="620" t="s">
        <v>299</v>
      </c>
      <c r="J1002" s="622">
        <v>20</v>
      </c>
      <c r="K1002" s="623"/>
      <c r="L1002" s="695">
        <f t="shared" ref="L1002" si="411">J1002+J1003</f>
        <v>220</v>
      </c>
      <c r="M1002" s="697">
        <f t="shared" ref="M1002" si="412">SUM(K1002:K1003)</f>
        <v>0</v>
      </c>
      <c r="N1002" s="699">
        <f t="shared" ref="N1002" si="413">+L1002-M1002</f>
        <v>220</v>
      </c>
      <c r="O1002" s="538"/>
    </row>
    <row r="1003" spans="1:15" s="536" customFormat="1" ht="10.15" customHeight="1">
      <c r="A1003" s="615"/>
      <c r="B1003" s="535" t="s">
        <v>339</v>
      </c>
      <c r="C1003" s="624">
        <v>2053</v>
      </c>
      <c r="D1003" s="625">
        <v>43613</v>
      </c>
      <c r="E1003" s="626" t="s">
        <v>304</v>
      </c>
      <c r="F1003" s="626" t="s">
        <v>539</v>
      </c>
      <c r="G1003" s="627">
        <v>958080</v>
      </c>
      <c r="H1003" s="628">
        <v>58</v>
      </c>
      <c r="I1003" s="626" t="s">
        <v>300</v>
      </c>
      <c r="J1003" s="628">
        <v>200</v>
      </c>
      <c r="K1003" s="629"/>
      <c r="L1003" s="696"/>
      <c r="M1003" s="698"/>
      <c r="N1003" s="700"/>
      <c r="O1003" s="538"/>
    </row>
    <row r="1004" spans="1:15" s="536" customFormat="1" ht="10.15" customHeight="1">
      <c r="A1004" s="615"/>
      <c r="B1004" s="535" t="s">
        <v>339</v>
      </c>
      <c r="C1004" s="618">
        <v>1048</v>
      </c>
      <c r="D1004" s="619">
        <v>43546</v>
      </c>
      <c r="E1004" s="620" t="s">
        <v>304</v>
      </c>
      <c r="F1004" s="620" t="s">
        <v>477</v>
      </c>
      <c r="G1004" s="621">
        <v>922513</v>
      </c>
      <c r="H1004" s="622">
        <v>60</v>
      </c>
      <c r="I1004" s="620" t="s">
        <v>299</v>
      </c>
      <c r="J1004" s="622">
        <v>129</v>
      </c>
      <c r="K1004" s="623">
        <v>128.97999999999999</v>
      </c>
      <c r="L1004" s="695">
        <f t="shared" ref="L1004" si="414">J1004+J1005</f>
        <v>400</v>
      </c>
      <c r="M1004" s="697">
        <f t="shared" ref="M1004" si="415">SUM(K1004:K1005)</f>
        <v>399.98</v>
      </c>
      <c r="N1004" s="699">
        <f t="shared" ref="N1004" si="416">+L1004-M1004</f>
        <v>1.999999999998181E-2</v>
      </c>
      <c r="O1004" s="538"/>
    </row>
    <row r="1005" spans="1:15" s="536" customFormat="1" ht="10.15" customHeight="1">
      <c r="A1005" s="615"/>
      <c r="B1005" s="535" t="s">
        <v>339</v>
      </c>
      <c r="C1005" s="624">
        <v>1048</v>
      </c>
      <c r="D1005" s="625">
        <v>43546</v>
      </c>
      <c r="E1005" s="626" t="s">
        <v>304</v>
      </c>
      <c r="F1005" s="626" t="s">
        <v>477</v>
      </c>
      <c r="G1005" s="627">
        <v>922513</v>
      </c>
      <c r="H1005" s="628">
        <v>60</v>
      </c>
      <c r="I1005" s="626" t="s">
        <v>300</v>
      </c>
      <c r="J1005" s="628">
        <v>271</v>
      </c>
      <c r="K1005" s="629">
        <v>271</v>
      </c>
      <c r="L1005" s="696"/>
      <c r="M1005" s="698"/>
      <c r="N1005" s="700"/>
      <c r="O1005" s="538"/>
    </row>
    <row r="1006" spans="1:15" s="536" customFormat="1" ht="10.15" customHeight="1">
      <c r="A1006" s="615"/>
      <c r="B1006" s="535" t="s">
        <v>339</v>
      </c>
      <c r="C1006" s="618">
        <v>1528</v>
      </c>
      <c r="D1006" s="619">
        <v>43578</v>
      </c>
      <c r="E1006" s="620" t="s">
        <v>304</v>
      </c>
      <c r="F1006" s="620" t="s">
        <v>478</v>
      </c>
      <c r="G1006" s="621">
        <v>953883</v>
      </c>
      <c r="H1006" s="622">
        <v>60</v>
      </c>
      <c r="I1006" s="620" t="s">
        <v>299</v>
      </c>
      <c r="J1006" s="622">
        <v>20</v>
      </c>
      <c r="K1006" s="623">
        <v>47.008000000000003</v>
      </c>
      <c r="L1006" s="695">
        <f t="shared" ref="L1006" si="417">J1006+J1007</f>
        <v>220</v>
      </c>
      <c r="M1006" s="697">
        <f t="shared" ref="M1006" si="418">SUM(K1006:K1007)</f>
        <v>220</v>
      </c>
      <c r="N1006" s="699">
        <f t="shared" ref="N1006" si="419">+L1006-M1006</f>
        <v>0</v>
      </c>
      <c r="O1006" s="538"/>
    </row>
    <row r="1007" spans="1:15" s="536" customFormat="1" ht="10.15" customHeight="1">
      <c r="A1007" s="615"/>
      <c r="B1007" s="535" t="s">
        <v>339</v>
      </c>
      <c r="C1007" s="624">
        <v>1528</v>
      </c>
      <c r="D1007" s="625">
        <v>43578</v>
      </c>
      <c r="E1007" s="626" t="s">
        <v>304</v>
      </c>
      <c r="F1007" s="626" t="s">
        <v>478</v>
      </c>
      <c r="G1007" s="627">
        <v>953883</v>
      </c>
      <c r="H1007" s="628">
        <v>60</v>
      </c>
      <c r="I1007" s="626" t="s">
        <v>300</v>
      </c>
      <c r="J1007" s="628">
        <v>200</v>
      </c>
      <c r="K1007" s="629">
        <v>172.99199999999999</v>
      </c>
      <c r="L1007" s="696"/>
      <c r="M1007" s="698"/>
      <c r="N1007" s="700"/>
      <c r="O1007" s="538"/>
    </row>
    <row r="1008" spans="1:15" s="536" customFormat="1" ht="10.15" customHeight="1">
      <c r="A1008" s="615"/>
      <c r="B1008" s="535" t="s">
        <v>339</v>
      </c>
      <c r="C1008" s="618">
        <v>2139</v>
      </c>
      <c r="D1008" s="619">
        <v>43627</v>
      </c>
      <c r="E1008" s="620" t="s">
        <v>304</v>
      </c>
      <c r="F1008" s="620" t="s">
        <v>478</v>
      </c>
      <c r="G1008" s="621">
        <v>953883</v>
      </c>
      <c r="H1008" s="622">
        <v>60</v>
      </c>
      <c r="I1008" s="620" t="s">
        <v>299</v>
      </c>
      <c r="J1008" s="622">
        <v>30</v>
      </c>
      <c r="K1008" s="623">
        <v>47.39</v>
      </c>
      <c r="L1008" s="695">
        <f t="shared" ref="L1008" si="420">J1008+J1009</f>
        <v>190</v>
      </c>
      <c r="M1008" s="697">
        <f t="shared" ref="M1008" si="421">SUM(K1008:K1009)</f>
        <v>190</v>
      </c>
      <c r="N1008" s="699">
        <f t="shared" ref="N1008" si="422">+L1008-M1008</f>
        <v>0</v>
      </c>
      <c r="O1008" s="538"/>
    </row>
    <row r="1009" spans="1:15" s="536" customFormat="1" ht="10.15" customHeight="1">
      <c r="A1009" s="615"/>
      <c r="B1009" s="535" t="s">
        <v>339</v>
      </c>
      <c r="C1009" s="624">
        <v>2139</v>
      </c>
      <c r="D1009" s="625">
        <v>43627</v>
      </c>
      <c r="E1009" s="626" t="s">
        <v>304</v>
      </c>
      <c r="F1009" s="626" t="s">
        <v>478</v>
      </c>
      <c r="G1009" s="627">
        <v>953883</v>
      </c>
      <c r="H1009" s="628">
        <v>60</v>
      </c>
      <c r="I1009" s="626" t="s">
        <v>300</v>
      </c>
      <c r="J1009" s="628">
        <v>160</v>
      </c>
      <c r="K1009" s="629">
        <v>142.61000000000001</v>
      </c>
      <c r="L1009" s="696"/>
      <c r="M1009" s="698"/>
      <c r="N1009" s="700"/>
      <c r="O1009" s="538"/>
    </row>
    <row r="1010" spans="1:15" s="536" customFormat="1" ht="10.15" customHeight="1">
      <c r="A1010" s="615"/>
      <c r="B1010" s="535" t="s">
        <v>339</v>
      </c>
      <c r="C1010" s="618">
        <v>1528</v>
      </c>
      <c r="D1010" s="619">
        <v>43578</v>
      </c>
      <c r="E1010" s="620" t="s">
        <v>304</v>
      </c>
      <c r="F1010" s="620" t="s">
        <v>479</v>
      </c>
      <c r="G1010" s="621">
        <v>958198</v>
      </c>
      <c r="H1010" s="622">
        <v>60</v>
      </c>
      <c r="I1010" s="620" t="s">
        <v>299</v>
      </c>
      <c r="J1010" s="622">
        <v>20</v>
      </c>
      <c r="K1010" s="623">
        <v>105.879</v>
      </c>
      <c r="L1010" s="695">
        <f t="shared" ref="L1010" si="423">J1010+J1011</f>
        <v>220</v>
      </c>
      <c r="M1010" s="697">
        <f t="shared" ref="M1010" si="424">SUM(K1010:K1011)</f>
        <v>220</v>
      </c>
      <c r="N1010" s="699">
        <f t="shared" ref="N1010" si="425">+L1010-M1010</f>
        <v>0</v>
      </c>
      <c r="O1010" s="538"/>
    </row>
    <row r="1011" spans="1:15" s="536" customFormat="1" ht="10.15" customHeight="1">
      <c r="A1011" s="615"/>
      <c r="B1011" s="535" t="s">
        <v>339</v>
      </c>
      <c r="C1011" s="624">
        <v>1528</v>
      </c>
      <c r="D1011" s="625">
        <v>43578</v>
      </c>
      <c r="E1011" s="626" t="s">
        <v>304</v>
      </c>
      <c r="F1011" s="626" t="s">
        <v>479</v>
      </c>
      <c r="G1011" s="627">
        <v>958198</v>
      </c>
      <c r="H1011" s="628">
        <v>60</v>
      </c>
      <c r="I1011" s="626" t="s">
        <v>300</v>
      </c>
      <c r="J1011" s="628">
        <v>200</v>
      </c>
      <c r="K1011" s="629">
        <v>114.121</v>
      </c>
      <c r="L1011" s="696"/>
      <c r="M1011" s="698"/>
      <c r="N1011" s="700"/>
      <c r="O1011" s="538"/>
    </row>
    <row r="1012" spans="1:15" s="536" customFormat="1" ht="10.15" customHeight="1">
      <c r="A1012" s="615"/>
      <c r="B1012" s="535" t="s">
        <v>339</v>
      </c>
      <c r="C1012" s="618">
        <v>1048</v>
      </c>
      <c r="D1012" s="619">
        <v>43546</v>
      </c>
      <c r="E1012" s="620" t="s">
        <v>304</v>
      </c>
      <c r="F1012" s="620" t="s">
        <v>480</v>
      </c>
      <c r="G1012" s="621">
        <v>963589</v>
      </c>
      <c r="H1012" s="622">
        <v>61</v>
      </c>
      <c r="I1012" s="620" t="s">
        <v>299</v>
      </c>
      <c r="J1012" s="622">
        <v>22</v>
      </c>
      <c r="K1012" s="623">
        <v>22</v>
      </c>
      <c r="L1012" s="695">
        <f t="shared" ref="L1012" si="426">J1012+J1013</f>
        <v>68</v>
      </c>
      <c r="M1012" s="697">
        <f t="shared" ref="M1012" si="427">SUM(K1012:K1013)</f>
        <v>68</v>
      </c>
      <c r="N1012" s="699">
        <f t="shared" ref="N1012" si="428">+L1012-M1012</f>
        <v>0</v>
      </c>
      <c r="O1012" s="538"/>
    </row>
    <row r="1013" spans="1:15" s="536" customFormat="1" ht="10.15" customHeight="1">
      <c r="A1013" s="615"/>
      <c r="B1013" s="535" t="s">
        <v>339</v>
      </c>
      <c r="C1013" s="624">
        <v>1048</v>
      </c>
      <c r="D1013" s="625">
        <v>43546</v>
      </c>
      <c r="E1013" s="626" t="s">
        <v>304</v>
      </c>
      <c r="F1013" s="626" t="s">
        <v>480</v>
      </c>
      <c r="G1013" s="627">
        <v>963589</v>
      </c>
      <c r="H1013" s="628">
        <v>61</v>
      </c>
      <c r="I1013" s="626" t="s">
        <v>300</v>
      </c>
      <c r="J1013" s="628">
        <v>46</v>
      </c>
      <c r="K1013" s="629">
        <v>46</v>
      </c>
      <c r="L1013" s="696"/>
      <c r="M1013" s="698"/>
      <c r="N1013" s="700"/>
      <c r="O1013" s="538"/>
    </row>
    <row r="1014" spans="1:15" s="536" customFormat="1" ht="10.15" customHeight="1">
      <c r="A1014" s="615"/>
      <c r="B1014" s="535" t="s">
        <v>339</v>
      </c>
      <c r="C1014" s="618">
        <v>1048</v>
      </c>
      <c r="D1014" s="619">
        <v>43546</v>
      </c>
      <c r="E1014" s="620" t="s">
        <v>304</v>
      </c>
      <c r="F1014" s="620" t="s">
        <v>481</v>
      </c>
      <c r="G1014" s="621">
        <v>964265</v>
      </c>
      <c r="H1014" s="622">
        <v>61</v>
      </c>
      <c r="I1014" s="620" t="s">
        <v>299</v>
      </c>
      <c r="J1014" s="622">
        <v>21</v>
      </c>
      <c r="K1014" s="623">
        <v>21</v>
      </c>
      <c r="L1014" s="695">
        <f t="shared" ref="L1014" si="429">J1014+J1015</f>
        <v>66</v>
      </c>
      <c r="M1014" s="697">
        <f t="shared" ref="M1014" si="430">SUM(K1014:K1015)</f>
        <v>66</v>
      </c>
      <c r="N1014" s="699">
        <f t="shared" ref="N1014" si="431">+L1014-M1014</f>
        <v>0</v>
      </c>
      <c r="O1014" s="538"/>
    </row>
    <row r="1015" spans="1:15" s="536" customFormat="1" ht="10.15" customHeight="1">
      <c r="A1015" s="615"/>
      <c r="B1015" s="535" t="s">
        <v>339</v>
      </c>
      <c r="C1015" s="624">
        <v>1048</v>
      </c>
      <c r="D1015" s="625">
        <v>43546</v>
      </c>
      <c r="E1015" s="626" t="s">
        <v>304</v>
      </c>
      <c r="F1015" s="626" t="s">
        <v>481</v>
      </c>
      <c r="G1015" s="627">
        <v>964265</v>
      </c>
      <c r="H1015" s="628">
        <v>61</v>
      </c>
      <c r="I1015" s="626" t="s">
        <v>300</v>
      </c>
      <c r="J1015" s="628">
        <v>45</v>
      </c>
      <c r="K1015" s="629">
        <v>45</v>
      </c>
      <c r="L1015" s="696"/>
      <c r="M1015" s="698"/>
      <c r="N1015" s="700"/>
      <c r="O1015" s="538"/>
    </row>
    <row r="1016" spans="1:15" s="536" customFormat="1" ht="10.15" customHeight="1">
      <c r="A1016" s="615"/>
      <c r="B1016" s="535" t="s">
        <v>339</v>
      </c>
      <c r="C1016" s="618">
        <v>1113</v>
      </c>
      <c r="D1016" s="619">
        <v>43553</v>
      </c>
      <c r="E1016" s="620" t="s">
        <v>304</v>
      </c>
      <c r="F1016" s="620" t="s">
        <v>482</v>
      </c>
      <c r="G1016" s="621">
        <v>950724</v>
      </c>
      <c r="H1016" s="622">
        <v>62</v>
      </c>
      <c r="I1016" s="620" t="s">
        <v>299</v>
      </c>
      <c r="J1016" s="622">
        <v>16</v>
      </c>
      <c r="K1016" s="623">
        <v>16</v>
      </c>
      <c r="L1016" s="695">
        <f t="shared" ref="L1016" si="432">J1016+J1017</f>
        <v>50</v>
      </c>
      <c r="M1016" s="697">
        <f t="shared" ref="M1016" si="433">SUM(K1016:K1017)</f>
        <v>33.185000000000002</v>
      </c>
      <c r="N1016" s="699">
        <f t="shared" ref="N1016" si="434">+L1016-M1016</f>
        <v>16.814999999999998</v>
      </c>
      <c r="O1016" s="538"/>
    </row>
    <row r="1017" spans="1:15" s="536" customFormat="1" ht="10.15" customHeight="1">
      <c r="A1017" s="615"/>
      <c r="B1017" s="535" t="s">
        <v>339</v>
      </c>
      <c r="C1017" s="624">
        <v>1113</v>
      </c>
      <c r="D1017" s="625">
        <v>43553</v>
      </c>
      <c r="E1017" s="626" t="s">
        <v>304</v>
      </c>
      <c r="F1017" s="626" t="s">
        <v>482</v>
      </c>
      <c r="G1017" s="627">
        <v>950724</v>
      </c>
      <c r="H1017" s="628">
        <v>62</v>
      </c>
      <c r="I1017" s="626" t="s">
        <v>300</v>
      </c>
      <c r="J1017" s="628">
        <v>34</v>
      </c>
      <c r="K1017" s="629">
        <v>17.184999999999999</v>
      </c>
      <c r="L1017" s="696"/>
      <c r="M1017" s="698"/>
      <c r="N1017" s="700"/>
      <c r="O1017" s="538"/>
    </row>
    <row r="1018" spans="1:15" s="536" customFormat="1" ht="10.15" customHeight="1">
      <c r="A1018" s="615"/>
      <c r="B1018" s="535" t="s">
        <v>339</v>
      </c>
      <c r="C1018" s="618">
        <v>794</v>
      </c>
      <c r="D1018" s="619">
        <v>43516</v>
      </c>
      <c r="E1018" s="620" t="s">
        <v>304</v>
      </c>
      <c r="F1018" s="620" t="s">
        <v>483</v>
      </c>
      <c r="G1018" s="621">
        <v>958563</v>
      </c>
      <c r="H1018" s="622">
        <v>63</v>
      </c>
      <c r="I1018" s="620" t="s">
        <v>299</v>
      </c>
      <c r="J1018" s="622">
        <v>10</v>
      </c>
      <c r="K1018" s="623">
        <v>27.175000000000001</v>
      </c>
      <c r="L1018" s="695">
        <f t="shared" ref="L1018" si="435">J1018+J1019</f>
        <v>110</v>
      </c>
      <c r="M1018" s="697">
        <f t="shared" ref="M1018" si="436">SUM(K1018:K1019)</f>
        <v>110</v>
      </c>
      <c r="N1018" s="699">
        <f t="shared" ref="N1018" si="437">+L1018-M1018</f>
        <v>0</v>
      </c>
      <c r="O1018" s="538"/>
    </row>
    <row r="1019" spans="1:15" s="536" customFormat="1" ht="10.15" customHeight="1">
      <c r="A1019" s="615"/>
      <c r="B1019" s="535" t="s">
        <v>339</v>
      </c>
      <c r="C1019" s="624">
        <v>794</v>
      </c>
      <c r="D1019" s="625">
        <v>43516</v>
      </c>
      <c r="E1019" s="626" t="s">
        <v>304</v>
      </c>
      <c r="F1019" s="626" t="s">
        <v>483</v>
      </c>
      <c r="G1019" s="627">
        <v>958563</v>
      </c>
      <c r="H1019" s="628">
        <v>63</v>
      </c>
      <c r="I1019" s="626" t="s">
        <v>300</v>
      </c>
      <c r="J1019" s="628">
        <v>100</v>
      </c>
      <c r="K1019" s="629">
        <v>82.825000000000003</v>
      </c>
      <c r="L1019" s="696"/>
      <c r="M1019" s="698"/>
      <c r="N1019" s="700"/>
      <c r="O1019" s="538"/>
    </row>
    <row r="1020" spans="1:15" s="536" customFormat="1" ht="10.15" customHeight="1">
      <c r="A1020" s="615"/>
      <c r="B1020" s="535" t="s">
        <v>339</v>
      </c>
      <c r="C1020" s="618">
        <v>2139</v>
      </c>
      <c r="D1020" s="619">
        <v>43627</v>
      </c>
      <c r="E1020" s="620" t="s">
        <v>304</v>
      </c>
      <c r="F1020" s="620" t="s">
        <v>483</v>
      </c>
      <c r="G1020" s="621">
        <v>958563</v>
      </c>
      <c r="H1020" s="622">
        <v>63</v>
      </c>
      <c r="I1020" s="620" t="s">
        <v>299</v>
      </c>
      <c r="J1020" s="622">
        <v>10</v>
      </c>
      <c r="K1020" s="623">
        <v>12.805999999999999</v>
      </c>
      <c r="L1020" s="695">
        <f t="shared" ref="L1020" si="438">J1020+J1021</f>
        <v>100</v>
      </c>
      <c r="M1020" s="697">
        <f t="shared" ref="M1020" si="439">SUM(K1020:K1021)</f>
        <v>21.704999999999998</v>
      </c>
      <c r="N1020" s="699">
        <f t="shared" ref="N1020" si="440">+L1020-M1020</f>
        <v>78.295000000000002</v>
      </c>
      <c r="O1020" s="538"/>
    </row>
    <row r="1021" spans="1:15" s="536" customFormat="1" ht="10.15" customHeight="1">
      <c r="A1021" s="615"/>
      <c r="B1021" s="535" t="s">
        <v>339</v>
      </c>
      <c r="C1021" s="624">
        <v>2139</v>
      </c>
      <c r="D1021" s="625">
        <v>43627</v>
      </c>
      <c r="E1021" s="626" t="s">
        <v>304</v>
      </c>
      <c r="F1021" s="626" t="s">
        <v>483</v>
      </c>
      <c r="G1021" s="627">
        <v>958563</v>
      </c>
      <c r="H1021" s="628">
        <v>63</v>
      </c>
      <c r="I1021" s="626" t="s">
        <v>300</v>
      </c>
      <c r="J1021" s="628">
        <v>90</v>
      </c>
      <c r="K1021" s="629">
        <v>8.8989999999999991</v>
      </c>
      <c r="L1021" s="696"/>
      <c r="M1021" s="698"/>
      <c r="N1021" s="700"/>
      <c r="O1021" s="538"/>
    </row>
    <row r="1022" spans="1:15" s="536" customFormat="1" ht="10.15" customHeight="1">
      <c r="A1022" s="615"/>
      <c r="B1022" s="535" t="s">
        <v>339</v>
      </c>
      <c r="C1022" s="618">
        <v>1462</v>
      </c>
      <c r="D1022" s="619">
        <v>43572</v>
      </c>
      <c r="E1022" s="620" t="s">
        <v>304</v>
      </c>
      <c r="F1022" s="620" t="s">
        <v>484</v>
      </c>
      <c r="G1022" s="621">
        <v>962492</v>
      </c>
      <c r="H1022" s="622">
        <v>63</v>
      </c>
      <c r="I1022" s="620" t="s">
        <v>299</v>
      </c>
      <c r="J1022" s="622">
        <v>95</v>
      </c>
      <c r="K1022" s="623">
        <v>85.632000000000005</v>
      </c>
      <c r="L1022" s="695">
        <f t="shared" ref="L1022" si="441">J1022+J1023</f>
        <v>352</v>
      </c>
      <c r="M1022" s="697">
        <f t="shared" ref="M1022" si="442">SUM(K1022:K1023)</f>
        <v>325.37300000000005</v>
      </c>
      <c r="N1022" s="699">
        <f t="shared" ref="N1022" si="443">+L1022-M1022</f>
        <v>26.626999999999953</v>
      </c>
      <c r="O1022" s="538"/>
    </row>
    <row r="1023" spans="1:15" s="536" customFormat="1" ht="10.15" customHeight="1">
      <c r="A1023" s="615"/>
      <c r="B1023" s="535" t="s">
        <v>339</v>
      </c>
      <c r="C1023" s="624">
        <v>1462</v>
      </c>
      <c r="D1023" s="625">
        <v>43572</v>
      </c>
      <c r="E1023" s="626" t="s">
        <v>304</v>
      </c>
      <c r="F1023" s="626" t="s">
        <v>484</v>
      </c>
      <c r="G1023" s="627">
        <v>962492</v>
      </c>
      <c r="H1023" s="628">
        <v>63</v>
      </c>
      <c r="I1023" s="626" t="s">
        <v>300</v>
      </c>
      <c r="J1023" s="628">
        <v>257</v>
      </c>
      <c r="K1023" s="629">
        <v>239.74100000000001</v>
      </c>
      <c r="L1023" s="696"/>
      <c r="M1023" s="698"/>
      <c r="N1023" s="700"/>
      <c r="O1023" s="538"/>
    </row>
    <row r="1024" spans="1:15" s="536" customFormat="1" ht="10.15" customHeight="1">
      <c r="A1024" s="615"/>
      <c r="B1024" s="535" t="s">
        <v>339</v>
      </c>
      <c r="C1024" s="618">
        <v>2201</v>
      </c>
      <c r="D1024" s="619">
        <v>43635</v>
      </c>
      <c r="E1024" s="620" t="s">
        <v>304</v>
      </c>
      <c r="F1024" s="620" t="s">
        <v>574</v>
      </c>
      <c r="G1024" s="621">
        <v>952055</v>
      </c>
      <c r="H1024" s="622">
        <v>66</v>
      </c>
      <c r="I1024" s="620" t="s">
        <v>299</v>
      </c>
      <c r="J1024" s="622">
        <v>163</v>
      </c>
      <c r="K1024" s="623"/>
      <c r="L1024" s="695">
        <f t="shared" ref="L1024" si="444">J1024+J1025</f>
        <v>200</v>
      </c>
      <c r="M1024" s="697">
        <f t="shared" ref="M1024" si="445">SUM(K1024:K1025)</f>
        <v>0</v>
      </c>
      <c r="N1024" s="699">
        <f t="shared" ref="N1024" si="446">+L1024-M1024</f>
        <v>200</v>
      </c>
      <c r="O1024" s="538"/>
    </row>
    <row r="1025" spans="1:15" s="536" customFormat="1" ht="10.15" customHeight="1">
      <c r="A1025" s="615"/>
      <c r="B1025" s="535" t="s">
        <v>339</v>
      </c>
      <c r="C1025" s="624">
        <v>2201</v>
      </c>
      <c r="D1025" s="625">
        <v>43635</v>
      </c>
      <c r="E1025" s="626" t="s">
        <v>304</v>
      </c>
      <c r="F1025" s="626" t="s">
        <v>574</v>
      </c>
      <c r="G1025" s="627">
        <v>952055</v>
      </c>
      <c r="H1025" s="628">
        <v>66</v>
      </c>
      <c r="I1025" s="626" t="s">
        <v>300</v>
      </c>
      <c r="J1025" s="628">
        <v>37</v>
      </c>
      <c r="K1025" s="629"/>
      <c r="L1025" s="696"/>
      <c r="M1025" s="698"/>
      <c r="N1025" s="700"/>
      <c r="O1025" s="538"/>
    </row>
    <row r="1026" spans="1:15" s="536" customFormat="1" ht="10.15" customHeight="1">
      <c r="A1026" s="615"/>
      <c r="B1026" s="535" t="s">
        <v>339</v>
      </c>
      <c r="C1026" s="618">
        <v>795</v>
      </c>
      <c r="D1026" s="619">
        <v>43524</v>
      </c>
      <c r="E1026" s="620" t="s">
        <v>304</v>
      </c>
      <c r="F1026" s="620" t="s">
        <v>485</v>
      </c>
      <c r="G1026" s="621">
        <v>959347</v>
      </c>
      <c r="H1026" s="622">
        <v>67</v>
      </c>
      <c r="I1026" s="620" t="s">
        <v>299</v>
      </c>
      <c r="J1026" s="622">
        <v>19</v>
      </c>
      <c r="K1026" s="623"/>
      <c r="L1026" s="695">
        <f t="shared" ref="L1026" si="447">J1026+J1027</f>
        <v>70</v>
      </c>
      <c r="M1026" s="697">
        <f t="shared" ref="M1026" si="448">SUM(K1026:K1027)</f>
        <v>70</v>
      </c>
      <c r="N1026" s="699">
        <f t="shared" ref="N1026" si="449">+L1026-M1026</f>
        <v>0</v>
      </c>
      <c r="O1026" s="538"/>
    </row>
    <row r="1027" spans="1:15" s="536" customFormat="1" ht="10.15" customHeight="1">
      <c r="A1027" s="615"/>
      <c r="B1027" s="535" t="s">
        <v>339</v>
      </c>
      <c r="C1027" s="624">
        <v>795</v>
      </c>
      <c r="D1027" s="625">
        <v>43524</v>
      </c>
      <c r="E1027" s="626" t="s">
        <v>304</v>
      </c>
      <c r="F1027" s="626" t="s">
        <v>485</v>
      </c>
      <c r="G1027" s="627">
        <v>959347</v>
      </c>
      <c r="H1027" s="628">
        <v>67</v>
      </c>
      <c r="I1027" s="626" t="s">
        <v>300</v>
      </c>
      <c r="J1027" s="628">
        <v>51</v>
      </c>
      <c r="K1027" s="629">
        <v>70</v>
      </c>
      <c r="L1027" s="696"/>
      <c r="M1027" s="698"/>
      <c r="N1027" s="700"/>
      <c r="O1027" s="538"/>
    </row>
    <row r="1028" spans="1:15" s="536" customFormat="1" ht="10.15" customHeight="1">
      <c r="A1028" s="615"/>
      <c r="B1028" s="535" t="s">
        <v>339</v>
      </c>
      <c r="C1028" s="618">
        <v>822</v>
      </c>
      <c r="D1028" s="619">
        <v>43529</v>
      </c>
      <c r="E1028" s="620" t="s">
        <v>304</v>
      </c>
      <c r="F1028" s="620" t="s">
        <v>486</v>
      </c>
      <c r="G1028" s="621">
        <v>962102</v>
      </c>
      <c r="H1028" s="622">
        <v>67</v>
      </c>
      <c r="I1028" s="620" t="s">
        <v>299</v>
      </c>
      <c r="J1028" s="622">
        <v>300</v>
      </c>
      <c r="K1028" s="623">
        <v>300</v>
      </c>
      <c r="L1028" s="695">
        <f t="shared" ref="L1028" si="450">J1028+J1029</f>
        <v>500</v>
      </c>
      <c r="M1028" s="697">
        <f t="shared" ref="M1028" si="451">SUM(K1028:K1029)</f>
        <v>500</v>
      </c>
      <c r="N1028" s="699">
        <f t="shared" ref="N1028" si="452">+L1028-M1028</f>
        <v>0</v>
      </c>
      <c r="O1028" s="538"/>
    </row>
    <row r="1029" spans="1:15" s="536" customFormat="1" ht="10.15" customHeight="1">
      <c r="A1029" s="615"/>
      <c r="B1029" s="535" t="s">
        <v>339</v>
      </c>
      <c r="C1029" s="624">
        <v>822</v>
      </c>
      <c r="D1029" s="625">
        <v>43529</v>
      </c>
      <c r="E1029" s="626" t="s">
        <v>304</v>
      </c>
      <c r="F1029" s="626" t="s">
        <v>486</v>
      </c>
      <c r="G1029" s="627">
        <v>962102</v>
      </c>
      <c r="H1029" s="628">
        <v>67</v>
      </c>
      <c r="I1029" s="626" t="s">
        <v>300</v>
      </c>
      <c r="J1029" s="628">
        <v>200</v>
      </c>
      <c r="K1029" s="629">
        <v>200</v>
      </c>
      <c r="L1029" s="696"/>
      <c r="M1029" s="698"/>
      <c r="N1029" s="700"/>
      <c r="O1029" s="538"/>
    </row>
    <row r="1030" spans="1:15" s="536" customFormat="1" ht="10.15" customHeight="1">
      <c r="A1030" s="615"/>
      <c r="B1030" s="535" t="s">
        <v>339</v>
      </c>
      <c r="C1030" s="618">
        <v>1198</v>
      </c>
      <c r="D1030" s="619">
        <v>43553</v>
      </c>
      <c r="E1030" s="620" t="s">
        <v>304</v>
      </c>
      <c r="F1030" s="620" t="s">
        <v>486</v>
      </c>
      <c r="G1030" s="621">
        <v>962102</v>
      </c>
      <c r="H1030" s="622">
        <v>67</v>
      </c>
      <c r="I1030" s="620" t="s">
        <v>299</v>
      </c>
      <c r="J1030" s="622">
        <v>200</v>
      </c>
      <c r="K1030" s="623">
        <v>200</v>
      </c>
      <c r="L1030" s="695">
        <f t="shared" ref="L1030" si="453">J1030+J1031</f>
        <v>230</v>
      </c>
      <c r="M1030" s="697">
        <f t="shared" ref="M1030" si="454">SUM(K1030:K1031)</f>
        <v>230</v>
      </c>
      <c r="N1030" s="699">
        <f t="shared" ref="N1030" si="455">+L1030-M1030</f>
        <v>0</v>
      </c>
      <c r="O1030" s="538"/>
    </row>
    <row r="1031" spans="1:15" s="536" customFormat="1" ht="10.15" customHeight="1">
      <c r="A1031" s="615"/>
      <c r="B1031" s="535" t="s">
        <v>339</v>
      </c>
      <c r="C1031" s="624">
        <v>1198</v>
      </c>
      <c r="D1031" s="625">
        <v>43553</v>
      </c>
      <c r="E1031" s="626" t="s">
        <v>304</v>
      </c>
      <c r="F1031" s="626" t="s">
        <v>486</v>
      </c>
      <c r="G1031" s="627">
        <v>962102</v>
      </c>
      <c r="H1031" s="628">
        <v>67</v>
      </c>
      <c r="I1031" s="626" t="s">
        <v>300</v>
      </c>
      <c r="J1031" s="628">
        <v>30</v>
      </c>
      <c r="K1031" s="629">
        <v>30</v>
      </c>
      <c r="L1031" s="696"/>
      <c r="M1031" s="698"/>
      <c r="N1031" s="700"/>
      <c r="O1031" s="538"/>
    </row>
    <row r="1032" spans="1:15" s="536" customFormat="1" ht="10.15" customHeight="1">
      <c r="A1032" s="615"/>
      <c r="B1032" s="535" t="s">
        <v>339</v>
      </c>
      <c r="C1032" s="618">
        <v>2313</v>
      </c>
      <c r="D1032" s="619">
        <v>43643</v>
      </c>
      <c r="E1032" s="620" t="s">
        <v>304</v>
      </c>
      <c r="F1032" s="620" t="s">
        <v>486</v>
      </c>
      <c r="G1032" s="621">
        <v>962102</v>
      </c>
      <c r="H1032" s="622">
        <v>67</v>
      </c>
      <c r="I1032" s="620" t="s">
        <v>299</v>
      </c>
      <c r="J1032" s="622">
        <v>163</v>
      </c>
      <c r="K1032" s="623">
        <v>15.273</v>
      </c>
      <c r="L1032" s="695">
        <f t="shared" ref="L1032" si="456">J1032+J1033</f>
        <v>200</v>
      </c>
      <c r="M1032" s="697">
        <f t="shared" ref="M1032" si="457">SUM(K1032:K1033)</f>
        <v>27.77</v>
      </c>
      <c r="N1032" s="699">
        <f t="shared" ref="N1032" si="458">+L1032-M1032</f>
        <v>172.23</v>
      </c>
      <c r="O1032" s="538"/>
    </row>
    <row r="1033" spans="1:15" s="536" customFormat="1" ht="10.15" customHeight="1">
      <c r="A1033" s="615"/>
      <c r="B1033" s="535" t="s">
        <v>339</v>
      </c>
      <c r="C1033" s="624">
        <v>2313</v>
      </c>
      <c r="D1033" s="625">
        <v>43643</v>
      </c>
      <c r="E1033" s="626" t="s">
        <v>304</v>
      </c>
      <c r="F1033" s="626" t="s">
        <v>486</v>
      </c>
      <c r="G1033" s="627">
        <v>962102</v>
      </c>
      <c r="H1033" s="628">
        <v>67</v>
      </c>
      <c r="I1033" s="626" t="s">
        <v>300</v>
      </c>
      <c r="J1033" s="628">
        <v>37</v>
      </c>
      <c r="K1033" s="629">
        <v>12.497</v>
      </c>
      <c r="L1033" s="696"/>
      <c r="M1033" s="698"/>
      <c r="N1033" s="700"/>
      <c r="O1033" s="538"/>
    </row>
    <row r="1034" spans="1:15" s="536" customFormat="1" ht="10.15" customHeight="1">
      <c r="A1034" s="615"/>
      <c r="B1034" s="535" t="s">
        <v>339</v>
      </c>
      <c r="C1034" s="618">
        <v>447</v>
      </c>
      <c r="D1034" s="619">
        <v>43503</v>
      </c>
      <c r="E1034" s="620" t="s">
        <v>303</v>
      </c>
      <c r="F1034" s="620" t="s">
        <v>487</v>
      </c>
      <c r="G1034" s="621">
        <v>963875</v>
      </c>
      <c r="H1034" s="622">
        <v>67</v>
      </c>
      <c r="I1034" s="620" t="s">
        <v>299</v>
      </c>
      <c r="J1034" s="622">
        <v>50</v>
      </c>
      <c r="K1034" s="623">
        <v>19.629000000000001</v>
      </c>
      <c r="L1034" s="695">
        <f t="shared" ref="L1034" si="459">J1034+J1035</f>
        <v>350</v>
      </c>
      <c r="M1034" s="697">
        <f t="shared" ref="M1034" si="460">SUM(K1034:K1035)</f>
        <v>350</v>
      </c>
      <c r="N1034" s="699">
        <f t="shared" ref="N1034" si="461">+L1034-M1034</f>
        <v>0</v>
      </c>
      <c r="O1034" s="538"/>
    </row>
    <row r="1035" spans="1:15" s="536" customFormat="1" ht="10.15" customHeight="1">
      <c r="A1035" s="615"/>
      <c r="B1035" s="535" t="s">
        <v>339</v>
      </c>
      <c r="C1035" s="624">
        <v>447</v>
      </c>
      <c r="D1035" s="625">
        <v>43503</v>
      </c>
      <c r="E1035" s="626" t="s">
        <v>303</v>
      </c>
      <c r="F1035" s="626" t="s">
        <v>487</v>
      </c>
      <c r="G1035" s="627">
        <v>963875</v>
      </c>
      <c r="H1035" s="628">
        <v>67</v>
      </c>
      <c r="I1035" s="626" t="s">
        <v>300</v>
      </c>
      <c r="J1035" s="628">
        <v>300</v>
      </c>
      <c r="K1035" s="629">
        <v>330.37099999999998</v>
      </c>
      <c r="L1035" s="696"/>
      <c r="M1035" s="698"/>
      <c r="N1035" s="700"/>
      <c r="O1035" s="538"/>
    </row>
    <row r="1036" spans="1:15" s="536" customFormat="1" ht="10.15" customHeight="1">
      <c r="A1036" s="615"/>
      <c r="B1036" s="535" t="s">
        <v>339</v>
      </c>
      <c r="C1036" s="618">
        <v>822</v>
      </c>
      <c r="D1036" s="619">
        <v>43529</v>
      </c>
      <c r="E1036" s="620" t="s">
        <v>304</v>
      </c>
      <c r="F1036" s="620" t="s">
        <v>487</v>
      </c>
      <c r="G1036" s="621">
        <v>963875</v>
      </c>
      <c r="H1036" s="622">
        <v>67</v>
      </c>
      <c r="I1036" s="620" t="s">
        <v>299</v>
      </c>
      <c r="J1036" s="622">
        <v>300</v>
      </c>
      <c r="K1036" s="623">
        <v>300</v>
      </c>
      <c r="L1036" s="695">
        <f t="shared" ref="L1036" si="462">J1036+J1037</f>
        <v>500</v>
      </c>
      <c r="M1036" s="697">
        <f t="shared" ref="M1036" si="463">SUM(K1036:K1037)</f>
        <v>500</v>
      </c>
      <c r="N1036" s="699">
        <f t="shared" ref="N1036" si="464">+L1036-M1036</f>
        <v>0</v>
      </c>
      <c r="O1036" s="538"/>
    </row>
    <row r="1037" spans="1:15" s="536" customFormat="1" ht="10.15" customHeight="1">
      <c r="A1037" s="615"/>
      <c r="B1037" s="535" t="s">
        <v>339</v>
      </c>
      <c r="C1037" s="624">
        <v>822</v>
      </c>
      <c r="D1037" s="625">
        <v>43529</v>
      </c>
      <c r="E1037" s="626" t="s">
        <v>304</v>
      </c>
      <c r="F1037" s="626" t="s">
        <v>487</v>
      </c>
      <c r="G1037" s="627">
        <v>963875</v>
      </c>
      <c r="H1037" s="628">
        <v>67</v>
      </c>
      <c r="I1037" s="626" t="s">
        <v>300</v>
      </c>
      <c r="J1037" s="628">
        <v>200</v>
      </c>
      <c r="K1037" s="629">
        <v>200</v>
      </c>
      <c r="L1037" s="696"/>
      <c r="M1037" s="698"/>
      <c r="N1037" s="700"/>
      <c r="O1037" s="538"/>
    </row>
    <row r="1038" spans="1:15" s="536" customFormat="1" ht="10.15" customHeight="1">
      <c r="A1038" s="615"/>
      <c r="B1038" s="535" t="s">
        <v>339</v>
      </c>
      <c r="C1038" s="618">
        <v>1198</v>
      </c>
      <c r="D1038" s="619">
        <v>43553</v>
      </c>
      <c r="E1038" s="620" t="s">
        <v>304</v>
      </c>
      <c r="F1038" s="620" t="s">
        <v>487</v>
      </c>
      <c r="G1038" s="621">
        <v>963875</v>
      </c>
      <c r="H1038" s="622">
        <v>67</v>
      </c>
      <c r="I1038" s="620" t="s">
        <v>299</v>
      </c>
      <c r="J1038" s="622">
        <v>200</v>
      </c>
      <c r="K1038" s="623">
        <v>170.22499999999999</v>
      </c>
      <c r="L1038" s="695">
        <f t="shared" ref="L1038" si="465">J1038+J1039</f>
        <v>240</v>
      </c>
      <c r="M1038" s="697">
        <f t="shared" ref="M1038" si="466">SUM(K1038:K1039)</f>
        <v>240</v>
      </c>
      <c r="N1038" s="699">
        <f t="shared" ref="N1038" si="467">+L1038-M1038</f>
        <v>0</v>
      </c>
      <c r="O1038" s="538"/>
    </row>
    <row r="1039" spans="1:15" s="536" customFormat="1" ht="10.15" customHeight="1">
      <c r="A1039" s="615"/>
      <c r="B1039" s="535" t="s">
        <v>339</v>
      </c>
      <c r="C1039" s="624">
        <v>1198</v>
      </c>
      <c r="D1039" s="625">
        <v>43553</v>
      </c>
      <c r="E1039" s="626" t="s">
        <v>304</v>
      </c>
      <c r="F1039" s="626" t="s">
        <v>487</v>
      </c>
      <c r="G1039" s="627">
        <v>963875</v>
      </c>
      <c r="H1039" s="628">
        <v>67</v>
      </c>
      <c r="I1039" s="626" t="s">
        <v>300</v>
      </c>
      <c r="J1039" s="628">
        <v>40</v>
      </c>
      <c r="K1039" s="629">
        <v>69.775000000000006</v>
      </c>
      <c r="L1039" s="696"/>
      <c r="M1039" s="698"/>
      <c r="N1039" s="700"/>
      <c r="O1039" s="538"/>
    </row>
    <row r="1040" spans="1:15" s="536" customFormat="1" ht="10.15" customHeight="1">
      <c r="A1040" s="615"/>
      <c r="B1040" s="535" t="s">
        <v>339</v>
      </c>
      <c r="C1040" s="618">
        <v>2313</v>
      </c>
      <c r="D1040" s="619">
        <v>43643</v>
      </c>
      <c r="E1040" s="620" t="s">
        <v>304</v>
      </c>
      <c r="F1040" s="620" t="s">
        <v>487</v>
      </c>
      <c r="G1040" s="621">
        <v>963875</v>
      </c>
      <c r="H1040" s="622">
        <v>67</v>
      </c>
      <c r="I1040" s="620" t="s">
        <v>299</v>
      </c>
      <c r="J1040" s="622">
        <v>163</v>
      </c>
      <c r="K1040" s="623">
        <v>15.648</v>
      </c>
      <c r="L1040" s="695">
        <f t="shared" ref="L1040" si="468">J1040+J1041</f>
        <v>200</v>
      </c>
      <c r="M1040" s="697">
        <f t="shared" ref="M1040" si="469">SUM(K1040:K1041)</f>
        <v>28.45</v>
      </c>
      <c r="N1040" s="699">
        <f t="shared" ref="N1040" si="470">+L1040-M1040</f>
        <v>171.55</v>
      </c>
      <c r="O1040" s="538"/>
    </row>
    <row r="1041" spans="1:15" s="536" customFormat="1" ht="10.15" customHeight="1">
      <c r="A1041" s="615"/>
      <c r="B1041" s="535" t="s">
        <v>339</v>
      </c>
      <c r="C1041" s="624">
        <v>2313</v>
      </c>
      <c r="D1041" s="625">
        <v>43643</v>
      </c>
      <c r="E1041" s="626" t="s">
        <v>304</v>
      </c>
      <c r="F1041" s="626" t="s">
        <v>487</v>
      </c>
      <c r="G1041" s="627">
        <v>963875</v>
      </c>
      <c r="H1041" s="628">
        <v>67</v>
      </c>
      <c r="I1041" s="626" t="s">
        <v>300</v>
      </c>
      <c r="J1041" s="628">
        <v>37</v>
      </c>
      <c r="K1041" s="629">
        <v>12.802</v>
      </c>
      <c r="L1041" s="696"/>
      <c r="M1041" s="698"/>
      <c r="N1041" s="700"/>
      <c r="O1041" s="538"/>
    </row>
    <row r="1042" spans="1:15" s="536" customFormat="1" ht="10.15" customHeight="1">
      <c r="A1042" s="615"/>
      <c r="B1042" s="535" t="s">
        <v>339</v>
      </c>
      <c r="C1042" s="618">
        <v>822</v>
      </c>
      <c r="D1042" s="619">
        <v>43529</v>
      </c>
      <c r="E1042" s="620" t="s">
        <v>304</v>
      </c>
      <c r="F1042" s="620" t="s">
        <v>488</v>
      </c>
      <c r="G1042" s="621">
        <v>964948</v>
      </c>
      <c r="H1042" s="622">
        <v>67</v>
      </c>
      <c r="I1042" s="620" t="s">
        <v>299</v>
      </c>
      <c r="J1042" s="622">
        <v>300</v>
      </c>
      <c r="K1042" s="623">
        <v>300</v>
      </c>
      <c r="L1042" s="695">
        <f t="shared" ref="L1042" si="471">J1042+J1043</f>
        <v>500</v>
      </c>
      <c r="M1042" s="697">
        <f t="shared" ref="M1042" si="472">SUM(K1042:K1043)</f>
        <v>500</v>
      </c>
      <c r="N1042" s="699">
        <f t="shared" ref="N1042" si="473">+L1042-M1042</f>
        <v>0</v>
      </c>
      <c r="O1042" s="538"/>
    </row>
    <row r="1043" spans="1:15" s="536" customFormat="1" ht="10.15" customHeight="1">
      <c r="A1043" s="615"/>
      <c r="B1043" s="535" t="s">
        <v>339</v>
      </c>
      <c r="C1043" s="624">
        <v>822</v>
      </c>
      <c r="D1043" s="625">
        <v>43529</v>
      </c>
      <c r="E1043" s="626" t="s">
        <v>304</v>
      </c>
      <c r="F1043" s="626" t="s">
        <v>488</v>
      </c>
      <c r="G1043" s="627">
        <v>964948</v>
      </c>
      <c r="H1043" s="628">
        <v>67</v>
      </c>
      <c r="I1043" s="626" t="s">
        <v>300</v>
      </c>
      <c r="J1043" s="628">
        <v>200</v>
      </c>
      <c r="K1043" s="629">
        <v>200</v>
      </c>
      <c r="L1043" s="696"/>
      <c r="M1043" s="698"/>
      <c r="N1043" s="700"/>
      <c r="O1043" s="538"/>
    </row>
    <row r="1044" spans="1:15" s="536" customFormat="1" ht="10.15" customHeight="1">
      <c r="A1044" s="615"/>
      <c r="B1044" s="535" t="s">
        <v>339</v>
      </c>
      <c r="C1044" s="618">
        <v>1198</v>
      </c>
      <c r="D1044" s="619">
        <v>43553</v>
      </c>
      <c r="E1044" s="620" t="s">
        <v>304</v>
      </c>
      <c r="F1044" s="620" t="s">
        <v>488</v>
      </c>
      <c r="G1044" s="621">
        <v>964948</v>
      </c>
      <c r="H1044" s="622">
        <v>67</v>
      </c>
      <c r="I1044" s="620" t="s">
        <v>299</v>
      </c>
      <c r="J1044" s="622">
        <v>200</v>
      </c>
      <c r="K1044" s="623">
        <v>200</v>
      </c>
      <c r="L1044" s="695">
        <f t="shared" ref="L1044" si="474">J1044+J1045</f>
        <v>230</v>
      </c>
      <c r="M1044" s="697">
        <f t="shared" ref="M1044" si="475">SUM(K1044:K1045)</f>
        <v>230</v>
      </c>
      <c r="N1044" s="699">
        <f t="shared" ref="N1044" si="476">+L1044-M1044</f>
        <v>0</v>
      </c>
      <c r="O1044" s="538"/>
    </row>
    <row r="1045" spans="1:15" s="536" customFormat="1" ht="10.15" customHeight="1">
      <c r="A1045" s="615"/>
      <c r="B1045" s="535" t="s">
        <v>339</v>
      </c>
      <c r="C1045" s="624">
        <v>1198</v>
      </c>
      <c r="D1045" s="625">
        <v>43553</v>
      </c>
      <c r="E1045" s="626" t="s">
        <v>304</v>
      </c>
      <c r="F1045" s="626" t="s">
        <v>488</v>
      </c>
      <c r="G1045" s="627">
        <v>964948</v>
      </c>
      <c r="H1045" s="628">
        <v>67</v>
      </c>
      <c r="I1045" s="626" t="s">
        <v>300</v>
      </c>
      <c r="J1045" s="628">
        <v>30</v>
      </c>
      <c r="K1045" s="629">
        <v>30</v>
      </c>
      <c r="L1045" s="696"/>
      <c r="M1045" s="698"/>
      <c r="N1045" s="700"/>
      <c r="O1045" s="538"/>
    </row>
    <row r="1046" spans="1:15" s="536" customFormat="1" ht="10.15" customHeight="1">
      <c r="A1046" s="615"/>
      <c r="B1046" s="535" t="s">
        <v>339</v>
      </c>
      <c r="C1046" s="618">
        <v>2313</v>
      </c>
      <c r="D1046" s="619">
        <v>43643</v>
      </c>
      <c r="E1046" s="620" t="s">
        <v>304</v>
      </c>
      <c r="F1046" s="620" t="s">
        <v>488</v>
      </c>
      <c r="G1046" s="621">
        <v>964948</v>
      </c>
      <c r="H1046" s="622">
        <v>67</v>
      </c>
      <c r="I1046" s="620" t="s">
        <v>299</v>
      </c>
      <c r="J1046" s="622">
        <v>163</v>
      </c>
      <c r="K1046" s="623"/>
      <c r="L1046" s="695">
        <f t="shared" ref="L1046" si="477">J1046+J1047</f>
        <v>200</v>
      </c>
      <c r="M1046" s="697">
        <f t="shared" ref="M1046" si="478">SUM(K1046:K1047)</f>
        <v>0</v>
      </c>
      <c r="N1046" s="699">
        <f t="shared" ref="N1046" si="479">+L1046-M1046</f>
        <v>200</v>
      </c>
      <c r="O1046" s="538"/>
    </row>
    <row r="1047" spans="1:15" s="536" customFormat="1" ht="10.15" customHeight="1">
      <c r="A1047" s="615"/>
      <c r="B1047" s="535" t="s">
        <v>339</v>
      </c>
      <c r="C1047" s="624">
        <v>2313</v>
      </c>
      <c r="D1047" s="625">
        <v>43643</v>
      </c>
      <c r="E1047" s="626" t="s">
        <v>304</v>
      </c>
      <c r="F1047" s="626" t="s">
        <v>488</v>
      </c>
      <c r="G1047" s="627">
        <v>964948</v>
      </c>
      <c r="H1047" s="628">
        <v>67</v>
      </c>
      <c r="I1047" s="626" t="s">
        <v>300</v>
      </c>
      <c r="J1047" s="628">
        <v>37</v>
      </c>
      <c r="K1047" s="629"/>
      <c r="L1047" s="696"/>
      <c r="M1047" s="698"/>
      <c r="N1047" s="700"/>
      <c r="O1047" s="538"/>
    </row>
    <row r="1048" spans="1:15" s="536" customFormat="1" ht="10.15" customHeight="1">
      <c r="A1048" s="615"/>
      <c r="B1048" s="535" t="s">
        <v>339</v>
      </c>
      <c r="C1048" s="618">
        <v>1638</v>
      </c>
      <c r="D1048" s="619">
        <v>43585</v>
      </c>
      <c r="E1048" s="620" t="s">
        <v>304</v>
      </c>
      <c r="F1048" s="620" t="s">
        <v>489</v>
      </c>
      <c r="G1048" s="621">
        <v>913375</v>
      </c>
      <c r="H1048" s="622">
        <v>68</v>
      </c>
      <c r="I1048" s="620" t="s">
        <v>299</v>
      </c>
      <c r="J1048" s="622">
        <v>15</v>
      </c>
      <c r="K1048" s="623">
        <v>97.019000000000005</v>
      </c>
      <c r="L1048" s="695">
        <f t="shared" ref="L1048" si="480">J1048+J1049</f>
        <v>200</v>
      </c>
      <c r="M1048" s="697">
        <f t="shared" ref="M1048" si="481">SUM(K1048:K1049)</f>
        <v>202.00200000000001</v>
      </c>
      <c r="N1048" s="699">
        <f t="shared" ref="N1048" si="482">+L1048-M1048</f>
        <v>-2.0020000000000095</v>
      </c>
      <c r="O1048" s="538"/>
    </row>
    <row r="1049" spans="1:15" s="536" customFormat="1" ht="10.15" customHeight="1">
      <c r="A1049" s="615"/>
      <c r="B1049" s="535" t="s">
        <v>339</v>
      </c>
      <c r="C1049" s="624">
        <v>1638</v>
      </c>
      <c r="D1049" s="625">
        <v>43585</v>
      </c>
      <c r="E1049" s="626" t="s">
        <v>304</v>
      </c>
      <c r="F1049" s="626" t="s">
        <v>489</v>
      </c>
      <c r="G1049" s="627">
        <v>913375</v>
      </c>
      <c r="H1049" s="628">
        <v>68</v>
      </c>
      <c r="I1049" s="626" t="s">
        <v>300</v>
      </c>
      <c r="J1049" s="628">
        <v>185</v>
      </c>
      <c r="K1049" s="629">
        <v>104.983</v>
      </c>
      <c r="L1049" s="696"/>
      <c r="M1049" s="698"/>
      <c r="N1049" s="700"/>
      <c r="O1049" s="538"/>
    </row>
    <row r="1050" spans="1:15" s="536" customFormat="1" ht="10.15" customHeight="1">
      <c r="A1050" s="615"/>
      <c r="B1050" s="535" t="s">
        <v>339</v>
      </c>
      <c r="C1050" s="618">
        <v>1048</v>
      </c>
      <c r="D1050" s="619">
        <v>43546</v>
      </c>
      <c r="E1050" s="620" t="s">
        <v>304</v>
      </c>
      <c r="F1050" s="620" t="s">
        <v>490</v>
      </c>
      <c r="G1050" s="621">
        <v>926674</v>
      </c>
      <c r="H1050" s="622">
        <v>68</v>
      </c>
      <c r="I1050" s="620" t="s">
        <v>299</v>
      </c>
      <c r="J1050" s="622">
        <v>16</v>
      </c>
      <c r="K1050" s="623">
        <v>16</v>
      </c>
      <c r="L1050" s="695">
        <f t="shared" ref="L1050" si="483">J1050+J1051</f>
        <v>50</v>
      </c>
      <c r="M1050" s="697">
        <f t="shared" ref="M1050" si="484">SUM(K1050:K1051)</f>
        <v>50</v>
      </c>
      <c r="N1050" s="699">
        <f t="shared" ref="N1050" si="485">+L1050-M1050</f>
        <v>0</v>
      </c>
      <c r="O1050" s="538"/>
    </row>
    <row r="1051" spans="1:15" s="536" customFormat="1" ht="10.15" customHeight="1">
      <c r="A1051" s="615"/>
      <c r="B1051" s="535" t="s">
        <v>339</v>
      </c>
      <c r="C1051" s="624">
        <v>1048</v>
      </c>
      <c r="D1051" s="625">
        <v>43546</v>
      </c>
      <c r="E1051" s="626" t="s">
        <v>304</v>
      </c>
      <c r="F1051" s="626" t="s">
        <v>490</v>
      </c>
      <c r="G1051" s="627">
        <v>926674</v>
      </c>
      <c r="H1051" s="628">
        <v>68</v>
      </c>
      <c r="I1051" s="626" t="s">
        <v>300</v>
      </c>
      <c r="J1051" s="628">
        <v>34</v>
      </c>
      <c r="K1051" s="629">
        <v>34</v>
      </c>
      <c r="L1051" s="696"/>
      <c r="M1051" s="698"/>
      <c r="N1051" s="700"/>
      <c r="O1051" s="538"/>
    </row>
    <row r="1052" spans="1:15" s="536" customFormat="1" ht="10.15" customHeight="1">
      <c r="A1052" s="615"/>
      <c r="B1052" s="535" t="s">
        <v>339</v>
      </c>
      <c r="C1052" s="618">
        <v>1594</v>
      </c>
      <c r="D1052" s="619">
        <v>43581</v>
      </c>
      <c r="E1052" s="620" t="s">
        <v>304</v>
      </c>
      <c r="F1052" s="620" t="s">
        <v>491</v>
      </c>
      <c r="G1052" s="621">
        <v>955473</v>
      </c>
      <c r="H1052" s="622">
        <v>68</v>
      </c>
      <c r="I1052" s="620" t="s">
        <v>299</v>
      </c>
      <c r="J1052" s="622">
        <v>78</v>
      </c>
      <c r="K1052" s="623">
        <v>78</v>
      </c>
      <c r="L1052" s="695">
        <f t="shared" ref="L1052" si="486">J1052+J1053</f>
        <v>500</v>
      </c>
      <c r="M1052" s="697">
        <f t="shared" ref="M1052" si="487">SUM(K1052:K1053)</f>
        <v>500</v>
      </c>
      <c r="N1052" s="699">
        <f t="shared" ref="N1052" si="488">+L1052-M1052</f>
        <v>0</v>
      </c>
      <c r="O1052" s="538"/>
    </row>
    <row r="1053" spans="1:15" s="536" customFormat="1" ht="10.15" customHeight="1">
      <c r="A1053" s="615"/>
      <c r="B1053" s="535" t="s">
        <v>339</v>
      </c>
      <c r="C1053" s="624">
        <v>1594</v>
      </c>
      <c r="D1053" s="625">
        <v>43581</v>
      </c>
      <c r="E1053" s="626" t="s">
        <v>304</v>
      </c>
      <c r="F1053" s="626" t="s">
        <v>491</v>
      </c>
      <c r="G1053" s="627">
        <v>955473</v>
      </c>
      <c r="H1053" s="628">
        <v>68</v>
      </c>
      <c r="I1053" s="626" t="s">
        <v>300</v>
      </c>
      <c r="J1053" s="628">
        <v>422</v>
      </c>
      <c r="K1053" s="629">
        <v>422</v>
      </c>
      <c r="L1053" s="696"/>
      <c r="M1053" s="698"/>
      <c r="N1053" s="700"/>
      <c r="O1053" s="538"/>
    </row>
    <row r="1054" spans="1:15" s="536" customFormat="1" ht="10.15" customHeight="1">
      <c r="A1054" s="615"/>
      <c r="B1054" s="535" t="s">
        <v>339</v>
      </c>
      <c r="C1054" s="618">
        <v>1198</v>
      </c>
      <c r="D1054" s="619">
        <v>43553</v>
      </c>
      <c r="E1054" s="620" t="s">
        <v>304</v>
      </c>
      <c r="F1054" s="620" t="s">
        <v>492</v>
      </c>
      <c r="G1054" s="621">
        <v>967746</v>
      </c>
      <c r="H1054" s="622">
        <v>68</v>
      </c>
      <c r="I1054" s="620" t="s">
        <v>299</v>
      </c>
      <c r="J1054" s="622">
        <v>200</v>
      </c>
      <c r="K1054" s="623">
        <v>200</v>
      </c>
      <c r="L1054" s="695">
        <f t="shared" ref="L1054" si="489">J1054+J1055</f>
        <v>290</v>
      </c>
      <c r="M1054" s="697">
        <f t="shared" ref="M1054" si="490">SUM(K1054:K1055)</f>
        <v>290</v>
      </c>
      <c r="N1054" s="699">
        <f t="shared" ref="N1054" si="491">+L1054-M1054</f>
        <v>0</v>
      </c>
      <c r="O1054" s="538"/>
    </row>
    <row r="1055" spans="1:15" s="536" customFormat="1" ht="10.15" customHeight="1">
      <c r="A1055" s="615"/>
      <c r="B1055" s="535" t="s">
        <v>339</v>
      </c>
      <c r="C1055" s="624">
        <v>1198</v>
      </c>
      <c r="D1055" s="625">
        <v>43553</v>
      </c>
      <c r="E1055" s="626" t="s">
        <v>304</v>
      </c>
      <c r="F1055" s="626" t="s">
        <v>492</v>
      </c>
      <c r="G1055" s="627">
        <v>967746</v>
      </c>
      <c r="H1055" s="628">
        <v>68</v>
      </c>
      <c r="I1055" s="626" t="s">
        <v>300</v>
      </c>
      <c r="J1055" s="628">
        <v>90</v>
      </c>
      <c r="K1055" s="629">
        <v>90</v>
      </c>
      <c r="L1055" s="696"/>
      <c r="M1055" s="698"/>
      <c r="N1055" s="700"/>
      <c r="O1055" s="538"/>
    </row>
    <row r="1056" spans="1:15" s="536" customFormat="1" ht="10.15" customHeight="1">
      <c r="A1056" s="615"/>
      <c r="B1056" s="535" t="s">
        <v>339</v>
      </c>
      <c r="C1056" s="618">
        <v>1197</v>
      </c>
      <c r="D1056" s="619">
        <v>43553</v>
      </c>
      <c r="E1056" s="620" t="s">
        <v>304</v>
      </c>
      <c r="F1056" s="620" t="s">
        <v>493</v>
      </c>
      <c r="G1056" s="621">
        <v>960094</v>
      </c>
      <c r="H1056" s="622">
        <v>69</v>
      </c>
      <c r="I1056" s="620" t="s">
        <v>299</v>
      </c>
      <c r="J1056" s="622">
        <v>4</v>
      </c>
      <c r="K1056" s="623"/>
      <c r="L1056" s="695">
        <f t="shared" ref="L1056" si="492">J1056+J1057</f>
        <v>200</v>
      </c>
      <c r="M1056" s="697">
        <f t="shared" ref="M1056" si="493">SUM(K1056:K1057)</f>
        <v>95.242000000000004</v>
      </c>
      <c r="N1056" s="699">
        <f t="shared" ref="N1056" si="494">+L1056-M1056</f>
        <v>104.758</v>
      </c>
      <c r="O1056" s="538"/>
    </row>
    <row r="1057" spans="1:15" s="536" customFormat="1" ht="10.15" customHeight="1">
      <c r="A1057" s="615"/>
      <c r="B1057" s="535" t="s">
        <v>339</v>
      </c>
      <c r="C1057" s="624">
        <v>1197</v>
      </c>
      <c r="D1057" s="625">
        <v>43553</v>
      </c>
      <c r="E1057" s="626" t="s">
        <v>304</v>
      </c>
      <c r="F1057" s="626" t="s">
        <v>493</v>
      </c>
      <c r="G1057" s="627">
        <v>960094</v>
      </c>
      <c r="H1057" s="628">
        <v>69</v>
      </c>
      <c r="I1057" s="626" t="s">
        <v>300</v>
      </c>
      <c r="J1057" s="628">
        <v>196</v>
      </c>
      <c r="K1057" s="629">
        <v>95.242000000000004</v>
      </c>
      <c r="L1057" s="696"/>
      <c r="M1057" s="698"/>
      <c r="N1057" s="700"/>
      <c r="O1057" s="538"/>
    </row>
    <row r="1058" spans="1:15" s="536" customFormat="1" ht="10.15" customHeight="1">
      <c r="A1058" s="615"/>
      <c r="B1058" s="535" t="s">
        <v>339</v>
      </c>
      <c r="C1058" s="618">
        <v>71</v>
      </c>
      <c r="D1058" s="619">
        <v>43601</v>
      </c>
      <c r="E1058" s="620" t="s">
        <v>303</v>
      </c>
      <c r="F1058" s="620" t="s">
        <v>494</v>
      </c>
      <c r="G1058" s="621">
        <v>962295</v>
      </c>
      <c r="H1058" s="622">
        <v>71</v>
      </c>
      <c r="I1058" s="620" t="s">
        <v>299</v>
      </c>
      <c r="J1058" s="622">
        <v>1</v>
      </c>
      <c r="K1058" s="623"/>
      <c r="L1058" s="695">
        <f t="shared" ref="L1058" si="495">J1058+J1059</f>
        <v>115</v>
      </c>
      <c r="M1058" s="697">
        <f t="shared" ref="M1058" si="496">SUM(K1058:K1059)</f>
        <v>0</v>
      </c>
      <c r="N1058" s="699">
        <f t="shared" ref="N1058" si="497">+L1058-M1058</f>
        <v>115</v>
      </c>
      <c r="O1058" s="538"/>
    </row>
    <row r="1059" spans="1:15" s="536" customFormat="1" ht="10.15" customHeight="1">
      <c r="A1059" s="615"/>
      <c r="B1059" s="535" t="s">
        <v>339</v>
      </c>
      <c r="C1059" s="624">
        <v>71</v>
      </c>
      <c r="D1059" s="625">
        <v>43601</v>
      </c>
      <c r="E1059" s="626" t="s">
        <v>303</v>
      </c>
      <c r="F1059" s="626" t="s">
        <v>494</v>
      </c>
      <c r="G1059" s="627">
        <v>962295</v>
      </c>
      <c r="H1059" s="628">
        <v>71</v>
      </c>
      <c r="I1059" s="626" t="s">
        <v>300</v>
      </c>
      <c r="J1059" s="628">
        <v>114</v>
      </c>
      <c r="K1059" s="629"/>
      <c r="L1059" s="696"/>
      <c r="M1059" s="698"/>
      <c r="N1059" s="700"/>
      <c r="O1059" s="538"/>
    </row>
    <row r="1060" spans="1:15" s="536" customFormat="1" ht="10.15" customHeight="1">
      <c r="A1060" s="615"/>
      <c r="B1060" s="535" t="s">
        <v>339</v>
      </c>
      <c r="C1060" s="618">
        <v>1594</v>
      </c>
      <c r="D1060" s="619">
        <v>43581</v>
      </c>
      <c r="E1060" s="620" t="s">
        <v>304</v>
      </c>
      <c r="F1060" s="620" t="s">
        <v>495</v>
      </c>
      <c r="G1060" s="621">
        <v>965724</v>
      </c>
      <c r="H1060" s="622">
        <v>71</v>
      </c>
      <c r="I1060" s="620" t="s">
        <v>299</v>
      </c>
      <c r="J1060" s="622">
        <v>6</v>
      </c>
      <c r="K1060" s="623">
        <v>1.002</v>
      </c>
      <c r="L1060" s="695">
        <f t="shared" ref="L1060" si="498">J1060+J1061</f>
        <v>40</v>
      </c>
      <c r="M1060" s="697">
        <f t="shared" ref="M1060" si="499">SUM(K1060:K1061)</f>
        <v>11.13</v>
      </c>
      <c r="N1060" s="699">
        <f t="shared" ref="N1060" si="500">+L1060-M1060</f>
        <v>28.869999999999997</v>
      </c>
      <c r="O1060" s="538"/>
    </row>
    <row r="1061" spans="1:15" s="536" customFormat="1" ht="10.15" customHeight="1">
      <c r="A1061" s="615"/>
      <c r="B1061" s="535" t="s">
        <v>339</v>
      </c>
      <c r="C1061" s="624">
        <v>1594</v>
      </c>
      <c r="D1061" s="625">
        <v>43581</v>
      </c>
      <c r="E1061" s="626" t="s">
        <v>304</v>
      </c>
      <c r="F1061" s="626" t="s">
        <v>495</v>
      </c>
      <c r="G1061" s="627">
        <v>965724</v>
      </c>
      <c r="H1061" s="628">
        <v>71</v>
      </c>
      <c r="I1061" s="626" t="s">
        <v>300</v>
      </c>
      <c r="J1061" s="628">
        <v>34</v>
      </c>
      <c r="K1061" s="629">
        <v>10.128</v>
      </c>
      <c r="L1061" s="696"/>
      <c r="M1061" s="698"/>
      <c r="N1061" s="700"/>
      <c r="O1061" s="538"/>
    </row>
    <row r="1062" spans="1:15" s="536" customFormat="1" ht="10.15" customHeight="1">
      <c r="A1062" s="615"/>
      <c r="B1062" s="535" t="s">
        <v>339</v>
      </c>
      <c r="C1062" s="618">
        <v>1594</v>
      </c>
      <c r="D1062" s="619">
        <v>43581</v>
      </c>
      <c r="E1062" s="620" t="s">
        <v>304</v>
      </c>
      <c r="F1062" s="620" t="s">
        <v>496</v>
      </c>
      <c r="G1062" s="621">
        <v>965911</v>
      </c>
      <c r="H1062" s="622">
        <v>71</v>
      </c>
      <c r="I1062" s="620" t="s">
        <v>299</v>
      </c>
      <c r="J1062" s="622">
        <v>6</v>
      </c>
      <c r="K1062" s="623"/>
      <c r="L1062" s="695">
        <f t="shared" ref="L1062" si="501">J1062+J1063</f>
        <v>40</v>
      </c>
      <c r="M1062" s="697">
        <f t="shared" ref="M1062" si="502">SUM(K1062:K1063)</f>
        <v>0</v>
      </c>
      <c r="N1062" s="699">
        <f t="shared" ref="N1062" si="503">+L1062-M1062</f>
        <v>40</v>
      </c>
      <c r="O1062" s="538"/>
    </row>
    <row r="1063" spans="1:15" s="536" customFormat="1" ht="10.15" customHeight="1">
      <c r="A1063" s="615"/>
      <c r="B1063" s="535" t="s">
        <v>339</v>
      </c>
      <c r="C1063" s="624">
        <v>1594</v>
      </c>
      <c r="D1063" s="625">
        <v>43581</v>
      </c>
      <c r="E1063" s="626" t="s">
        <v>304</v>
      </c>
      <c r="F1063" s="626" t="s">
        <v>496</v>
      </c>
      <c r="G1063" s="627">
        <v>965911</v>
      </c>
      <c r="H1063" s="628">
        <v>71</v>
      </c>
      <c r="I1063" s="626" t="s">
        <v>300</v>
      </c>
      <c r="J1063" s="628">
        <v>34</v>
      </c>
      <c r="K1063" s="629"/>
      <c r="L1063" s="696"/>
      <c r="M1063" s="698"/>
      <c r="N1063" s="700"/>
      <c r="O1063" s="538"/>
    </row>
    <row r="1064" spans="1:15" s="536" customFormat="1" ht="10.15" customHeight="1">
      <c r="A1064" s="615"/>
      <c r="B1064" s="535" t="s">
        <v>339</v>
      </c>
      <c r="C1064" s="618">
        <v>1594</v>
      </c>
      <c r="D1064" s="619">
        <v>43581</v>
      </c>
      <c r="E1064" s="620" t="s">
        <v>304</v>
      </c>
      <c r="F1064" s="620" t="s">
        <v>497</v>
      </c>
      <c r="G1064" s="621">
        <v>966304</v>
      </c>
      <c r="H1064" s="622">
        <v>71</v>
      </c>
      <c r="I1064" s="620" t="s">
        <v>299</v>
      </c>
      <c r="J1064" s="622">
        <v>6</v>
      </c>
      <c r="K1064" s="623"/>
      <c r="L1064" s="695">
        <f t="shared" ref="L1064" si="504">J1064+J1065</f>
        <v>40</v>
      </c>
      <c r="M1064" s="697">
        <f t="shared" ref="M1064" si="505">SUM(K1064:K1065)</f>
        <v>0</v>
      </c>
      <c r="N1064" s="699">
        <f t="shared" ref="N1064" si="506">+L1064-M1064</f>
        <v>40</v>
      </c>
      <c r="O1064" s="538"/>
    </row>
    <row r="1065" spans="1:15" s="536" customFormat="1" ht="10.15" customHeight="1">
      <c r="A1065" s="615"/>
      <c r="B1065" s="535" t="s">
        <v>339</v>
      </c>
      <c r="C1065" s="624">
        <v>1594</v>
      </c>
      <c r="D1065" s="625">
        <v>43581</v>
      </c>
      <c r="E1065" s="626" t="s">
        <v>304</v>
      </c>
      <c r="F1065" s="626" t="s">
        <v>497</v>
      </c>
      <c r="G1065" s="627">
        <v>966304</v>
      </c>
      <c r="H1065" s="628">
        <v>71</v>
      </c>
      <c r="I1065" s="626" t="s">
        <v>300</v>
      </c>
      <c r="J1065" s="628">
        <v>34</v>
      </c>
      <c r="K1065" s="629"/>
      <c r="L1065" s="696"/>
      <c r="M1065" s="698"/>
      <c r="N1065" s="700"/>
      <c r="O1065" s="538"/>
    </row>
    <row r="1066" spans="1:15" s="536" customFormat="1" ht="10.15" customHeight="1">
      <c r="A1066" s="615"/>
      <c r="B1066" s="535" t="s">
        <v>339</v>
      </c>
      <c r="C1066" s="618">
        <v>1594</v>
      </c>
      <c r="D1066" s="619">
        <v>43581</v>
      </c>
      <c r="E1066" s="620" t="s">
        <v>304</v>
      </c>
      <c r="F1066" s="620" t="s">
        <v>498</v>
      </c>
      <c r="G1066" s="621">
        <v>960952</v>
      </c>
      <c r="H1066" s="622">
        <v>72</v>
      </c>
      <c r="I1066" s="620" t="s">
        <v>299</v>
      </c>
      <c r="J1066" s="622">
        <v>62</v>
      </c>
      <c r="K1066" s="623">
        <v>173.34200000000001</v>
      </c>
      <c r="L1066" s="695">
        <f t="shared" ref="L1066" si="507">J1066+J1067</f>
        <v>400</v>
      </c>
      <c r="M1066" s="697">
        <f t="shared" ref="M1066" si="508">SUM(K1066:K1067)</f>
        <v>330.20299999999997</v>
      </c>
      <c r="N1066" s="699">
        <f t="shared" ref="N1066" si="509">+L1066-M1066</f>
        <v>69.797000000000025</v>
      </c>
      <c r="O1066" s="538"/>
    </row>
    <row r="1067" spans="1:15" s="536" customFormat="1" ht="10.15" customHeight="1">
      <c r="A1067" s="615"/>
      <c r="B1067" s="535" t="s">
        <v>339</v>
      </c>
      <c r="C1067" s="624">
        <v>1594</v>
      </c>
      <c r="D1067" s="625">
        <v>43581</v>
      </c>
      <c r="E1067" s="626" t="s">
        <v>304</v>
      </c>
      <c r="F1067" s="626" t="s">
        <v>498</v>
      </c>
      <c r="G1067" s="627">
        <v>960952</v>
      </c>
      <c r="H1067" s="628">
        <v>72</v>
      </c>
      <c r="I1067" s="626" t="s">
        <v>300</v>
      </c>
      <c r="J1067" s="628">
        <v>338</v>
      </c>
      <c r="K1067" s="629">
        <v>156.86099999999999</v>
      </c>
      <c r="L1067" s="696"/>
      <c r="M1067" s="698"/>
      <c r="N1067" s="700"/>
      <c r="O1067" s="538"/>
    </row>
    <row r="1068" spans="1:15" s="536" customFormat="1" ht="10.15" customHeight="1">
      <c r="A1068" s="615"/>
      <c r="B1068" s="535" t="s">
        <v>339</v>
      </c>
      <c r="C1068" s="618">
        <v>2140</v>
      </c>
      <c r="D1068" s="619">
        <v>43627</v>
      </c>
      <c r="E1068" s="620" t="s">
        <v>304</v>
      </c>
      <c r="F1068" s="620" t="s">
        <v>575</v>
      </c>
      <c r="G1068" s="621">
        <v>30822</v>
      </c>
      <c r="H1068" s="622">
        <v>73</v>
      </c>
      <c r="I1068" s="620" t="s">
        <v>299</v>
      </c>
      <c r="J1068" s="622">
        <v>67</v>
      </c>
      <c r="K1068" s="623"/>
      <c r="L1068" s="695">
        <f t="shared" ref="L1068" si="510">J1068+J1069</f>
        <v>148</v>
      </c>
      <c r="M1068" s="697">
        <f t="shared" ref="M1068" si="511">SUM(K1068:K1069)</f>
        <v>0</v>
      </c>
      <c r="N1068" s="699">
        <f t="shared" ref="N1068" si="512">+L1068-M1068</f>
        <v>148</v>
      </c>
      <c r="O1068" s="538"/>
    </row>
    <row r="1069" spans="1:15" s="536" customFormat="1" ht="10.15" customHeight="1">
      <c r="A1069" s="615"/>
      <c r="B1069" s="535" t="s">
        <v>339</v>
      </c>
      <c r="C1069" s="624">
        <v>2140</v>
      </c>
      <c r="D1069" s="625">
        <v>43627</v>
      </c>
      <c r="E1069" s="626" t="s">
        <v>304</v>
      </c>
      <c r="F1069" s="626" t="s">
        <v>575</v>
      </c>
      <c r="G1069" s="627">
        <v>30822</v>
      </c>
      <c r="H1069" s="628">
        <v>73</v>
      </c>
      <c r="I1069" s="626" t="s">
        <v>300</v>
      </c>
      <c r="J1069" s="628">
        <v>81</v>
      </c>
      <c r="K1069" s="629"/>
      <c r="L1069" s="696"/>
      <c r="M1069" s="698"/>
      <c r="N1069" s="700"/>
      <c r="O1069" s="538"/>
    </row>
    <row r="1070" spans="1:15" s="536" customFormat="1" ht="10.15" customHeight="1">
      <c r="A1070" s="615"/>
      <c r="B1070" s="535" t="s">
        <v>339</v>
      </c>
      <c r="C1070" s="618">
        <v>1594</v>
      </c>
      <c r="D1070" s="619">
        <v>43581</v>
      </c>
      <c r="E1070" s="620" t="s">
        <v>304</v>
      </c>
      <c r="F1070" s="620" t="s">
        <v>337</v>
      </c>
      <c r="G1070" s="621">
        <v>952061</v>
      </c>
      <c r="H1070" s="622">
        <v>73</v>
      </c>
      <c r="I1070" s="620" t="s">
        <v>299</v>
      </c>
      <c r="J1070" s="622">
        <v>47</v>
      </c>
      <c r="K1070" s="623"/>
      <c r="L1070" s="695">
        <f t="shared" ref="L1070" si="513">J1070+J1071</f>
        <v>300</v>
      </c>
      <c r="M1070" s="697">
        <f t="shared" ref="M1070" si="514">SUM(K1070:K1071)</f>
        <v>0</v>
      </c>
      <c r="N1070" s="699">
        <f t="shared" ref="N1070" si="515">+L1070-M1070</f>
        <v>300</v>
      </c>
      <c r="O1070" s="538"/>
    </row>
    <row r="1071" spans="1:15" s="536" customFormat="1" ht="10.15" customHeight="1">
      <c r="A1071" s="615"/>
      <c r="B1071" s="535" t="s">
        <v>339</v>
      </c>
      <c r="C1071" s="624">
        <v>1594</v>
      </c>
      <c r="D1071" s="625">
        <v>43581</v>
      </c>
      <c r="E1071" s="626" t="s">
        <v>304</v>
      </c>
      <c r="F1071" s="626" t="s">
        <v>337</v>
      </c>
      <c r="G1071" s="627">
        <v>952061</v>
      </c>
      <c r="H1071" s="628">
        <v>73</v>
      </c>
      <c r="I1071" s="626" t="s">
        <v>300</v>
      </c>
      <c r="J1071" s="628">
        <v>253</v>
      </c>
      <c r="K1071" s="629"/>
      <c r="L1071" s="696"/>
      <c r="M1071" s="698"/>
      <c r="N1071" s="700"/>
      <c r="O1071" s="538"/>
    </row>
    <row r="1072" spans="1:15" s="536" customFormat="1" ht="10.15" customHeight="1">
      <c r="A1072" s="615"/>
      <c r="B1072" s="535" t="s">
        <v>339</v>
      </c>
      <c r="C1072" s="618">
        <v>1462</v>
      </c>
      <c r="D1072" s="619">
        <v>43572</v>
      </c>
      <c r="E1072" s="620" t="s">
        <v>304</v>
      </c>
      <c r="F1072" s="620" t="s">
        <v>499</v>
      </c>
      <c r="G1072" s="621">
        <v>952452</v>
      </c>
      <c r="H1072" s="622">
        <v>73</v>
      </c>
      <c r="I1072" s="620" t="s">
        <v>299</v>
      </c>
      <c r="J1072" s="622">
        <v>297</v>
      </c>
      <c r="K1072" s="623">
        <v>494.53199999999998</v>
      </c>
      <c r="L1072" s="695">
        <f t="shared" ref="L1072" si="516">J1072+J1073</f>
        <v>1024</v>
      </c>
      <c r="M1072" s="697">
        <f t="shared" ref="M1072" si="517">SUM(K1072:K1073)</f>
        <v>921.22</v>
      </c>
      <c r="N1072" s="699">
        <f t="shared" ref="N1072" si="518">+L1072-M1072</f>
        <v>102.77999999999997</v>
      </c>
      <c r="O1072" s="538"/>
    </row>
    <row r="1073" spans="1:15" s="536" customFormat="1" ht="10.15" customHeight="1">
      <c r="A1073" s="615"/>
      <c r="B1073" s="535" t="s">
        <v>339</v>
      </c>
      <c r="C1073" s="624">
        <v>1462</v>
      </c>
      <c r="D1073" s="625">
        <v>43572</v>
      </c>
      <c r="E1073" s="626" t="s">
        <v>304</v>
      </c>
      <c r="F1073" s="626" t="s">
        <v>499</v>
      </c>
      <c r="G1073" s="627">
        <v>952452</v>
      </c>
      <c r="H1073" s="628">
        <v>73</v>
      </c>
      <c r="I1073" s="626" t="s">
        <v>300</v>
      </c>
      <c r="J1073" s="628">
        <v>727</v>
      </c>
      <c r="K1073" s="629">
        <v>426.68799999999999</v>
      </c>
      <c r="L1073" s="696"/>
      <c r="M1073" s="698"/>
      <c r="N1073" s="700"/>
      <c r="O1073" s="538"/>
    </row>
    <row r="1074" spans="1:15" s="536" customFormat="1" ht="10.15" customHeight="1">
      <c r="A1074" s="615"/>
      <c r="B1074" s="535" t="s">
        <v>339</v>
      </c>
      <c r="C1074" s="618">
        <v>1594</v>
      </c>
      <c r="D1074" s="619">
        <v>43581</v>
      </c>
      <c r="E1074" s="620" t="s">
        <v>304</v>
      </c>
      <c r="F1074" s="620" t="s">
        <v>336</v>
      </c>
      <c r="G1074" s="621">
        <v>960538</v>
      </c>
      <c r="H1074" s="622">
        <v>73</v>
      </c>
      <c r="I1074" s="620" t="s">
        <v>299</v>
      </c>
      <c r="J1074" s="622">
        <v>47</v>
      </c>
      <c r="K1074" s="623">
        <v>158.10400000000001</v>
      </c>
      <c r="L1074" s="695">
        <f t="shared" ref="L1074" si="519">J1074+J1075</f>
        <v>300</v>
      </c>
      <c r="M1074" s="697">
        <f t="shared" ref="M1074" si="520">SUM(K1074:K1075)</f>
        <v>298.41600000000005</v>
      </c>
      <c r="N1074" s="699">
        <f t="shared" ref="N1074" si="521">+L1074-M1074</f>
        <v>1.5839999999999463</v>
      </c>
      <c r="O1074" s="538"/>
    </row>
    <row r="1075" spans="1:15" s="536" customFormat="1" ht="10.15" customHeight="1">
      <c r="A1075" s="615"/>
      <c r="B1075" s="535" t="s">
        <v>339</v>
      </c>
      <c r="C1075" s="624">
        <v>1594</v>
      </c>
      <c r="D1075" s="625">
        <v>43581</v>
      </c>
      <c r="E1075" s="626" t="s">
        <v>304</v>
      </c>
      <c r="F1075" s="626" t="s">
        <v>336</v>
      </c>
      <c r="G1075" s="627">
        <v>960538</v>
      </c>
      <c r="H1075" s="628">
        <v>73</v>
      </c>
      <c r="I1075" s="626" t="s">
        <v>300</v>
      </c>
      <c r="J1075" s="628">
        <v>253</v>
      </c>
      <c r="K1075" s="629">
        <v>140.31200000000001</v>
      </c>
      <c r="L1075" s="696"/>
      <c r="M1075" s="698"/>
      <c r="N1075" s="700"/>
      <c r="O1075" s="538"/>
    </row>
    <row r="1076" spans="1:15" s="536" customFormat="1" ht="10.15" customHeight="1">
      <c r="A1076" s="615"/>
      <c r="B1076" s="535" t="s">
        <v>339</v>
      </c>
      <c r="C1076" s="618">
        <v>1594</v>
      </c>
      <c r="D1076" s="619">
        <v>43581</v>
      </c>
      <c r="E1076" s="620" t="s">
        <v>304</v>
      </c>
      <c r="F1076" s="620" t="s">
        <v>338</v>
      </c>
      <c r="G1076" s="621">
        <v>966170</v>
      </c>
      <c r="H1076" s="622">
        <v>73</v>
      </c>
      <c r="I1076" s="620" t="s">
        <v>299</v>
      </c>
      <c r="J1076" s="622">
        <v>47</v>
      </c>
      <c r="K1076" s="623">
        <v>120.01</v>
      </c>
      <c r="L1076" s="695">
        <f t="shared" ref="L1076" si="522">J1076+J1077</f>
        <v>300</v>
      </c>
      <c r="M1076" s="697">
        <f t="shared" ref="M1076" si="523">SUM(K1076:K1077)</f>
        <v>300.01</v>
      </c>
      <c r="N1076" s="699">
        <f t="shared" ref="N1076" si="524">+L1076-M1076</f>
        <v>-9.9999999999909051E-3</v>
      </c>
      <c r="O1076" s="538"/>
    </row>
    <row r="1077" spans="1:15" s="536" customFormat="1" ht="10.15" customHeight="1">
      <c r="A1077" s="615"/>
      <c r="B1077" s="535" t="s">
        <v>339</v>
      </c>
      <c r="C1077" s="624">
        <v>1594</v>
      </c>
      <c r="D1077" s="625">
        <v>43581</v>
      </c>
      <c r="E1077" s="626" t="s">
        <v>304</v>
      </c>
      <c r="F1077" s="626" t="s">
        <v>338</v>
      </c>
      <c r="G1077" s="627">
        <v>966170</v>
      </c>
      <c r="H1077" s="628">
        <v>73</v>
      </c>
      <c r="I1077" s="626" t="s">
        <v>300</v>
      </c>
      <c r="J1077" s="628">
        <v>253</v>
      </c>
      <c r="K1077" s="629">
        <v>180</v>
      </c>
      <c r="L1077" s="696"/>
      <c r="M1077" s="698"/>
      <c r="N1077" s="700"/>
      <c r="O1077" s="538"/>
    </row>
    <row r="1078" spans="1:15" s="536" customFormat="1" ht="10.15" customHeight="1">
      <c r="A1078" s="615"/>
      <c r="B1078" s="535" t="s">
        <v>339</v>
      </c>
      <c r="C1078" s="618">
        <v>2100</v>
      </c>
      <c r="D1078" s="619">
        <v>43623</v>
      </c>
      <c r="E1078" s="620" t="s">
        <v>303</v>
      </c>
      <c r="F1078" s="620" t="s">
        <v>313</v>
      </c>
      <c r="G1078" s="621">
        <v>904281</v>
      </c>
      <c r="H1078" s="622">
        <v>74</v>
      </c>
      <c r="I1078" s="620" t="s">
        <v>299</v>
      </c>
      <c r="J1078" s="622">
        <v>50</v>
      </c>
      <c r="K1078" s="623"/>
      <c r="L1078" s="695">
        <f t="shared" ref="L1078" si="525">J1078+J1079</f>
        <v>50</v>
      </c>
      <c r="M1078" s="697">
        <f t="shared" ref="M1078" si="526">SUM(K1078:K1079)</f>
        <v>0</v>
      </c>
      <c r="N1078" s="699">
        <f t="shared" ref="N1078" si="527">+L1078-M1078</f>
        <v>50</v>
      </c>
      <c r="O1078" s="538"/>
    </row>
    <row r="1079" spans="1:15" s="536" customFormat="1" ht="10.15" customHeight="1">
      <c r="A1079" s="615"/>
      <c r="B1079" s="535" t="s">
        <v>339</v>
      </c>
      <c r="C1079" s="624">
        <v>2100</v>
      </c>
      <c r="D1079" s="625">
        <v>43623</v>
      </c>
      <c r="E1079" s="626" t="s">
        <v>303</v>
      </c>
      <c r="F1079" s="626" t="s">
        <v>313</v>
      </c>
      <c r="G1079" s="627">
        <v>904281</v>
      </c>
      <c r="H1079" s="628">
        <v>74</v>
      </c>
      <c r="I1079" s="626" t="s">
        <v>300</v>
      </c>
      <c r="J1079" s="628">
        <v>0</v>
      </c>
      <c r="K1079" s="629"/>
      <c r="L1079" s="696"/>
      <c r="M1079" s="698"/>
      <c r="N1079" s="700"/>
      <c r="O1079" s="538"/>
    </row>
    <row r="1080" spans="1:15" s="536" customFormat="1" ht="10.15" customHeight="1">
      <c r="A1080" s="615"/>
      <c r="B1080" s="535" t="s">
        <v>339</v>
      </c>
      <c r="C1080" s="618">
        <v>2100</v>
      </c>
      <c r="D1080" s="619">
        <v>43623</v>
      </c>
      <c r="E1080" s="620" t="s">
        <v>303</v>
      </c>
      <c r="F1080" s="620" t="s">
        <v>312</v>
      </c>
      <c r="G1080" s="621">
        <v>967281</v>
      </c>
      <c r="H1080" s="622">
        <v>74</v>
      </c>
      <c r="I1080" s="620" t="s">
        <v>299</v>
      </c>
      <c r="J1080" s="622">
        <v>0</v>
      </c>
      <c r="K1080" s="623"/>
      <c r="L1080" s="695">
        <f t="shared" ref="L1080" si="528">J1080+J1081</f>
        <v>65</v>
      </c>
      <c r="M1080" s="697">
        <f t="shared" ref="M1080" si="529">SUM(K1080:K1081)</f>
        <v>0</v>
      </c>
      <c r="N1080" s="699">
        <f t="shared" ref="N1080" si="530">+L1080-M1080</f>
        <v>65</v>
      </c>
      <c r="O1080" s="538"/>
    </row>
    <row r="1081" spans="1:15" s="536" customFormat="1" ht="10.15" customHeight="1">
      <c r="A1081" s="615"/>
      <c r="B1081" s="535" t="s">
        <v>339</v>
      </c>
      <c r="C1081" s="624">
        <v>2100</v>
      </c>
      <c r="D1081" s="625">
        <v>43623</v>
      </c>
      <c r="E1081" s="626" t="s">
        <v>303</v>
      </c>
      <c r="F1081" s="626" t="s">
        <v>312</v>
      </c>
      <c r="G1081" s="627">
        <v>967281</v>
      </c>
      <c r="H1081" s="628">
        <v>74</v>
      </c>
      <c r="I1081" s="626" t="s">
        <v>300</v>
      </c>
      <c r="J1081" s="628">
        <v>65</v>
      </c>
      <c r="K1081" s="629"/>
      <c r="L1081" s="696"/>
      <c r="M1081" s="698"/>
      <c r="N1081" s="700"/>
      <c r="O1081" s="538"/>
    </row>
    <row r="1082" spans="1:15" s="536" customFormat="1" ht="10.15" customHeight="1">
      <c r="A1082" s="615"/>
      <c r="B1082" s="535" t="s">
        <v>339</v>
      </c>
      <c r="C1082" s="618">
        <v>2100</v>
      </c>
      <c r="D1082" s="619">
        <v>43623</v>
      </c>
      <c r="E1082" s="620" t="s">
        <v>303</v>
      </c>
      <c r="F1082" s="620" t="s">
        <v>314</v>
      </c>
      <c r="G1082" s="621">
        <v>967342</v>
      </c>
      <c r="H1082" s="622">
        <v>74</v>
      </c>
      <c r="I1082" s="620" t="s">
        <v>299</v>
      </c>
      <c r="J1082" s="622">
        <v>0</v>
      </c>
      <c r="K1082" s="623"/>
      <c r="L1082" s="695">
        <f t="shared" ref="L1082" si="531">J1082+J1083</f>
        <v>70</v>
      </c>
      <c r="M1082" s="697">
        <f t="shared" ref="M1082" si="532">SUM(K1082:K1083)</f>
        <v>0</v>
      </c>
      <c r="N1082" s="699">
        <f t="shared" ref="N1082" si="533">+L1082-M1082</f>
        <v>70</v>
      </c>
      <c r="O1082" s="538"/>
    </row>
    <row r="1083" spans="1:15" s="536" customFormat="1" ht="10.15" customHeight="1">
      <c r="A1083" s="615"/>
      <c r="B1083" s="535" t="s">
        <v>339</v>
      </c>
      <c r="C1083" s="624">
        <v>2100</v>
      </c>
      <c r="D1083" s="625">
        <v>43623</v>
      </c>
      <c r="E1083" s="626" t="s">
        <v>303</v>
      </c>
      <c r="F1083" s="626" t="s">
        <v>314</v>
      </c>
      <c r="G1083" s="627">
        <v>967342</v>
      </c>
      <c r="H1083" s="628">
        <v>74</v>
      </c>
      <c r="I1083" s="626" t="s">
        <v>300</v>
      </c>
      <c r="J1083" s="628">
        <v>70</v>
      </c>
      <c r="K1083" s="629"/>
      <c r="L1083" s="696"/>
      <c r="M1083" s="698"/>
      <c r="N1083" s="700"/>
      <c r="O1083" s="538"/>
    </row>
    <row r="1084" spans="1:15" s="536" customFormat="1" ht="10.15" customHeight="1">
      <c r="A1084" s="615"/>
      <c r="B1084" s="535" t="s">
        <v>339</v>
      </c>
      <c r="C1084" s="618">
        <v>7</v>
      </c>
      <c r="D1084" s="619">
        <v>43517</v>
      </c>
      <c r="E1084" s="620" t="s">
        <v>303</v>
      </c>
      <c r="F1084" s="620" t="s">
        <v>500</v>
      </c>
      <c r="G1084" s="621">
        <v>965770</v>
      </c>
      <c r="H1084" s="622">
        <v>76</v>
      </c>
      <c r="I1084" s="620" t="s">
        <v>299</v>
      </c>
      <c r="J1084" s="622">
        <v>22</v>
      </c>
      <c r="K1084" s="623">
        <v>23.265999999999998</v>
      </c>
      <c r="L1084" s="695">
        <f t="shared" ref="L1084" si="534">J1084+J1085</f>
        <v>374</v>
      </c>
      <c r="M1084" s="697">
        <f t="shared" ref="M1084" si="535">SUM(K1084:K1085)</f>
        <v>374</v>
      </c>
      <c r="N1084" s="699">
        <f t="shared" ref="N1084" si="536">+L1084-M1084</f>
        <v>0</v>
      </c>
      <c r="O1084" s="538"/>
    </row>
    <row r="1085" spans="1:15" s="536" customFormat="1" ht="10.15" customHeight="1">
      <c r="A1085" s="615"/>
      <c r="B1085" s="535" t="s">
        <v>339</v>
      </c>
      <c r="C1085" s="624">
        <v>7</v>
      </c>
      <c r="D1085" s="625">
        <v>43517</v>
      </c>
      <c r="E1085" s="626" t="s">
        <v>303</v>
      </c>
      <c r="F1085" s="626" t="s">
        <v>500</v>
      </c>
      <c r="G1085" s="627">
        <v>965770</v>
      </c>
      <c r="H1085" s="628">
        <v>76</v>
      </c>
      <c r="I1085" s="626" t="s">
        <v>300</v>
      </c>
      <c r="J1085" s="628">
        <v>352</v>
      </c>
      <c r="K1085" s="629">
        <v>350.73399999999998</v>
      </c>
      <c r="L1085" s="696"/>
      <c r="M1085" s="698"/>
      <c r="N1085" s="700"/>
      <c r="O1085" s="538"/>
    </row>
    <row r="1086" spans="1:15" s="536" customFormat="1" ht="10.15" customHeight="1">
      <c r="A1086" s="615"/>
      <c r="B1086" s="535" t="s">
        <v>339</v>
      </c>
      <c r="C1086" s="618">
        <v>40</v>
      </c>
      <c r="D1086" s="619">
        <v>43551</v>
      </c>
      <c r="E1086" s="620" t="s">
        <v>303</v>
      </c>
      <c r="F1086" s="620" t="s">
        <v>500</v>
      </c>
      <c r="G1086" s="621">
        <v>965770</v>
      </c>
      <c r="H1086" s="622">
        <v>76</v>
      </c>
      <c r="I1086" s="620" t="s">
        <v>299</v>
      </c>
      <c r="J1086" s="622">
        <v>24</v>
      </c>
      <c r="K1086" s="623">
        <v>20.597999999999999</v>
      </c>
      <c r="L1086" s="695">
        <f t="shared" ref="L1086" si="537">J1086+J1087</f>
        <v>24</v>
      </c>
      <c r="M1086" s="697">
        <f t="shared" ref="M1086" si="538">SUM(K1086:K1087)</f>
        <v>20.597999999999999</v>
      </c>
      <c r="N1086" s="699">
        <f t="shared" ref="N1086" si="539">+L1086-M1086</f>
        <v>3.402000000000001</v>
      </c>
      <c r="O1086" s="538"/>
    </row>
    <row r="1087" spans="1:15" s="536" customFormat="1" ht="10.15" customHeight="1" thickBot="1">
      <c r="A1087" s="615"/>
      <c r="B1087" s="535" t="s">
        <v>339</v>
      </c>
      <c r="C1087" s="624">
        <v>40</v>
      </c>
      <c r="D1087" s="625">
        <v>43551</v>
      </c>
      <c r="E1087" s="626" t="s">
        <v>303</v>
      </c>
      <c r="F1087" s="626" t="s">
        <v>500</v>
      </c>
      <c r="G1087" s="627">
        <v>965770</v>
      </c>
      <c r="H1087" s="628">
        <v>76</v>
      </c>
      <c r="I1087" s="626" t="s">
        <v>300</v>
      </c>
      <c r="J1087" s="628">
        <v>0</v>
      </c>
      <c r="K1087" s="629"/>
      <c r="L1087" s="696"/>
      <c r="M1087" s="698"/>
      <c r="N1087" s="700"/>
      <c r="O1087" s="539"/>
    </row>
    <row r="1088" spans="1:15" s="536" customFormat="1" ht="10.15" customHeight="1">
      <c r="A1088" s="615"/>
      <c r="B1088" s="535" t="s">
        <v>339</v>
      </c>
      <c r="C1088" s="618">
        <v>87</v>
      </c>
      <c r="D1088" s="619">
        <v>43608</v>
      </c>
      <c r="E1088" s="620" t="s">
        <v>303</v>
      </c>
      <c r="F1088" s="620" t="s">
        <v>500</v>
      </c>
      <c r="G1088" s="621">
        <v>965770</v>
      </c>
      <c r="H1088" s="622">
        <v>76</v>
      </c>
      <c r="I1088" s="620" t="s">
        <v>299</v>
      </c>
      <c r="J1088" s="622">
        <v>40</v>
      </c>
      <c r="K1088" s="623">
        <v>14.798999999999999</v>
      </c>
      <c r="L1088" s="695">
        <f t="shared" ref="L1088" si="540">J1088+J1089</f>
        <v>100</v>
      </c>
      <c r="M1088" s="697">
        <f t="shared" ref="M1088" si="541">SUM(K1088:K1089)</f>
        <v>42.376000000000005</v>
      </c>
      <c r="N1088" s="699">
        <f t="shared" ref="N1088" si="542">+L1088-M1088</f>
        <v>57.623999999999995</v>
      </c>
      <c r="O1088" s="541"/>
    </row>
    <row r="1089" spans="1:15" s="536" customFormat="1" ht="10.15" customHeight="1">
      <c r="A1089" s="615"/>
      <c r="B1089" s="535" t="s">
        <v>339</v>
      </c>
      <c r="C1089" s="624">
        <v>87</v>
      </c>
      <c r="D1089" s="625">
        <v>43608</v>
      </c>
      <c r="E1089" s="626" t="s">
        <v>303</v>
      </c>
      <c r="F1089" s="626" t="s">
        <v>500</v>
      </c>
      <c r="G1089" s="627">
        <v>965770</v>
      </c>
      <c r="H1089" s="628">
        <v>76</v>
      </c>
      <c r="I1089" s="626" t="s">
        <v>300</v>
      </c>
      <c r="J1089" s="628">
        <v>60</v>
      </c>
      <c r="K1089" s="629">
        <v>27.577000000000002</v>
      </c>
      <c r="L1089" s="696"/>
      <c r="M1089" s="698"/>
      <c r="N1089" s="700"/>
      <c r="O1089" s="541"/>
    </row>
    <row r="1090" spans="1:15" s="536" customFormat="1" ht="10.15" customHeight="1">
      <c r="A1090" s="615"/>
      <c r="B1090" s="535" t="s">
        <v>339</v>
      </c>
      <c r="C1090" s="618">
        <v>1015</v>
      </c>
      <c r="D1090" s="619">
        <v>43545</v>
      </c>
      <c r="E1090" s="620" t="s">
        <v>303</v>
      </c>
      <c r="F1090" s="620" t="s">
        <v>500</v>
      </c>
      <c r="G1090" s="621">
        <v>965770</v>
      </c>
      <c r="H1090" s="622">
        <v>76</v>
      </c>
      <c r="I1090" s="620" t="s">
        <v>299</v>
      </c>
      <c r="J1090" s="622">
        <v>0</v>
      </c>
      <c r="K1090" s="623"/>
      <c r="L1090" s="695">
        <f t="shared" ref="L1090" si="543">J1090+J1091</f>
        <v>330</v>
      </c>
      <c r="M1090" s="697">
        <f t="shared" ref="M1090" si="544">SUM(K1090:K1091)</f>
        <v>335.185</v>
      </c>
      <c r="N1090" s="699">
        <f t="shared" ref="N1090" si="545">+L1090-M1090</f>
        <v>-5.1850000000000023</v>
      </c>
      <c r="O1090" s="541"/>
    </row>
    <row r="1091" spans="1:15" s="536" customFormat="1" ht="10.15" customHeight="1">
      <c r="A1091" s="615"/>
      <c r="B1091" s="535" t="s">
        <v>339</v>
      </c>
      <c r="C1091" s="624">
        <v>1015</v>
      </c>
      <c r="D1091" s="625">
        <v>43545</v>
      </c>
      <c r="E1091" s="626" t="s">
        <v>303</v>
      </c>
      <c r="F1091" s="626" t="s">
        <v>500</v>
      </c>
      <c r="G1091" s="627">
        <v>965770</v>
      </c>
      <c r="H1091" s="628">
        <v>76</v>
      </c>
      <c r="I1091" s="626" t="s">
        <v>300</v>
      </c>
      <c r="J1091" s="628">
        <v>330</v>
      </c>
      <c r="K1091" s="629">
        <v>335.185</v>
      </c>
      <c r="L1091" s="696"/>
      <c r="M1091" s="698"/>
      <c r="N1091" s="700"/>
      <c r="O1091" s="541"/>
    </row>
    <row r="1092" spans="1:15" s="536" customFormat="1" ht="10.15" customHeight="1">
      <c r="A1092" s="615"/>
      <c r="B1092" s="535" t="s">
        <v>339</v>
      </c>
      <c r="C1092" s="618">
        <v>1112</v>
      </c>
      <c r="D1092" s="619">
        <v>43553</v>
      </c>
      <c r="E1092" s="620" t="s">
        <v>304</v>
      </c>
      <c r="F1092" s="620" t="s">
        <v>500</v>
      </c>
      <c r="G1092" s="621">
        <v>965770</v>
      </c>
      <c r="H1092" s="622">
        <v>76</v>
      </c>
      <c r="I1092" s="620" t="s">
        <v>299</v>
      </c>
      <c r="J1092" s="622">
        <v>65</v>
      </c>
      <c r="K1092" s="623">
        <v>151.26400000000001</v>
      </c>
      <c r="L1092" s="695">
        <f t="shared" ref="L1092" si="546">J1092+J1093</f>
        <v>200</v>
      </c>
      <c r="M1092" s="697">
        <f t="shared" ref="M1092" si="547">SUM(K1092:K1093)</f>
        <v>199.89000000000001</v>
      </c>
      <c r="N1092" s="699">
        <f t="shared" ref="N1092" si="548">+L1092-M1092</f>
        <v>0.10999999999998522</v>
      </c>
      <c r="O1092" s="541"/>
    </row>
    <row r="1093" spans="1:15" s="536" customFormat="1" ht="10.15" customHeight="1">
      <c r="A1093" s="615"/>
      <c r="B1093" s="535" t="s">
        <v>339</v>
      </c>
      <c r="C1093" s="624">
        <v>1112</v>
      </c>
      <c r="D1093" s="625">
        <v>43553</v>
      </c>
      <c r="E1093" s="626" t="s">
        <v>304</v>
      </c>
      <c r="F1093" s="626" t="s">
        <v>500</v>
      </c>
      <c r="G1093" s="627">
        <v>965770</v>
      </c>
      <c r="H1093" s="628">
        <v>76</v>
      </c>
      <c r="I1093" s="626" t="s">
        <v>300</v>
      </c>
      <c r="J1093" s="628">
        <v>135</v>
      </c>
      <c r="K1093" s="629">
        <v>48.625999999999998</v>
      </c>
      <c r="L1093" s="696"/>
      <c r="M1093" s="698"/>
      <c r="N1093" s="700"/>
      <c r="O1093" s="541"/>
    </row>
    <row r="1094" spans="1:15" s="536" customFormat="1" ht="10.15" customHeight="1">
      <c r="A1094" s="615"/>
      <c r="B1094" s="535" t="s">
        <v>339</v>
      </c>
      <c r="C1094" s="618">
        <v>2255</v>
      </c>
      <c r="D1094" s="619">
        <v>43637</v>
      </c>
      <c r="E1094" s="620" t="s">
        <v>303</v>
      </c>
      <c r="F1094" s="620" t="s">
        <v>576</v>
      </c>
      <c r="G1094" s="621">
        <v>967484</v>
      </c>
      <c r="H1094" s="622">
        <v>76</v>
      </c>
      <c r="I1094" s="620" t="s">
        <v>299</v>
      </c>
      <c r="J1094" s="622">
        <v>9</v>
      </c>
      <c r="K1094" s="623"/>
      <c r="L1094" s="695">
        <f t="shared" ref="L1094" si="549">J1094+J1095</f>
        <v>123</v>
      </c>
      <c r="M1094" s="697">
        <f t="shared" ref="M1094" si="550">SUM(K1094:K1095)</f>
        <v>0</v>
      </c>
      <c r="N1094" s="699">
        <f t="shared" ref="N1094" si="551">+L1094-M1094</f>
        <v>123</v>
      </c>
      <c r="O1094" s="541"/>
    </row>
    <row r="1095" spans="1:15" s="536" customFormat="1" ht="10.15" customHeight="1">
      <c r="A1095" s="615"/>
      <c r="B1095" s="535" t="s">
        <v>339</v>
      </c>
      <c r="C1095" s="624">
        <v>2255</v>
      </c>
      <c r="D1095" s="625">
        <v>43637</v>
      </c>
      <c r="E1095" s="626" t="s">
        <v>303</v>
      </c>
      <c r="F1095" s="626" t="s">
        <v>576</v>
      </c>
      <c r="G1095" s="627">
        <v>967484</v>
      </c>
      <c r="H1095" s="628">
        <v>76</v>
      </c>
      <c r="I1095" s="626" t="s">
        <v>300</v>
      </c>
      <c r="J1095" s="628">
        <v>114</v>
      </c>
      <c r="K1095" s="629"/>
      <c r="L1095" s="696"/>
      <c r="M1095" s="698"/>
      <c r="N1095" s="700"/>
      <c r="O1095" s="541"/>
    </row>
    <row r="1096" spans="1:15" s="536" customFormat="1" ht="10.15" customHeight="1">
      <c r="A1096" s="615"/>
      <c r="B1096" s="535" t="s">
        <v>339</v>
      </c>
      <c r="C1096" s="618">
        <v>84</v>
      </c>
      <c r="D1096" s="619">
        <v>43608</v>
      </c>
      <c r="E1096" s="620" t="s">
        <v>303</v>
      </c>
      <c r="F1096" s="620" t="s">
        <v>528</v>
      </c>
      <c r="G1096" s="621">
        <v>967528</v>
      </c>
      <c r="H1096" s="622">
        <v>76</v>
      </c>
      <c r="I1096" s="620" t="s">
        <v>299</v>
      </c>
      <c r="J1096" s="622">
        <v>1</v>
      </c>
      <c r="K1096" s="623"/>
      <c r="L1096" s="695">
        <f t="shared" ref="L1096" si="552">J1096+J1097</f>
        <v>25</v>
      </c>
      <c r="M1096" s="697">
        <f t="shared" ref="M1096" si="553">SUM(K1096:K1097)</f>
        <v>0</v>
      </c>
      <c r="N1096" s="699">
        <f t="shared" ref="N1096" si="554">+L1096-M1096</f>
        <v>25</v>
      </c>
      <c r="O1096" s="541"/>
    </row>
    <row r="1097" spans="1:15" s="536" customFormat="1" ht="10.15" customHeight="1" thickBot="1">
      <c r="A1097" s="617"/>
      <c r="B1097" s="535" t="s">
        <v>339</v>
      </c>
      <c r="C1097" s="624">
        <v>84</v>
      </c>
      <c r="D1097" s="625">
        <v>43608</v>
      </c>
      <c r="E1097" s="626" t="s">
        <v>303</v>
      </c>
      <c r="F1097" s="626" t="s">
        <v>528</v>
      </c>
      <c r="G1097" s="627">
        <v>967528</v>
      </c>
      <c r="H1097" s="628">
        <v>76</v>
      </c>
      <c r="I1097" s="626" t="s">
        <v>300</v>
      </c>
      <c r="J1097" s="628">
        <v>24</v>
      </c>
      <c r="K1097" s="629"/>
      <c r="L1097" s="696"/>
      <c r="M1097" s="698"/>
      <c r="N1097" s="700"/>
      <c r="O1097" s="541"/>
    </row>
    <row r="1098" spans="1:15" s="536" customFormat="1" ht="10.15" customHeight="1">
      <c r="A1098" s="513"/>
      <c r="F1098" s="540"/>
      <c r="G1098" s="541"/>
      <c r="H1098" s="542"/>
      <c r="I1098" s="543"/>
      <c r="J1098" s="544"/>
      <c r="K1098" s="544"/>
      <c r="L1098" s="541"/>
      <c r="M1098" s="541"/>
      <c r="N1098" s="541"/>
      <c r="O1098" s="541"/>
    </row>
  </sheetData>
  <sortState ref="I790:J790">
    <sortCondition ref="I789"/>
  </sortState>
  <mergeCells count="1273">
    <mergeCell ref="O366:O375"/>
    <mergeCell ref="M940:M941"/>
    <mergeCell ref="M942:M943"/>
    <mergeCell ref="M944:M945"/>
    <mergeCell ref="M946:M947"/>
    <mergeCell ref="M922:M923"/>
    <mergeCell ref="M924:M925"/>
    <mergeCell ref="M926:M927"/>
    <mergeCell ref="M928:M929"/>
    <mergeCell ref="M930:M931"/>
    <mergeCell ref="M932:M933"/>
    <mergeCell ref="M934:M935"/>
    <mergeCell ref="M936:M937"/>
    <mergeCell ref="M938:M939"/>
    <mergeCell ref="L468:L469"/>
    <mergeCell ref="N468:N469"/>
    <mergeCell ref="O468:O469"/>
    <mergeCell ref="L470:L471"/>
    <mergeCell ref="N470:N471"/>
    <mergeCell ref="O470:O471"/>
    <mergeCell ref="O476:O477"/>
    <mergeCell ref="M888:M889"/>
    <mergeCell ref="M890:M891"/>
    <mergeCell ref="M892:M893"/>
    <mergeCell ref="M740:M741"/>
    <mergeCell ref="M686:M687"/>
    <mergeCell ref="M706:M707"/>
    <mergeCell ref="M708:M709"/>
    <mergeCell ref="M688:M689"/>
    <mergeCell ref="M690:M691"/>
    <mergeCell ref="M692:M693"/>
    <mergeCell ref="N700:N701"/>
    <mergeCell ref="O200:O209"/>
    <mergeCell ref="O210:O219"/>
    <mergeCell ref="O220:O229"/>
    <mergeCell ref="O230:O239"/>
    <mergeCell ref="O240:O249"/>
    <mergeCell ref="O250:O259"/>
    <mergeCell ref="O260:O269"/>
    <mergeCell ref="O270:O279"/>
    <mergeCell ref="O280:O289"/>
    <mergeCell ref="O290:O299"/>
    <mergeCell ref="O300:O305"/>
    <mergeCell ref="O306:O315"/>
    <mergeCell ref="O316:O325"/>
    <mergeCell ref="L336:L345"/>
    <mergeCell ref="L346:L355"/>
    <mergeCell ref="L356:L365"/>
    <mergeCell ref="L316:L325"/>
    <mergeCell ref="M316:M325"/>
    <mergeCell ref="N316:N325"/>
    <mergeCell ref="L326:L335"/>
    <mergeCell ref="N260:N269"/>
    <mergeCell ref="L270:L279"/>
    <mergeCell ref="M270:M279"/>
    <mergeCell ref="N270:N279"/>
    <mergeCell ref="N346:N355"/>
    <mergeCell ref="M356:M365"/>
    <mergeCell ref="N356:N365"/>
    <mergeCell ref="M326:M335"/>
    <mergeCell ref="N326:N335"/>
    <mergeCell ref="L290:L299"/>
    <mergeCell ref="M290:M299"/>
    <mergeCell ref="N290:N299"/>
    <mergeCell ref="N702:N703"/>
    <mergeCell ref="N704:N705"/>
    <mergeCell ref="N706:N707"/>
    <mergeCell ref="M756:M757"/>
    <mergeCell ref="M694:M695"/>
    <mergeCell ref="M696:M697"/>
    <mergeCell ref="M698:M699"/>
    <mergeCell ref="M724:M725"/>
    <mergeCell ref="M726:M727"/>
    <mergeCell ref="M728:M729"/>
    <mergeCell ref="L366:L375"/>
    <mergeCell ref="M366:M375"/>
    <mergeCell ref="N366:N375"/>
    <mergeCell ref="O108:O113"/>
    <mergeCell ref="O114:O119"/>
    <mergeCell ref="O120:O125"/>
    <mergeCell ref="O126:O131"/>
    <mergeCell ref="O132:O135"/>
    <mergeCell ref="O136:O139"/>
    <mergeCell ref="O140:O143"/>
    <mergeCell ref="O144:O147"/>
    <mergeCell ref="O148:O151"/>
    <mergeCell ref="O152:O157"/>
    <mergeCell ref="O158:O161"/>
    <mergeCell ref="O162:O167"/>
    <mergeCell ref="O168:O173"/>
    <mergeCell ref="O174:O183"/>
    <mergeCell ref="O184:O193"/>
    <mergeCell ref="O194:O199"/>
    <mergeCell ref="L280:L289"/>
    <mergeCell ref="M280:M289"/>
    <mergeCell ref="N280:N289"/>
    <mergeCell ref="M916:M917"/>
    <mergeCell ref="M918:M919"/>
    <mergeCell ref="M920:M921"/>
    <mergeCell ref="M896:M897"/>
    <mergeCell ref="M898:M899"/>
    <mergeCell ref="M900:M901"/>
    <mergeCell ref="M902:M903"/>
    <mergeCell ref="M904:M905"/>
    <mergeCell ref="M906:M907"/>
    <mergeCell ref="M908:M909"/>
    <mergeCell ref="M910:M911"/>
    <mergeCell ref="O326:O335"/>
    <mergeCell ref="O336:O345"/>
    <mergeCell ref="O346:O355"/>
    <mergeCell ref="O356:O365"/>
    <mergeCell ref="M912:M913"/>
    <mergeCell ref="M914:M915"/>
    <mergeCell ref="M894:M895"/>
    <mergeCell ref="M886:M887"/>
    <mergeCell ref="M336:M345"/>
    <mergeCell ref="N336:N345"/>
    <mergeCell ref="M346:M355"/>
    <mergeCell ref="M722:M723"/>
    <mergeCell ref="M730:M731"/>
    <mergeCell ref="M710:M711"/>
    <mergeCell ref="M712:M713"/>
    <mergeCell ref="M790:M791"/>
    <mergeCell ref="M792:M793"/>
    <mergeCell ref="M794:M795"/>
    <mergeCell ref="M796:M797"/>
    <mergeCell ref="M782:M783"/>
    <mergeCell ref="M784:M785"/>
    <mergeCell ref="L300:L305"/>
    <mergeCell ref="M300:M305"/>
    <mergeCell ref="N300:N305"/>
    <mergeCell ref="L306:L315"/>
    <mergeCell ref="M306:M315"/>
    <mergeCell ref="N306:N315"/>
    <mergeCell ref="L220:L229"/>
    <mergeCell ref="M220:M229"/>
    <mergeCell ref="N220:N229"/>
    <mergeCell ref="L230:L239"/>
    <mergeCell ref="M230:M239"/>
    <mergeCell ref="N230:N239"/>
    <mergeCell ref="L240:L249"/>
    <mergeCell ref="M240:M249"/>
    <mergeCell ref="N240:N249"/>
    <mergeCell ref="L250:L259"/>
    <mergeCell ref="M250:M259"/>
    <mergeCell ref="N250:N259"/>
    <mergeCell ref="L260:L269"/>
    <mergeCell ref="M260:M269"/>
    <mergeCell ref="L168:L173"/>
    <mergeCell ref="M168:M173"/>
    <mergeCell ref="N168:N173"/>
    <mergeCell ref="L174:L183"/>
    <mergeCell ref="M174:M183"/>
    <mergeCell ref="N174:N183"/>
    <mergeCell ref="L184:L193"/>
    <mergeCell ref="M184:M193"/>
    <mergeCell ref="N184:N193"/>
    <mergeCell ref="L194:L199"/>
    <mergeCell ref="M194:M199"/>
    <mergeCell ref="N194:N199"/>
    <mergeCell ref="L200:L209"/>
    <mergeCell ref="M200:M209"/>
    <mergeCell ref="N200:N209"/>
    <mergeCell ref="L210:L219"/>
    <mergeCell ref="M210:M219"/>
    <mergeCell ref="N210:N219"/>
    <mergeCell ref="L140:L143"/>
    <mergeCell ref="M140:M143"/>
    <mergeCell ref="N140:N143"/>
    <mergeCell ref="L144:L147"/>
    <mergeCell ref="M144:M147"/>
    <mergeCell ref="N144:N147"/>
    <mergeCell ref="L148:L151"/>
    <mergeCell ref="M148:M151"/>
    <mergeCell ref="N148:N151"/>
    <mergeCell ref="L152:L157"/>
    <mergeCell ref="M152:M157"/>
    <mergeCell ref="N152:N157"/>
    <mergeCell ref="L158:L161"/>
    <mergeCell ref="M158:M161"/>
    <mergeCell ref="N158:N161"/>
    <mergeCell ref="L162:L167"/>
    <mergeCell ref="M162:M167"/>
    <mergeCell ref="N162:N167"/>
    <mergeCell ref="L108:L113"/>
    <mergeCell ref="M108:M113"/>
    <mergeCell ref="N108:N113"/>
    <mergeCell ref="L114:L119"/>
    <mergeCell ref="M114:M119"/>
    <mergeCell ref="N114:N119"/>
    <mergeCell ref="L120:L125"/>
    <mergeCell ref="M120:M125"/>
    <mergeCell ref="N120:N125"/>
    <mergeCell ref="L126:L131"/>
    <mergeCell ref="M126:M131"/>
    <mergeCell ref="N126:N131"/>
    <mergeCell ref="L132:L135"/>
    <mergeCell ref="M132:M135"/>
    <mergeCell ref="N132:N135"/>
    <mergeCell ref="L136:L139"/>
    <mergeCell ref="M136:M139"/>
    <mergeCell ref="N136:N139"/>
    <mergeCell ref="L98:L101"/>
    <mergeCell ref="M98:M101"/>
    <mergeCell ref="N98:N101"/>
    <mergeCell ref="L102:L107"/>
    <mergeCell ref="Q1:S1"/>
    <mergeCell ref="B1:O1"/>
    <mergeCell ref="L4:L21"/>
    <mergeCell ref="M4:M21"/>
    <mergeCell ref="N4:N21"/>
    <mergeCell ref="L22:L35"/>
    <mergeCell ref="M22:M35"/>
    <mergeCell ref="N22:N35"/>
    <mergeCell ref="L36:L45"/>
    <mergeCell ref="M36:M45"/>
    <mergeCell ref="N36:N45"/>
    <mergeCell ref="O4:O21"/>
    <mergeCell ref="O22:O35"/>
    <mergeCell ref="O36:O45"/>
    <mergeCell ref="M102:M107"/>
    <mergeCell ref="N102:N107"/>
    <mergeCell ref="O46:O55"/>
    <mergeCell ref="O56:O61"/>
    <mergeCell ref="O62:O65"/>
    <mergeCell ref="O66:O83"/>
    <mergeCell ref="O84:O97"/>
    <mergeCell ref="O98:O101"/>
    <mergeCell ref="O102:O107"/>
    <mergeCell ref="L478:L479"/>
    <mergeCell ref="N478:N479"/>
    <mergeCell ref="O478:O479"/>
    <mergeCell ref="L472:L473"/>
    <mergeCell ref="N472:N473"/>
    <mergeCell ref="O472:O473"/>
    <mergeCell ref="L474:L475"/>
    <mergeCell ref="N474:N475"/>
    <mergeCell ref="O474:O475"/>
    <mergeCell ref="M478:M479"/>
    <mergeCell ref="M476:M477"/>
    <mergeCell ref="M472:M473"/>
    <mergeCell ref="M474:M475"/>
    <mergeCell ref="L46:L55"/>
    <mergeCell ref="M46:M55"/>
    <mergeCell ref="N46:N55"/>
    <mergeCell ref="L56:L61"/>
    <mergeCell ref="M56:M61"/>
    <mergeCell ref="N56:N61"/>
    <mergeCell ref="L62:L65"/>
    <mergeCell ref="L476:L477"/>
    <mergeCell ref="N476:N477"/>
    <mergeCell ref="M468:M469"/>
    <mergeCell ref="M470:M471"/>
    <mergeCell ref="M62:M65"/>
    <mergeCell ref="N62:N65"/>
    <mergeCell ref="L66:L83"/>
    <mergeCell ref="M66:M83"/>
    <mergeCell ref="N66:N83"/>
    <mergeCell ref="L84:L97"/>
    <mergeCell ref="M84:M97"/>
    <mergeCell ref="N84:N97"/>
    <mergeCell ref="L488:L489"/>
    <mergeCell ref="N488:N489"/>
    <mergeCell ref="O488:O489"/>
    <mergeCell ref="L490:L491"/>
    <mergeCell ref="N490:N491"/>
    <mergeCell ref="O490:O491"/>
    <mergeCell ref="M488:M489"/>
    <mergeCell ref="M490:M491"/>
    <mergeCell ref="M492:M493"/>
    <mergeCell ref="M494:M495"/>
    <mergeCell ref="L484:L485"/>
    <mergeCell ref="N484:N485"/>
    <mergeCell ref="O484:O485"/>
    <mergeCell ref="L486:L487"/>
    <mergeCell ref="N486:N487"/>
    <mergeCell ref="O486:O487"/>
    <mergeCell ref="L480:L481"/>
    <mergeCell ref="N480:N481"/>
    <mergeCell ref="O480:O481"/>
    <mergeCell ref="L482:L483"/>
    <mergeCell ref="N482:N483"/>
    <mergeCell ref="O482:O483"/>
    <mergeCell ref="M480:M481"/>
    <mergeCell ref="M482:M483"/>
    <mergeCell ref="M484:M485"/>
    <mergeCell ref="M486:M487"/>
    <mergeCell ref="L500:L501"/>
    <mergeCell ref="N500:N501"/>
    <mergeCell ref="O500:O501"/>
    <mergeCell ref="L502:L503"/>
    <mergeCell ref="N502:N503"/>
    <mergeCell ref="O502:O503"/>
    <mergeCell ref="L496:L497"/>
    <mergeCell ref="N496:N497"/>
    <mergeCell ref="O496:O497"/>
    <mergeCell ref="L498:L499"/>
    <mergeCell ref="N498:N499"/>
    <mergeCell ref="O498:O499"/>
    <mergeCell ref="M496:M497"/>
    <mergeCell ref="M498:M499"/>
    <mergeCell ref="M500:M501"/>
    <mergeCell ref="M502:M503"/>
    <mergeCell ref="L492:L493"/>
    <mergeCell ref="N492:N493"/>
    <mergeCell ref="O492:O493"/>
    <mergeCell ref="L494:L495"/>
    <mergeCell ref="N494:N495"/>
    <mergeCell ref="O494:O495"/>
    <mergeCell ref="L512:L513"/>
    <mergeCell ref="N512:N513"/>
    <mergeCell ref="O512:O513"/>
    <mergeCell ref="L514:L515"/>
    <mergeCell ref="N514:N515"/>
    <mergeCell ref="O514:O515"/>
    <mergeCell ref="M512:M513"/>
    <mergeCell ref="M514:M515"/>
    <mergeCell ref="M516:M517"/>
    <mergeCell ref="M518:M519"/>
    <mergeCell ref="L508:L509"/>
    <mergeCell ref="N508:N509"/>
    <mergeCell ref="O508:O509"/>
    <mergeCell ref="L510:L511"/>
    <mergeCell ref="N510:N511"/>
    <mergeCell ref="O510:O511"/>
    <mergeCell ref="L504:L505"/>
    <mergeCell ref="N504:N505"/>
    <mergeCell ref="O504:O505"/>
    <mergeCell ref="L506:L507"/>
    <mergeCell ref="N506:N507"/>
    <mergeCell ref="O506:O507"/>
    <mergeCell ref="M504:M505"/>
    <mergeCell ref="M506:M507"/>
    <mergeCell ref="M508:M509"/>
    <mergeCell ref="M510:M511"/>
    <mergeCell ref="L524:L525"/>
    <mergeCell ref="N524:N525"/>
    <mergeCell ref="O524:O525"/>
    <mergeCell ref="L526:L527"/>
    <mergeCell ref="N526:N527"/>
    <mergeCell ref="O526:O527"/>
    <mergeCell ref="L520:L521"/>
    <mergeCell ref="N520:N521"/>
    <mergeCell ref="O520:O521"/>
    <mergeCell ref="L522:L523"/>
    <mergeCell ref="N522:N523"/>
    <mergeCell ref="O522:O523"/>
    <mergeCell ref="M520:M521"/>
    <mergeCell ref="M522:M523"/>
    <mergeCell ref="M524:M525"/>
    <mergeCell ref="M526:M527"/>
    <mergeCell ref="L516:L517"/>
    <mergeCell ref="N516:N517"/>
    <mergeCell ref="O516:O517"/>
    <mergeCell ref="L518:L519"/>
    <mergeCell ref="N518:N519"/>
    <mergeCell ref="O518:O519"/>
    <mergeCell ref="L536:L537"/>
    <mergeCell ref="N536:N537"/>
    <mergeCell ref="O536:O537"/>
    <mergeCell ref="L538:L539"/>
    <mergeCell ref="N538:N539"/>
    <mergeCell ref="O538:O539"/>
    <mergeCell ref="M536:M537"/>
    <mergeCell ref="M538:M539"/>
    <mergeCell ref="M540:M541"/>
    <mergeCell ref="M542:M543"/>
    <mergeCell ref="L532:L533"/>
    <mergeCell ref="N532:N533"/>
    <mergeCell ref="O532:O533"/>
    <mergeCell ref="L534:L535"/>
    <mergeCell ref="N534:N535"/>
    <mergeCell ref="O534:O535"/>
    <mergeCell ref="L528:L529"/>
    <mergeCell ref="N528:N529"/>
    <mergeCell ref="O528:O529"/>
    <mergeCell ref="L530:L531"/>
    <mergeCell ref="N530:N531"/>
    <mergeCell ref="O530:O531"/>
    <mergeCell ref="M528:M529"/>
    <mergeCell ref="M530:M531"/>
    <mergeCell ref="M532:M533"/>
    <mergeCell ref="M534:M535"/>
    <mergeCell ref="L548:L549"/>
    <mergeCell ref="N548:N549"/>
    <mergeCell ref="O548:O549"/>
    <mergeCell ref="L550:L551"/>
    <mergeCell ref="N550:N551"/>
    <mergeCell ref="O550:O551"/>
    <mergeCell ref="L544:L545"/>
    <mergeCell ref="N544:N545"/>
    <mergeCell ref="O544:O545"/>
    <mergeCell ref="L546:L547"/>
    <mergeCell ref="N546:N547"/>
    <mergeCell ref="O546:O547"/>
    <mergeCell ref="M544:M545"/>
    <mergeCell ref="M546:M547"/>
    <mergeCell ref="M548:M549"/>
    <mergeCell ref="M550:M551"/>
    <mergeCell ref="L540:L541"/>
    <mergeCell ref="N540:N541"/>
    <mergeCell ref="O540:O541"/>
    <mergeCell ref="L542:L543"/>
    <mergeCell ref="N542:N543"/>
    <mergeCell ref="O542:O543"/>
    <mergeCell ref="L560:L561"/>
    <mergeCell ref="N560:N561"/>
    <mergeCell ref="O560:O561"/>
    <mergeCell ref="L562:L563"/>
    <mergeCell ref="N562:N563"/>
    <mergeCell ref="O562:O563"/>
    <mergeCell ref="M560:M561"/>
    <mergeCell ref="M562:M563"/>
    <mergeCell ref="M564:M565"/>
    <mergeCell ref="M566:M567"/>
    <mergeCell ref="L556:L557"/>
    <mergeCell ref="N556:N557"/>
    <mergeCell ref="O556:O557"/>
    <mergeCell ref="L558:L559"/>
    <mergeCell ref="N558:N559"/>
    <mergeCell ref="O558:O559"/>
    <mergeCell ref="L552:L553"/>
    <mergeCell ref="N552:N553"/>
    <mergeCell ref="O552:O553"/>
    <mergeCell ref="L554:L555"/>
    <mergeCell ref="N554:N555"/>
    <mergeCell ref="O554:O555"/>
    <mergeCell ref="M552:M553"/>
    <mergeCell ref="M554:M555"/>
    <mergeCell ref="M556:M557"/>
    <mergeCell ref="M558:M559"/>
    <mergeCell ref="L572:L573"/>
    <mergeCell ref="N572:N573"/>
    <mergeCell ref="O572:O573"/>
    <mergeCell ref="L574:L575"/>
    <mergeCell ref="N574:N575"/>
    <mergeCell ref="O574:O575"/>
    <mergeCell ref="L568:L569"/>
    <mergeCell ref="N568:N569"/>
    <mergeCell ref="O568:O569"/>
    <mergeCell ref="L570:L571"/>
    <mergeCell ref="N570:N571"/>
    <mergeCell ref="O570:O571"/>
    <mergeCell ref="M568:M569"/>
    <mergeCell ref="M570:M571"/>
    <mergeCell ref="M572:M573"/>
    <mergeCell ref="M574:M575"/>
    <mergeCell ref="L564:L565"/>
    <mergeCell ref="N564:N565"/>
    <mergeCell ref="O564:O565"/>
    <mergeCell ref="L566:L567"/>
    <mergeCell ref="N566:N567"/>
    <mergeCell ref="O566:O567"/>
    <mergeCell ref="L584:L585"/>
    <mergeCell ref="N584:N585"/>
    <mergeCell ref="O584:O585"/>
    <mergeCell ref="L586:L587"/>
    <mergeCell ref="N586:N587"/>
    <mergeCell ref="O586:O587"/>
    <mergeCell ref="M584:M585"/>
    <mergeCell ref="M586:M587"/>
    <mergeCell ref="M588:M589"/>
    <mergeCell ref="M590:M591"/>
    <mergeCell ref="L580:L581"/>
    <mergeCell ref="N580:N581"/>
    <mergeCell ref="O580:O581"/>
    <mergeCell ref="L582:L583"/>
    <mergeCell ref="N582:N583"/>
    <mergeCell ref="O582:O583"/>
    <mergeCell ref="L576:L577"/>
    <mergeCell ref="N576:N577"/>
    <mergeCell ref="O576:O577"/>
    <mergeCell ref="L578:L579"/>
    <mergeCell ref="N578:N579"/>
    <mergeCell ref="O578:O579"/>
    <mergeCell ref="M576:M577"/>
    <mergeCell ref="M578:M579"/>
    <mergeCell ref="M580:M581"/>
    <mergeCell ref="M582:M583"/>
    <mergeCell ref="L596:L597"/>
    <mergeCell ref="N596:N597"/>
    <mergeCell ref="O596:O597"/>
    <mergeCell ref="L598:L599"/>
    <mergeCell ref="N598:N599"/>
    <mergeCell ref="O598:O599"/>
    <mergeCell ref="L592:L593"/>
    <mergeCell ref="N592:N593"/>
    <mergeCell ref="O592:O593"/>
    <mergeCell ref="L594:L595"/>
    <mergeCell ref="N594:N595"/>
    <mergeCell ref="O594:O595"/>
    <mergeCell ref="M592:M593"/>
    <mergeCell ref="M594:M595"/>
    <mergeCell ref="M596:M597"/>
    <mergeCell ref="M598:M599"/>
    <mergeCell ref="L588:L589"/>
    <mergeCell ref="N588:N589"/>
    <mergeCell ref="O588:O589"/>
    <mergeCell ref="L590:L591"/>
    <mergeCell ref="N590:N591"/>
    <mergeCell ref="O590:O591"/>
    <mergeCell ref="L608:L609"/>
    <mergeCell ref="N608:N609"/>
    <mergeCell ref="O608:O609"/>
    <mergeCell ref="L610:L611"/>
    <mergeCell ref="N610:N611"/>
    <mergeCell ref="O610:O611"/>
    <mergeCell ref="M608:M609"/>
    <mergeCell ref="M610:M611"/>
    <mergeCell ref="M612:M613"/>
    <mergeCell ref="M614:M615"/>
    <mergeCell ref="L604:L605"/>
    <mergeCell ref="N604:N605"/>
    <mergeCell ref="O604:O605"/>
    <mergeCell ref="L606:L607"/>
    <mergeCell ref="N606:N607"/>
    <mergeCell ref="O606:O607"/>
    <mergeCell ref="L600:L601"/>
    <mergeCell ref="N600:N601"/>
    <mergeCell ref="O600:O601"/>
    <mergeCell ref="L602:L603"/>
    <mergeCell ref="N602:N603"/>
    <mergeCell ref="O602:O603"/>
    <mergeCell ref="M600:M601"/>
    <mergeCell ref="M602:M603"/>
    <mergeCell ref="M604:M605"/>
    <mergeCell ref="M606:M607"/>
    <mergeCell ref="L620:L621"/>
    <mergeCell ref="N620:N621"/>
    <mergeCell ref="O620:O621"/>
    <mergeCell ref="L622:L623"/>
    <mergeCell ref="N622:N623"/>
    <mergeCell ref="O622:O623"/>
    <mergeCell ref="L616:L617"/>
    <mergeCell ref="N616:N617"/>
    <mergeCell ref="O616:O617"/>
    <mergeCell ref="L618:L619"/>
    <mergeCell ref="N618:N619"/>
    <mergeCell ref="O618:O619"/>
    <mergeCell ref="M616:M617"/>
    <mergeCell ref="M618:M619"/>
    <mergeCell ref="M620:M621"/>
    <mergeCell ref="M622:M623"/>
    <mergeCell ref="L612:L613"/>
    <mergeCell ref="N612:N613"/>
    <mergeCell ref="O612:O613"/>
    <mergeCell ref="L614:L615"/>
    <mergeCell ref="N614:N615"/>
    <mergeCell ref="O614:O615"/>
    <mergeCell ref="L632:L633"/>
    <mergeCell ref="N632:N633"/>
    <mergeCell ref="O632:O633"/>
    <mergeCell ref="L634:L635"/>
    <mergeCell ref="N634:N635"/>
    <mergeCell ref="O634:O635"/>
    <mergeCell ref="M632:M633"/>
    <mergeCell ref="M634:M635"/>
    <mergeCell ref="M636:M637"/>
    <mergeCell ref="M638:M639"/>
    <mergeCell ref="L628:L629"/>
    <mergeCell ref="N628:N629"/>
    <mergeCell ref="O628:O629"/>
    <mergeCell ref="L630:L631"/>
    <mergeCell ref="N630:N631"/>
    <mergeCell ref="O630:O631"/>
    <mergeCell ref="L624:L625"/>
    <mergeCell ref="N624:N625"/>
    <mergeCell ref="O624:O625"/>
    <mergeCell ref="L626:L627"/>
    <mergeCell ref="N626:N627"/>
    <mergeCell ref="O626:O627"/>
    <mergeCell ref="M624:M625"/>
    <mergeCell ref="M626:M627"/>
    <mergeCell ref="M628:M629"/>
    <mergeCell ref="M630:M631"/>
    <mergeCell ref="L644:L645"/>
    <mergeCell ref="N644:N645"/>
    <mergeCell ref="O644:O645"/>
    <mergeCell ref="L646:L647"/>
    <mergeCell ref="N646:N647"/>
    <mergeCell ref="O646:O647"/>
    <mergeCell ref="L640:L641"/>
    <mergeCell ref="N640:N641"/>
    <mergeCell ref="O640:O641"/>
    <mergeCell ref="L642:L643"/>
    <mergeCell ref="N642:N643"/>
    <mergeCell ref="O642:O643"/>
    <mergeCell ref="M640:M641"/>
    <mergeCell ref="M642:M643"/>
    <mergeCell ref="M644:M645"/>
    <mergeCell ref="M646:M647"/>
    <mergeCell ref="L636:L637"/>
    <mergeCell ref="N636:N637"/>
    <mergeCell ref="O636:O637"/>
    <mergeCell ref="L638:L639"/>
    <mergeCell ref="N638:N639"/>
    <mergeCell ref="O638:O639"/>
    <mergeCell ref="L656:L657"/>
    <mergeCell ref="N656:N657"/>
    <mergeCell ref="O656:O657"/>
    <mergeCell ref="L658:L659"/>
    <mergeCell ref="N658:N659"/>
    <mergeCell ref="O658:O659"/>
    <mergeCell ref="M656:M657"/>
    <mergeCell ref="M658:M659"/>
    <mergeCell ref="M660:M661"/>
    <mergeCell ref="M662:M663"/>
    <mergeCell ref="L652:L653"/>
    <mergeCell ref="N652:N653"/>
    <mergeCell ref="O652:O653"/>
    <mergeCell ref="L654:L655"/>
    <mergeCell ref="N654:N655"/>
    <mergeCell ref="O654:O655"/>
    <mergeCell ref="L648:L649"/>
    <mergeCell ref="N648:N649"/>
    <mergeCell ref="O648:O649"/>
    <mergeCell ref="L650:L651"/>
    <mergeCell ref="N650:N651"/>
    <mergeCell ref="O650:O651"/>
    <mergeCell ref="M648:M649"/>
    <mergeCell ref="M650:M651"/>
    <mergeCell ref="M652:M653"/>
    <mergeCell ref="M654:M655"/>
    <mergeCell ref="L668:L669"/>
    <mergeCell ref="N668:N669"/>
    <mergeCell ref="O668:O669"/>
    <mergeCell ref="L670:L671"/>
    <mergeCell ref="N670:N671"/>
    <mergeCell ref="O670:O671"/>
    <mergeCell ref="L664:L665"/>
    <mergeCell ref="N664:N665"/>
    <mergeCell ref="O664:O665"/>
    <mergeCell ref="L666:L667"/>
    <mergeCell ref="N666:N667"/>
    <mergeCell ref="O666:O667"/>
    <mergeCell ref="M664:M665"/>
    <mergeCell ref="M666:M667"/>
    <mergeCell ref="M668:M669"/>
    <mergeCell ref="M670:M671"/>
    <mergeCell ref="L660:L661"/>
    <mergeCell ref="N660:N661"/>
    <mergeCell ref="O660:O661"/>
    <mergeCell ref="L662:L663"/>
    <mergeCell ref="N662:N663"/>
    <mergeCell ref="O662:O663"/>
    <mergeCell ref="L676:L677"/>
    <mergeCell ref="N676:N677"/>
    <mergeCell ref="O676:O677"/>
    <mergeCell ref="L678:L679"/>
    <mergeCell ref="N678:N679"/>
    <mergeCell ref="O678:O679"/>
    <mergeCell ref="L672:L673"/>
    <mergeCell ref="N672:N673"/>
    <mergeCell ref="O672:O673"/>
    <mergeCell ref="L674:L675"/>
    <mergeCell ref="N674:N675"/>
    <mergeCell ref="O674:O675"/>
    <mergeCell ref="M672:M673"/>
    <mergeCell ref="M674:M675"/>
    <mergeCell ref="M676:M677"/>
    <mergeCell ref="M678:M679"/>
    <mergeCell ref="L680:L681"/>
    <mergeCell ref="N680:N681"/>
    <mergeCell ref="O680:O681"/>
    <mergeCell ref="L682:L683"/>
    <mergeCell ref="N682:N683"/>
    <mergeCell ref="O682:O683"/>
    <mergeCell ref="M680:M681"/>
    <mergeCell ref="M682:M683"/>
    <mergeCell ref="M684:M685"/>
    <mergeCell ref="N684:N685"/>
    <mergeCell ref="N686:N687"/>
    <mergeCell ref="N688:N689"/>
    <mergeCell ref="N690:N691"/>
    <mergeCell ref="N692:N693"/>
    <mergeCell ref="N694:N695"/>
    <mergeCell ref="N696:N697"/>
    <mergeCell ref="N698:N699"/>
    <mergeCell ref="M750:M751"/>
    <mergeCell ref="M752:M753"/>
    <mergeCell ref="M754:M755"/>
    <mergeCell ref="M700:M701"/>
    <mergeCell ref="M702:M703"/>
    <mergeCell ref="M704:M705"/>
    <mergeCell ref="M742:M743"/>
    <mergeCell ref="M744:M745"/>
    <mergeCell ref="M746:M747"/>
    <mergeCell ref="M748:M749"/>
    <mergeCell ref="M732:M733"/>
    <mergeCell ref="M734:M735"/>
    <mergeCell ref="M736:M737"/>
    <mergeCell ref="M738:M739"/>
    <mergeCell ref="M714:M715"/>
    <mergeCell ref="M716:M717"/>
    <mergeCell ref="M718:M719"/>
    <mergeCell ref="M720:M721"/>
    <mergeCell ref="M786:M787"/>
    <mergeCell ref="M788:M789"/>
    <mergeCell ref="M774:M775"/>
    <mergeCell ref="M776:M777"/>
    <mergeCell ref="M778:M779"/>
    <mergeCell ref="M780:M781"/>
    <mergeCell ref="M766:M767"/>
    <mergeCell ref="M768:M769"/>
    <mergeCell ref="M770:M771"/>
    <mergeCell ref="M772:M773"/>
    <mergeCell ref="M758:M759"/>
    <mergeCell ref="M760:M761"/>
    <mergeCell ref="M762:M763"/>
    <mergeCell ref="M764:M765"/>
    <mergeCell ref="M830:M831"/>
    <mergeCell ref="M832:M833"/>
    <mergeCell ref="M834:M835"/>
    <mergeCell ref="M836:M837"/>
    <mergeCell ref="M822:M823"/>
    <mergeCell ref="M824:M825"/>
    <mergeCell ref="M826:M827"/>
    <mergeCell ref="M828:M829"/>
    <mergeCell ref="M814:M815"/>
    <mergeCell ref="M816:M817"/>
    <mergeCell ref="M818:M819"/>
    <mergeCell ref="M820:M821"/>
    <mergeCell ref="M806:M807"/>
    <mergeCell ref="M808:M809"/>
    <mergeCell ref="M810:M811"/>
    <mergeCell ref="M812:M813"/>
    <mergeCell ref="M798:M799"/>
    <mergeCell ref="M800:M801"/>
    <mergeCell ref="M802:M803"/>
    <mergeCell ref="M804:M805"/>
    <mergeCell ref="M854:M855"/>
    <mergeCell ref="M856:M857"/>
    <mergeCell ref="M858:M859"/>
    <mergeCell ref="M860:M861"/>
    <mergeCell ref="M846:M847"/>
    <mergeCell ref="M848:M849"/>
    <mergeCell ref="M850:M851"/>
    <mergeCell ref="M852:M853"/>
    <mergeCell ref="M838:M839"/>
    <mergeCell ref="M840:M841"/>
    <mergeCell ref="M842:M843"/>
    <mergeCell ref="M844:M845"/>
    <mergeCell ref="M878:M879"/>
    <mergeCell ref="M880:M881"/>
    <mergeCell ref="M882:M883"/>
    <mergeCell ref="M884:M885"/>
    <mergeCell ref="M870:M871"/>
    <mergeCell ref="M872:M873"/>
    <mergeCell ref="M874:M875"/>
    <mergeCell ref="M876:M877"/>
    <mergeCell ref="M862:M863"/>
    <mergeCell ref="M864:M865"/>
    <mergeCell ref="M866:M867"/>
    <mergeCell ref="M868:M869"/>
    <mergeCell ref="L420:L425"/>
    <mergeCell ref="M420:M425"/>
    <mergeCell ref="N420:N425"/>
    <mergeCell ref="O376:O385"/>
    <mergeCell ref="O414:O419"/>
    <mergeCell ref="O420:O425"/>
    <mergeCell ref="O394:O403"/>
    <mergeCell ref="O404:O413"/>
    <mergeCell ref="L376:L385"/>
    <mergeCell ref="M376:M385"/>
    <mergeCell ref="N376:N385"/>
    <mergeCell ref="L386:L389"/>
    <mergeCell ref="M386:M389"/>
    <mergeCell ref="N386:N389"/>
    <mergeCell ref="L390:L393"/>
    <mergeCell ref="M390:M393"/>
    <mergeCell ref="N390:N393"/>
    <mergeCell ref="L394:L403"/>
    <mergeCell ref="M394:M403"/>
    <mergeCell ref="N394:N403"/>
    <mergeCell ref="L404:L413"/>
    <mergeCell ref="M404:M413"/>
    <mergeCell ref="N404:N413"/>
    <mergeCell ref="L414:L419"/>
    <mergeCell ref="M414:M419"/>
    <mergeCell ref="N414:N419"/>
    <mergeCell ref="N726:N727"/>
    <mergeCell ref="N728:N729"/>
    <mergeCell ref="N730:N731"/>
    <mergeCell ref="N732:N733"/>
    <mergeCell ref="N734:N735"/>
    <mergeCell ref="N736:N737"/>
    <mergeCell ref="N738:N739"/>
    <mergeCell ref="N740:N741"/>
    <mergeCell ref="N742:N743"/>
    <mergeCell ref="N708:N709"/>
    <mergeCell ref="N710:N711"/>
    <mergeCell ref="N712:N713"/>
    <mergeCell ref="N714:N715"/>
    <mergeCell ref="N716:N717"/>
    <mergeCell ref="N718:N719"/>
    <mergeCell ref="N720:N721"/>
    <mergeCell ref="N722:N723"/>
    <mergeCell ref="N724:N725"/>
    <mergeCell ref="N762:N763"/>
    <mergeCell ref="N764:N765"/>
    <mergeCell ref="N766:N767"/>
    <mergeCell ref="N768:N769"/>
    <mergeCell ref="N770:N771"/>
    <mergeCell ref="N772:N773"/>
    <mergeCell ref="N774:N775"/>
    <mergeCell ref="N776:N777"/>
    <mergeCell ref="N778:N779"/>
    <mergeCell ref="N744:N745"/>
    <mergeCell ref="N746:N747"/>
    <mergeCell ref="N748:N749"/>
    <mergeCell ref="N750:N751"/>
    <mergeCell ref="N752:N753"/>
    <mergeCell ref="N754:N755"/>
    <mergeCell ref="N756:N757"/>
    <mergeCell ref="N758:N759"/>
    <mergeCell ref="N760:N761"/>
    <mergeCell ref="N798:N799"/>
    <mergeCell ref="N800:N801"/>
    <mergeCell ref="N802:N803"/>
    <mergeCell ref="N804:N805"/>
    <mergeCell ref="N806:N807"/>
    <mergeCell ref="N808:N809"/>
    <mergeCell ref="N810:N811"/>
    <mergeCell ref="N812:N813"/>
    <mergeCell ref="N814:N815"/>
    <mergeCell ref="N780:N781"/>
    <mergeCell ref="N782:N783"/>
    <mergeCell ref="N784:N785"/>
    <mergeCell ref="N786:N787"/>
    <mergeCell ref="N788:N789"/>
    <mergeCell ref="N790:N791"/>
    <mergeCell ref="N792:N793"/>
    <mergeCell ref="N794:N795"/>
    <mergeCell ref="N796:N797"/>
    <mergeCell ref="N834:N835"/>
    <mergeCell ref="N836:N837"/>
    <mergeCell ref="N838:N839"/>
    <mergeCell ref="N840:N841"/>
    <mergeCell ref="N842:N843"/>
    <mergeCell ref="N844:N845"/>
    <mergeCell ref="N846:N847"/>
    <mergeCell ref="N848:N849"/>
    <mergeCell ref="N850:N851"/>
    <mergeCell ref="N816:N817"/>
    <mergeCell ref="N818:N819"/>
    <mergeCell ref="N820:N821"/>
    <mergeCell ref="N822:N823"/>
    <mergeCell ref="N824:N825"/>
    <mergeCell ref="N826:N827"/>
    <mergeCell ref="N828:N829"/>
    <mergeCell ref="N830:N831"/>
    <mergeCell ref="N832:N833"/>
    <mergeCell ref="N870:N871"/>
    <mergeCell ref="N872:N873"/>
    <mergeCell ref="N874:N875"/>
    <mergeCell ref="N876:N877"/>
    <mergeCell ref="N878:N879"/>
    <mergeCell ref="N880:N881"/>
    <mergeCell ref="N882:N883"/>
    <mergeCell ref="N884:N885"/>
    <mergeCell ref="N886:N887"/>
    <mergeCell ref="N852:N853"/>
    <mergeCell ref="N854:N855"/>
    <mergeCell ref="N856:N857"/>
    <mergeCell ref="N858:N859"/>
    <mergeCell ref="N860:N861"/>
    <mergeCell ref="N862:N863"/>
    <mergeCell ref="N864:N865"/>
    <mergeCell ref="N866:N867"/>
    <mergeCell ref="N868:N869"/>
    <mergeCell ref="N906:N907"/>
    <mergeCell ref="N908:N909"/>
    <mergeCell ref="N910:N911"/>
    <mergeCell ref="N912:N913"/>
    <mergeCell ref="N914:N915"/>
    <mergeCell ref="N916:N917"/>
    <mergeCell ref="N918:N919"/>
    <mergeCell ref="N920:N921"/>
    <mergeCell ref="N922:N923"/>
    <mergeCell ref="N888:N889"/>
    <mergeCell ref="N890:N891"/>
    <mergeCell ref="N892:N893"/>
    <mergeCell ref="N894:N895"/>
    <mergeCell ref="N896:N897"/>
    <mergeCell ref="N898:N899"/>
    <mergeCell ref="N900:N901"/>
    <mergeCell ref="N902:N903"/>
    <mergeCell ref="N904:N905"/>
    <mergeCell ref="N942:N943"/>
    <mergeCell ref="N944:N945"/>
    <mergeCell ref="N946:N947"/>
    <mergeCell ref="M948:M949"/>
    <mergeCell ref="N948:N949"/>
    <mergeCell ref="M950:M951"/>
    <mergeCell ref="N950:N951"/>
    <mergeCell ref="M952:M953"/>
    <mergeCell ref="N952:N953"/>
    <mergeCell ref="N924:N925"/>
    <mergeCell ref="N926:N927"/>
    <mergeCell ref="N928:N929"/>
    <mergeCell ref="N930:N931"/>
    <mergeCell ref="N932:N933"/>
    <mergeCell ref="N934:N935"/>
    <mergeCell ref="N936:N937"/>
    <mergeCell ref="N938:N939"/>
    <mergeCell ref="N940:N941"/>
    <mergeCell ref="M964:M965"/>
    <mergeCell ref="N964:N965"/>
    <mergeCell ref="M966:M967"/>
    <mergeCell ref="N966:N967"/>
    <mergeCell ref="M968:M969"/>
    <mergeCell ref="N968:N969"/>
    <mergeCell ref="M970:M971"/>
    <mergeCell ref="N970:N971"/>
    <mergeCell ref="M972:M973"/>
    <mergeCell ref="N972:N973"/>
    <mergeCell ref="M954:M955"/>
    <mergeCell ref="N954:N955"/>
    <mergeCell ref="M956:M957"/>
    <mergeCell ref="N956:N957"/>
    <mergeCell ref="M958:M959"/>
    <mergeCell ref="N958:N959"/>
    <mergeCell ref="M960:M961"/>
    <mergeCell ref="N960:N961"/>
    <mergeCell ref="M962:M963"/>
    <mergeCell ref="N962:N963"/>
    <mergeCell ref="M984:M985"/>
    <mergeCell ref="N984:N985"/>
    <mergeCell ref="M986:M987"/>
    <mergeCell ref="N986:N987"/>
    <mergeCell ref="M988:M989"/>
    <mergeCell ref="N988:N989"/>
    <mergeCell ref="M990:M991"/>
    <mergeCell ref="N990:N991"/>
    <mergeCell ref="M992:M993"/>
    <mergeCell ref="N992:N993"/>
    <mergeCell ref="M974:M975"/>
    <mergeCell ref="N974:N975"/>
    <mergeCell ref="M976:M977"/>
    <mergeCell ref="N976:N977"/>
    <mergeCell ref="M978:M979"/>
    <mergeCell ref="N978:N979"/>
    <mergeCell ref="M980:M981"/>
    <mergeCell ref="N980:N981"/>
    <mergeCell ref="M982:M983"/>
    <mergeCell ref="N982:N983"/>
    <mergeCell ref="M1004:M1005"/>
    <mergeCell ref="N1004:N1005"/>
    <mergeCell ref="M1006:M1007"/>
    <mergeCell ref="N1006:N1007"/>
    <mergeCell ref="M1008:M1009"/>
    <mergeCell ref="N1008:N1009"/>
    <mergeCell ref="M1010:M1011"/>
    <mergeCell ref="N1010:N1011"/>
    <mergeCell ref="M1012:M1013"/>
    <mergeCell ref="N1012:N1013"/>
    <mergeCell ref="M994:M995"/>
    <mergeCell ref="N994:N995"/>
    <mergeCell ref="M996:M997"/>
    <mergeCell ref="N996:N997"/>
    <mergeCell ref="M998:M999"/>
    <mergeCell ref="N998:N999"/>
    <mergeCell ref="M1000:M1001"/>
    <mergeCell ref="N1000:N1001"/>
    <mergeCell ref="M1002:M1003"/>
    <mergeCell ref="N1002:N1003"/>
    <mergeCell ref="M1024:M1025"/>
    <mergeCell ref="N1024:N1025"/>
    <mergeCell ref="M1026:M1027"/>
    <mergeCell ref="N1026:N1027"/>
    <mergeCell ref="M1028:M1029"/>
    <mergeCell ref="N1028:N1029"/>
    <mergeCell ref="M1030:M1031"/>
    <mergeCell ref="N1030:N1031"/>
    <mergeCell ref="M1032:M1033"/>
    <mergeCell ref="N1032:N1033"/>
    <mergeCell ref="M1014:M1015"/>
    <mergeCell ref="N1014:N1015"/>
    <mergeCell ref="M1016:M1017"/>
    <mergeCell ref="N1016:N1017"/>
    <mergeCell ref="M1018:M1019"/>
    <mergeCell ref="N1018:N1019"/>
    <mergeCell ref="M1020:M1021"/>
    <mergeCell ref="N1020:N1021"/>
    <mergeCell ref="M1022:M1023"/>
    <mergeCell ref="N1022:N1023"/>
    <mergeCell ref="M1044:M1045"/>
    <mergeCell ref="N1044:N1045"/>
    <mergeCell ref="M1046:M1047"/>
    <mergeCell ref="N1046:N1047"/>
    <mergeCell ref="M1048:M1049"/>
    <mergeCell ref="N1048:N1049"/>
    <mergeCell ref="M1050:M1051"/>
    <mergeCell ref="N1050:N1051"/>
    <mergeCell ref="M1052:M1053"/>
    <mergeCell ref="N1052:N1053"/>
    <mergeCell ref="M1034:M1035"/>
    <mergeCell ref="N1034:N1035"/>
    <mergeCell ref="M1036:M1037"/>
    <mergeCell ref="N1036:N1037"/>
    <mergeCell ref="M1038:M1039"/>
    <mergeCell ref="N1038:N1039"/>
    <mergeCell ref="M1040:M1041"/>
    <mergeCell ref="N1040:N1041"/>
    <mergeCell ref="M1042:M1043"/>
    <mergeCell ref="N1042:N1043"/>
    <mergeCell ref="M1082:M1083"/>
    <mergeCell ref="N1082:N1083"/>
    <mergeCell ref="M1064:M1065"/>
    <mergeCell ref="N1064:N1065"/>
    <mergeCell ref="M1066:M1067"/>
    <mergeCell ref="N1066:N1067"/>
    <mergeCell ref="M1068:M1069"/>
    <mergeCell ref="N1068:N1069"/>
    <mergeCell ref="M1070:M1071"/>
    <mergeCell ref="N1070:N1071"/>
    <mergeCell ref="M1072:M1073"/>
    <mergeCell ref="N1072:N1073"/>
    <mergeCell ref="M1054:M1055"/>
    <mergeCell ref="N1054:N1055"/>
    <mergeCell ref="M1056:M1057"/>
    <mergeCell ref="N1056:N1057"/>
    <mergeCell ref="M1058:M1059"/>
    <mergeCell ref="N1058:N1059"/>
    <mergeCell ref="M1060:M1061"/>
    <mergeCell ref="N1060:N1061"/>
    <mergeCell ref="M1062:M1063"/>
    <mergeCell ref="N1062:N1063"/>
    <mergeCell ref="M1084:M1085"/>
    <mergeCell ref="N1084:N1085"/>
    <mergeCell ref="M1086:M1087"/>
    <mergeCell ref="N1086:N1087"/>
    <mergeCell ref="L684:L685"/>
    <mergeCell ref="L686:L687"/>
    <mergeCell ref="L688:L689"/>
    <mergeCell ref="L690:L691"/>
    <mergeCell ref="L692:L693"/>
    <mergeCell ref="L694:L695"/>
    <mergeCell ref="L696:L697"/>
    <mergeCell ref="L698:L699"/>
    <mergeCell ref="L700:L701"/>
    <mergeCell ref="L702:L703"/>
    <mergeCell ref="L704:L705"/>
    <mergeCell ref="L706:L707"/>
    <mergeCell ref="L708:L709"/>
    <mergeCell ref="L710:L711"/>
    <mergeCell ref="L712:L713"/>
    <mergeCell ref="L714:L715"/>
    <mergeCell ref="L716:L717"/>
    <mergeCell ref="L718:L719"/>
    <mergeCell ref="L720:L721"/>
    <mergeCell ref="L722:L723"/>
    <mergeCell ref="M1074:M1075"/>
    <mergeCell ref="N1074:N1075"/>
    <mergeCell ref="M1076:M1077"/>
    <mergeCell ref="N1076:N1077"/>
    <mergeCell ref="M1078:M1079"/>
    <mergeCell ref="N1078:N1079"/>
    <mergeCell ref="M1080:M1081"/>
    <mergeCell ref="N1080:N1081"/>
    <mergeCell ref="L742:L743"/>
    <mergeCell ref="L744:L745"/>
    <mergeCell ref="L746:L747"/>
    <mergeCell ref="L748:L749"/>
    <mergeCell ref="L750:L751"/>
    <mergeCell ref="L752:L753"/>
    <mergeCell ref="L754:L755"/>
    <mergeCell ref="L756:L757"/>
    <mergeCell ref="L758:L759"/>
    <mergeCell ref="L724:L725"/>
    <mergeCell ref="L726:L727"/>
    <mergeCell ref="L728:L729"/>
    <mergeCell ref="L730:L731"/>
    <mergeCell ref="L732:L733"/>
    <mergeCell ref="L734:L735"/>
    <mergeCell ref="L736:L737"/>
    <mergeCell ref="L738:L739"/>
    <mergeCell ref="L740:L741"/>
    <mergeCell ref="L778:L779"/>
    <mergeCell ref="L780:L781"/>
    <mergeCell ref="L782:L783"/>
    <mergeCell ref="L784:L785"/>
    <mergeCell ref="L786:L787"/>
    <mergeCell ref="L788:L789"/>
    <mergeCell ref="L790:L791"/>
    <mergeCell ref="L792:L793"/>
    <mergeCell ref="L794:L795"/>
    <mergeCell ref="L760:L761"/>
    <mergeCell ref="L762:L763"/>
    <mergeCell ref="L764:L765"/>
    <mergeCell ref="L766:L767"/>
    <mergeCell ref="L768:L769"/>
    <mergeCell ref="L770:L771"/>
    <mergeCell ref="L772:L773"/>
    <mergeCell ref="L774:L775"/>
    <mergeCell ref="L776:L777"/>
    <mergeCell ref="L814:L815"/>
    <mergeCell ref="L816:L817"/>
    <mergeCell ref="L818:L819"/>
    <mergeCell ref="L820:L821"/>
    <mergeCell ref="L822:L823"/>
    <mergeCell ref="L824:L825"/>
    <mergeCell ref="L826:L827"/>
    <mergeCell ref="L828:L829"/>
    <mergeCell ref="L830:L831"/>
    <mergeCell ref="L796:L797"/>
    <mergeCell ref="L798:L799"/>
    <mergeCell ref="L800:L801"/>
    <mergeCell ref="L802:L803"/>
    <mergeCell ref="L804:L805"/>
    <mergeCell ref="L806:L807"/>
    <mergeCell ref="L808:L809"/>
    <mergeCell ref="L810:L811"/>
    <mergeCell ref="L812:L813"/>
    <mergeCell ref="L850:L851"/>
    <mergeCell ref="L852:L853"/>
    <mergeCell ref="L854:L855"/>
    <mergeCell ref="L856:L857"/>
    <mergeCell ref="L858:L859"/>
    <mergeCell ref="L860:L861"/>
    <mergeCell ref="L862:L863"/>
    <mergeCell ref="L864:L865"/>
    <mergeCell ref="L866:L867"/>
    <mergeCell ref="L832:L833"/>
    <mergeCell ref="L834:L835"/>
    <mergeCell ref="L836:L837"/>
    <mergeCell ref="L838:L839"/>
    <mergeCell ref="L840:L841"/>
    <mergeCell ref="L842:L843"/>
    <mergeCell ref="L844:L845"/>
    <mergeCell ref="L846:L847"/>
    <mergeCell ref="L848:L849"/>
    <mergeCell ref="L886:L887"/>
    <mergeCell ref="L888:L889"/>
    <mergeCell ref="L890:L891"/>
    <mergeCell ref="L892:L893"/>
    <mergeCell ref="L894:L895"/>
    <mergeCell ref="L896:L897"/>
    <mergeCell ref="L898:L899"/>
    <mergeCell ref="L900:L901"/>
    <mergeCell ref="L902:L903"/>
    <mergeCell ref="L868:L869"/>
    <mergeCell ref="L870:L871"/>
    <mergeCell ref="L872:L873"/>
    <mergeCell ref="L874:L875"/>
    <mergeCell ref="L876:L877"/>
    <mergeCell ref="L878:L879"/>
    <mergeCell ref="L880:L881"/>
    <mergeCell ref="L882:L883"/>
    <mergeCell ref="L884:L885"/>
    <mergeCell ref="L922:L923"/>
    <mergeCell ref="L924:L925"/>
    <mergeCell ref="L926:L927"/>
    <mergeCell ref="L928:L929"/>
    <mergeCell ref="L930:L931"/>
    <mergeCell ref="L932:L933"/>
    <mergeCell ref="L934:L935"/>
    <mergeCell ref="L936:L937"/>
    <mergeCell ref="L938:L939"/>
    <mergeCell ref="L904:L905"/>
    <mergeCell ref="L906:L907"/>
    <mergeCell ref="L908:L909"/>
    <mergeCell ref="L910:L911"/>
    <mergeCell ref="L912:L913"/>
    <mergeCell ref="L914:L915"/>
    <mergeCell ref="L916:L917"/>
    <mergeCell ref="L918:L919"/>
    <mergeCell ref="L920:L921"/>
    <mergeCell ref="L958:L959"/>
    <mergeCell ref="L960:L961"/>
    <mergeCell ref="L962:L963"/>
    <mergeCell ref="L964:L965"/>
    <mergeCell ref="L966:L967"/>
    <mergeCell ref="L968:L969"/>
    <mergeCell ref="L970:L971"/>
    <mergeCell ref="L972:L973"/>
    <mergeCell ref="L974:L975"/>
    <mergeCell ref="L940:L941"/>
    <mergeCell ref="L942:L943"/>
    <mergeCell ref="L944:L945"/>
    <mergeCell ref="L946:L947"/>
    <mergeCell ref="L948:L949"/>
    <mergeCell ref="L950:L951"/>
    <mergeCell ref="L952:L953"/>
    <mergeCell ref="L954:L955"/>
    <mergeCell ref="L956:L957"/>
    <mergeCell ref="L994:L995"/>
    <mergeCell ref="L996:L997"/>
    <mergeCell ref="L998:L999"/>
    <mergeCell ref="L1000:L1001"/>
    <mergeCell ref="L1002:L1003"/>
    <mergeCell ref="L1004:L1005"/>
    <mergeCell ref="L1006:L1007"/>
    <mergeCell ref="L1008:L1009"/>
    <mergeCell ref="L1010:L1011"/>
    <mergeCell ref="L976:L977"/>
    <mergeCell ref="L978:L979"/>
    <mergeCell ref="L980:L981"/>
    <mergeCell ref="L982:L983"/>
    <mergeCell ref="L984:L985"/>
    <mergeCell ref="L986:L987"/>
    <mergeCell ref="L988:L989"/>
    <mergeCell ref="L990:L991"/>
    <mergeCell ref="L992:L993"/>
    <mergeCell ref="L1030:L1031"/>
    <mergeCell ref="L1032:L1033"/>
    <mergeCell ref="L1034:L1035"/>
    <mergeCell ref="L1036:L1037"/>
    <mergeCell ref="L1038:L1039"/>
    <mergeCell ref="L1040:L1041"/>
    <mergeCell ref="L1042:L1043"/>
    <mergeCell ref="L1044:L1045"/>
    <mergeCell ref="L1046:L1047"/>
    <mergeCell ref="L1012:L1013"/>
    <mergeCell ref="L1014:L1015"/>
    <mergeCell ref="L1016:L1017"/>
    <mergeCell ref="L1018:L1019"/>
    <mergeCell ref="L1020:L1021"/>
    <mergeCell ref="L1022:L1023"/>
    <mergeCell ref="L1024:L1025"/>
    <mergeCell ref="L1026:L1027"/>
    <mergeCell ref="L1028:L1029"/>
    <mergeCell ref="L1086:L1087"/>
    <mergeCell ref="L1066:L1067"/>
    <mergeCell ref="L1068:L1069"/>
    <mergeCell ref="L1070:L1071"/>
    <mergeCell ref="L1072:L1073"/>
    <mergeCell ref="L1074:L1075"/>
    <mergeCell ref="L1076:L1077"/>
    <mergeCell ref="L1078:L1079"/>
    <mergeCell ref="L1080:L1081"/>
    <mergeCell ref="L1082:L1083"/>
    <mergeCell ref="L1048:L1049"/>
    <mergeCell ref="L1050:L1051"/>
    <mergeCell ref="L1052:L1053"/>
    <mergeCell ref="L1054:L1055"/>
    <mergeCell ref="L1056:L1057"/>
    <mergeCell ref="L1058:L1059"/>
    <mergeCell ref="L1060:L1061"/>
    <mergeCell ref="L1062:L1063"/>
    <mergeCell ref="L1064:L1065"/>
    <mergeCell ref="L1090:L1091"/>
    <mergeCell ref="M1090:M1091"/>
    <mergeCell ref="N1090:N1091"/>
    <mergeCell ref="L1092:L1093"/>
    <mergeCell ref="M1092:M1093"/>
    <mergeCell ref="N1092:N1093"/>
    <mergeCell ref="L1094:L1095"/>
    <mergeCell ref="M1094:M1095"/>
    <mergeCell ref="N1094:N1095"/>
    <mergeCell ref="L1096:L1097"/>
    <mergeCell ref="M1096:M1097"/>
    <mergeCell ref="N1096:N1097"/>
    <mergeCell ref="L426:L431"/>
    <mergeCell ref="M426:M431"/>
    <mergeCell ref="N426:N431"/>
    <mergeCell ref="O426:O431"/>
    <mergeCell ref="L432:L445"/>
    <mergeCell ref="M432:M445"/>
    <mergeCell ref="N432:N445"/>
    <mergeCell ref="O432:O445"/>
    <mergeCell ref="L446:L457"/>
    <mergeCell ref="M446:M457"/>
    <mergeCell ref="N446:N457"/>
    <mergeCell ref="O446:O457"/>
    <mergeCell ref="L458:L467"/>
    <mergeCell ref="M458:M467"/>
    <mergeCell ref="N458:N467"/>
    <mergeCell ref="O458:O467"/>
    <mergeCell ref="L1088:L1089"/>
    <mergeCell ref="M1088:M1089"/>
    <mergeCell ref="N1088:N1089"/>
    <mergeCell ref="L1084:L1085"/>
  </mergeCells>
  <conditionalFormatting sqref="N468:O947 N470:N1097">
    <cfRule type="cellIs" dxfId="13" priority="15" operator="lessThan">
      <formula>0</formula>
    </cfRule>
  </conditionalFormatting>
  <conditionalFormatting sqref="O468:O947">
    <cfRule type="cellIs" dxfId="12" priority="14" operator="greaterThan">
      <formula>1</formula>
    </cfRule>
  </conditionalFormatting>
  <pageMargins left="0.7" right="0.7" top="0.75" bottom="0.75" header="0.3" footer="0.3"/>
  <pageSetup paperSize="9" orientation="portrait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B2:E31"/>
  <sheetViews>
    <sheetView zoomScaleNormal="100" workbookViewId="0">
      <selection activeCell="D11" sqref="D11"/>
    </sheetView>
  </sheetViews>
  <sheetFormatPr baseColWidth="10" defaultColWidth="11.5703125" defaultRowHeight="15"/>
  <cols>
    <col min="1" max="1" width="11.5703125" style="423"/>
    <col min="2" max="2" width="106" style="423" customWidth="1"/>
    <col min="3" max="3" width="16.7109375" style="423" customWidth="1"/>
    <col min="4" max="4" width="14.7109375" style="423" customWidth="1"/>
    <col min="5" max="5" width="16" style="423" customWidth="1"/>
    <col min="6" max="16384" width="11.5703125" style="423"/>
  </cols>
  <sheetData>
    <row r="2" spans="2:5" ht="22.15" customHeight="1"/>
    <row r="3" spans="2:5" ht="18.75">
      <c r="B3" s="821" t="s">
        <v>560</v>
      </c>
      <c r="C3" s="821"/>
      <c r="D3" s="821"/>
      <c r="E3" s="821"/>
    </row>
    <row r="4" spans="2:5" s="424" customFormat="1"/>
    <row r="7" spans="2:5">
      <c r="B7" s="430" t="s">
        <v>511</v>
      </c>
      <c r="C7" s="429" t="s">
        <v>87</v>
      </c>
      <c r="D7" s="429" t="s">
        <v>503</v>
      </c>
      <c r="E7" s="429" t="s">
        <v>305</v>
      </c>
    </row>
    <row r="8" spans="2:5">
      <c r="B8" s="428" t="s">
        <v>525</v>
      </c>
      <c r="C8" s="431">
        <v>0</v>
      </c>
      <c r="D8" s="460">
        <v>1170.81</v>
      </c>
      <c r="E8" s="460">
        <v>1170.81</v>
      </c>
    </row>
    <row r="9" spans="2:5">
      <c r="B9" s="428" t="s">
        <v>561</v>
      </c>
      <c r="C9" s="431"/>
      <c r="D9" s="460">
        <v>206.714</v>
      </c>
      <c r="E9" s="460">
        <v>146.35899999999998</v>
      </c>
    </row>
    <row r="10" spans="2:5">
      <c r="B10" s="426" t="s">
        <v>305</v>
      </c>
      <c r="C10" s="427">
        <f>SUM(C8:C9)</f>
        <v>0</v>
      </c>
      <c r="D10" s="427">
        <f>SUM(D8:D9)</f>
        <v>1377.5239999999999</v>
      </c>
      <c r="E10" s="427">
        <f>SUM(E8:E9)</f>
        <v>1317.1689999999999</v>
      </c>
    </row>
    <row r="11" spans="2:5" ht="9" customHeight="1"/>
    <row r="12" spans="2:5" hidden="1"/>
    <row r="14" spans="2:5" ht="18.75">
      <c r="B14" s="821" t="s">
        <v>524</v>
      </c>
      <c r="C14" s="821"/>
      <c r="D14" s="821"/>
      <c r="E14" s="821"/>
    </row>
    <row r="16" spans="2:5">
      <c r="B16" s="551" t="s">
        <v>511</v>
      </c>
      <c r="C16" s="552" t="s">
        <v>87</v>
      </c>
      <c r="D16" s="552" t="s">
        <v>503</v>
      </c>
      <c r="E16" s="429" t="s">
        <v>305</v>
      </c>
    </row>
    <row r="17" spans="2:5">
      <c r="B17" s="461" t="s">
        <v>512</v>
      </c>
      <c r="C17" s="553">
        <v>14.493</v>
      </c>
      <c r="D17" s="554">
        <v>57.972000000000001</v>
      </c>
      <c r="E17" s="425">
        <f>SUM(C17:D17)</f>
        <v>72.465000000000003</v>
      </c>
    </row>
    <row r="18" spans="2:5">
      <c r="B18" s="461" t="s">
        <v>513</v>
      </c>
      <c r="C18" s="553"/>
      <c r="D18" s="554">
        <v>613.18900000000008</v>
      </c>
      <c r="E18" s="425">
        <f t="shared" ref="E18:E30" si="0">SUM(C18:D18)</f>
        <v>613.18900000000008</v>
      </c>
    </row>
    <row r="19" spans="2:5">
      <c r="B19" s="461" t="s">
        <v>514</v>
      </c>
      <c r="C19" s="553">
        <v>222.40300000000002</v>
      </c>
      <c r="D19" s="554"/>
      <c r="E19" s="425">
        <f t="shared" si="0"/>
        <v>222.40300000000002</v>
      </c>
    </row>
    <row r="20" spans="2:5">
      <c r="B20" s="461" t="s">
        <v>515</v>
      </c>
      <c r="C20" s="553"/>
      <c r="D20" s="554">
        <v>8965.4060000000063</v>
      </c>
      <c r="E20" s="425">
        <f t="shared" si="0"/>
        <v>8965.4060000000063</v>
      </c>
    </row>
    <row r="21" spans="2:5">
      <c r="B21" s="461" t="s">
        <v>564</v>
      </c>
      <c r="C21" s="553"/>
      <c r="D21" s="554">
        <v>126.80500000000001</v>
      </c>
      <c r="E21" s="425">
        <f t="shared" si="0"/>
        <v>126.80500000000001</v>
      </c>
    </row>
    <row r="22" spans="2:5">
      <c r="B22" s="461" t="s">
        <v>516</v>
      </c>
      <c r="C22" s="553"/>
      <c r="D22" s="554">
        <v>266.05</v>
      </c>
      <c r="E22" s="425">
        <f t="shared" si="0"/>
        <v>266.05</v>
      </c>
    </row>
    <row r="23" spans="2:5">
      <c r="B23" s="461" t="s">
        <v>517</v>
      </c>
      <c r="C23" s="553">
        <v>68.736000000000004</v>
      </c>
      <c r="D23" s="554"/>
      <c r="E23" s="425">
        <f t="shared" si="0"/>
        <v>68.736000000000004</v>
      </c>
    </row>
    <row r="24" spans="2:5">
      <c r="B24" s="461" t="s">
        <v>518</v>
      </c>
      <c r="C24" s="553"/>
      <c r="D24" s="554">
        <v>723.64400000000001</v>
      </c>
      <c r="E24" s="425">
        <f t="shared" si="0"/>
        <v>723.64400000000001</v>
      </c>
    </row>
    <row r="25" spans="2:5">
      <c r="B25" s="461" t="s">
        <v>541</v>
      </c>
      <c r="C25" s="553"/>
      <c r="D25" s="554">
        <v>65.444999999999993</v>
      </c>
      <c r="E25" s="425">
        <f t="shared" si="0"/>
        <v>65.444999999999993</v>
      </c>
    </row>
    <row r="26" spans="2:5">
      <c r="B26" s="461" t="s">
        <v>519</v>
      </c>
      <c r="C26" s="553">
        <v>344.93700000000001</v>
      </c>
      <c r="D26" s="554"/>
      <c r="E26" s="425">
        <f t="shared" si="0"/>
        <v>344.93700000000001</v>
      </c>
    </row>
    <row r="27" spans="2:5">
      <c r="B27" s="461" t="s">
        <v>520</v>
      </c>
      <c r="C27" s="553"/>
      <c r="D27" s="554">
        <v>766.04099999999983</v>
      </c>
      <c r="E27" s="425">
        <f t="shared" si="0"/>
        <v>766.04099999999983</v>
      </c>
    </row>
    <row r="28" spans="2:5">
      <c r="B28" s="461" t="s">
        <v>521</v>
      </c>
      <c r="C28" s="553"/>
      <c r="D28" s="554">
        <v>532.1</v>
      </c>
      <c r="E28" s="425">
        <f t="shared" si="0"/>
        <v>532.1</v>
      </c>
    </row>
    <row r="29" spans="2:5">
      <c r="B29" s="461" t="s">
        <v>522</v>
      </c>
      <c r="C29" s="553">
        <v>295.64699999999999</v>
      </c>
      <c r="D29" s="554"/>
      <c r="E29" s="425">
        <f t="shared" si="0"/>
        <v>295.64699999999999</v>
      </c>
    </row>
    <row r="30" spans="2:5">
      <c r="B30" s="461" t="s">
        <v>523</v>
      </c>
      <c r="C30" s="553"/>
      <c r="D30" s="554">
        <v>533.65300000000002</v>
      </c>
      <c r="E30" s="425">
        <f t="shared" si="0"/>
        <v>533.65300000000002</v>
      </c>
    </row>
    <row r="31" spans="2:5">
      <c r="B31" s="551" t="s">
        <v>305</v>
      </c>
      <c r="C31" s="555">
        <f t="shared" ref="C31:D31" si="1">SUM(C17:C30)</f>
        <v>946.21599999999989</v>
      </c>
      <c r="D31" s="555">
        <f t="shared" si="1"/>
        <v>12650.305000000006</v>
      </c>
      <c r="E31" s="555">
        <f>SUM(E17:E30)</f>
        <v>13596.521000000008</v>
      </c>
    </row>
  </sheetData>
  <mergeCells count="2">
    <mergeCell ref="B3:E3"/>
    <mergeCell ref="B14:E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2:I22"/>
  <sheetViews>
    <sheetView showGridLines="0" zoomScale="81" zoomScaleNormal="81" workbookViewId="0">
      <selection activeCell="C30" sqref="C30"/>
    </sheetView>
  </sheetViews>
  <sheetFormatPr baseColWidth="10" defaultColWidth="11.42578125" defaultRowHeight="12" customHeight="1"/>
  <cols>
    <col min="1" max="1" width="7.5703125" style="401" customWidth="1"/>
    <col min="2" max="2" width="25.7109375" style="400" customWidth="1"/>
    <col min="3" max="3" width="20.42578125" style="401" customWidth="1"/>
    <col min="4" max="4" width="16.140625" style="401" customWidth="1"/>
    <col min="5" max="5" width="12" style="401" customWidth="1"/>
    <col min="6" max="6" width="15.42578125" style="401" customWidth="1"/>
    <col min="7" max="7" width="11.7109375" style="401" customWidth="1"/>
    <col min="8" max="8" width="12.5703125" style="401" customWidth="1"/>
    <col min="9" max="16384" width="11.42578125" style="401"/>
  </cols>
  <sheetData>
    <row r="2" spans="2:9" ht="12" customHeight="1">
      <c r="B2" s="824" t="s">
        <v>291</v>
      </c>
      <c r="C2" s="825"/>
      <c r="D2" s="825"/>
      <c r="E2" s="825"/>
      <c r="F2" s="825"/>
      <c r="G2" s="825"/>
      <c r="H2" s="825"/>
      <c r="I2" s="825"/>
    </row>
    <row r="3" spans="2:9" ht="12" customHeight="1">
      <c r="B3" s="826"/>
      <c r="C3" s="827"/>
      <c r="D3" s="827"/>
      <c r="E3" s="827"/>
      <c r="F3" s="827"/>
      <c r="G3" s="827"/>
      <c r="H3" s="827"/>
      <c r="I3" s="827"/>
    </row>
    <row r="4" spans="2:9" ht="27" customHeight="1">
      <c r="B4" s="411" t="s">
        <v>292</v>
      </c>
      <c r="C4" s="411" t="s">
        <v>293</v>
      </c>
      <c r="D4" s="412" t="s">
        <v>294</v>
      </c>
      <c r="E4" s="412" t="s">
        <v>295</v>
      </c>
      <c r="F4" s="413" t="s">
        <v>296</v>
      </c>
      <c r="G4" s="412" t="s">
        <v>278</v>
      </c>
      <c r="H4" s="411" t="s">
        <v>297</v>
      </c>
      <c r="I4" s="411" t="s">
        <v>563</v>
      </c>
    </row>
    <row r="5" spans="2:9" ht="12" customHeight="1">
      <c r="B5" s="404" t="s">
        <v>298</v>
      </c>
      <c r="C5" s="405" t="s">
        <v>299</v>
      </c>
      <c r="D5" s="438">
        <v>602.5</v>
      </c>
      <c r="E5" s="556">
        <v>496.24200000000002</v>
      </c>
      <c r="F5" s="439">
        <f>D5-E5</f>
        <v>106.25799999999998</v>
      </c>
      <c r="G5" s="823">
        <f>D5+D6-E5-E6</f>
        <v>13.613000000000284</v>
      </c>
      <c r="H5" s="830">
        <f>+(E5+E6)/(D5+D6)</f>
        <v>0.9945112854712157</v>
      </c>
      <c r="I5" s="822">
        <v>43641</v>
      </c>
    </row>
    <row r="6" spans="2:9" ht="12" customHeight="1">
      <c r="B6" s="404" t="s">
        <v>298</v>
      </c>
      <c r="C6" s="405" t="s">
        <v>300</v>
      </c>
      <c r="D6" s="438">
        <v>1877.68</v>
      </c>
      <c r="E6" s="556">
        <v>1970.325</v>
      </c>
      <c r="F6" s="462">
        <f>D6-E6</f>
        <v>-92.644999999999982</v>
      </c>
      <c r="G6" s="823"/>
      <c r="H6" s="830"/>
      <c r="I6" s="823"/>
    </row>
    <row r="7" spans="2:9" ht="12" customHeight="1">
      <c r="B7" s="406" t="s">
        <v>301</v>
      </c>
      <c r="C7" s="405" t="s">
        <v>299</v>
      </c>
      <c r="D7" s="438">
        <v>602.5</v>
      </c>
      <c r="E7" s="556">
        <v>656.96199999999999</v>
      </c>
      <c r="F7" s="439">
        <f t="shared" ref="F7:F8" si="0">D7-E7</f>
        <v>-54.461999999999989</v>
      </c>
      <c r="G7" s="823">
        <f>D7+D8-E7-E8</f>
        <v>30.447000000000571</v>
      </c>
      <c r="H7" s="831">
        <f>+(E7+E8)/(D7+D8)</f>
        <v>0.98534666140474125</v>
      </c>
      <c r="I7" s="822">
        <v>43644</v>
      </c>
    </row>
    <row r="8" spans="2:9" ht="12" customHeight="1">
      <c r="B8" s="406" t="s">
        <v>301</v>
      </c>
      <c r="C8" s="405" t="s">
        <v>300</v>
      </c>
      <c r="D8" s="438">
        <v>1475.3200000000004</v>
      </c>
      <c r="E8" s="556">
        <v>1390.4110000000001</v>
      </c>
      <c r="F8" s="439">
        <f t="shared" si="0"/>
        <v>84.909000000000333</v>
      </c>
      <c r="G8" s="823"/>
      <c r="H8" s="831"/>
      <c r="I8" s="823"/>
    </row>
    <row r="9" spans="2:9" ht="12" hidden="1" customHeight="1">
      <c r="B9" s="832" t="s">
        <v>507</v>
      </c>
      <c r="C9" s="407" t="s">
        <v>299</v>
      </c>
      <c r="D9" s="408">
        <f>+D5+D7</f>
        <v>1205</v>
      </c>
      <c r="E9" s="407">
        <f>+E5+E7</f>
        <v>1153.204</v>
      </c>
      <c r="F9" s="440">
        <f>D9-E9</f>
        <v>51.796000000000049</v>
      </c>
      <c r="G9" s="833">
        <f>SUM(G5:G8)</f>
        <v>44.060000000000855</v>
      </c>
      <c r="H9" s="834">
        <f>+E11/D11</f>
        <v>0.99033347959631413</v>
      </c>
    </row>
    <row r="10" spans="2:9" ht="12" hidden="1" customHeight="1">
      <c r="B10" s="832"/>
      <c r="C10" s="407" t="s">
        <v>300</v>
      </c>
      <c r="D10" s="408">
        <f>+D6+D8</f>
        <v>3353.0000000000005</v>
      </c>
      <c r="E10" s="407">
        <f>+E6+E8</f>
        <v>3360.7359999999999</v>
      </c>
      <c r="F10" s="440">
        <f>D10-E10</f>
        <v>-7.7359999999994216</v>
      </c>
      <c r="G10" s="833"/>
      <c r="H10" s="834"/>
    </row>
    <row r="11" spans="2:9" ht="19.149999999999999" customHeight="1">
      <c r="B11" s="828" t="s">
        <v>508</v>
      </c>
      <c r="C11" s="829"/>
      <c r="D11" s="409">
        <f>SUM(D5:D8)</f>
        <v>4558.0000000000009</v>
      </c>
      <c r="E11" s="409">
        <f>SUM(E5:E8)</f>
        <v>4513.9400000000005</v>
      </c>
      <c r="F11" s="410">
        <f>D11-E11</f>
        <v>44.0600000000004</v>
      </c>
      <c r="G11" s="409">
        <f>+D11-E11</f>
        <v>44.0600000000004</v>
      </c>
      <c r="H11" s="414">
        <f>+E11/D11</f>
        <v>0.99033347959631413</v>
      </c>
    </row>
    <row r="17" spans="2:8" ht="12" customHeight="1">
      <c r="B17" s="27"/>
      <c r="C17" s="27"/>
      <c r="D17" s="27"/>
      <c r="E17" s="27"/>
      <c r="F17" s="27"/>
      <c r="G17" s="27"/>
      <c r="H17" s="27"/>
    </row>
    <row r="18" spans="2:8" ht="12" customHeight="1">
      <c r="B18" s="27"/>
      <c r="C18" s="27"/>
      <c r="D18" s="27"/>
      <c r="E18" s="27"/>
      <c r="F18" s="27"/>
      <c r="G18" s="27"/>
      <c r="H18" s="27"/>
    </row>
    <row r="19" spans="2:8" ht="12" customHeight="1">
      <c r="B19" s="402"/>
      <c r="C19" s="403"/>
      <c r="D19" s="403"/>
      <c r="E19" s="403"/>
      <c r="F19" s="27"/>
      <c r="G19" s="27"/>
      <c r="H19" s="27"/>
    </row>
    <row r="20" spans="2:8" ht="12" customHeight="1">
      <c r="B20" s="402"/>
      <c r="C20" s="403"/>
      <c r="D20" s="403"/>
      <c r="E20" s="403"/>
      <c r="F20" s="27"/>
      <c r="G20" s="27"/>
      <c r="H20" s="27"/>
    </row>
    <row r="21" spans="2:8" ht="12" customHeight="1">
      <c r="B21" s="402"/>
      <c r="C21" s="403"/>
      <c r="D21" s="403"/>
      <c r="E21" s="403"/>
      <c r="F21" s="27"/>
      <c r="G21" s="27"/>
      <c r="H21" s="27"/>
    </row>
    <row r="22" spans="2:8" ht="12" customHeight="1">
      <c r="B22" s="27"/>
      <c r="C22" s="27"/>
      <c r="D22" s="27"/>
      <c r="E22" s="27"/>
      <c r="F22" s="27"/>
      <c r="G22" s="27"/>
      <c r="H22" s="27"/>
    </row>
  </sheetData>
  <mergeCells count="11">
    <mergeCell ref="I5:I6"/>
    <mergeCell ref="B2:I3"/>
    <mergeCell ref="I7:I8"/>
    <mergeCell ref="B11:C11"/>
    <mergeCell ref="G5:G6"/>
    <mergeCell ref="H5:H6"/>
    <mergeCell ref="G7:G8"/>
    <mergeCell ref="H7:H8"/>
    <mergeCell ref="B9:B10"/>
    <mergeCell ref="G9:G10"/>
    <mergeCell ref="H9:H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Resumen Pelagicos</vt:lpstr>
      <vt:lpstr>PELAGICOS LTP</vt:lpstr>
      <vt:lpstr>ANCHOVETA </vt:lpstr>
      <vt:lpstr>SARDINA COMUN </vt:lpstr>
      <vt:lpstr>IC ANCH-SARC V-VII y IX-X</vt:lpstr>
      <vt:lpstr>IC ANCH-SARC VIII</vt:lpstr>
      <vt:lpstr>Consumo Cesiones_VIII</vt:lpstr>
      <vt:lpstr>Consumo Cesiones_V-VII y IX-X </vt:lpstr>
      <vt:lpstr>Consumo Humano</vt:lpstr>
      <vt:lpstr>Pesca Investigacion</vt:lpstr>
      <vt:lpstr>'IC ANCH-SARC V-VII y IX-X'!Área_de_impresión</vt:lpstr>
      <vt:lpstr>'PELAGICOS LTP'!Área_de_impresión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2019-07-18T15:48:37Z</dcterms:modified>
</cp:coreProperties>
</file>