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\Desktop\Sernapesca Para Trabajo Remoto\"/>
    </mc:Choice>
  </mc:AlternateContent>
  <bookViews>
    <workbookView xWindow="0" yWindow="0" windowWidth="10095" windowHeight="6225" tabRatio="793" activeTab="2"/>
  </bookViews>
  <sheets>
    <sheet name="RESUMEN" sheetId="1" r:id="rId1"/>
    <sheet name="Anchov y SardC LTP" sheetId="2" r:id="rId2"/>
    <sheet name="Anchoveta" sheetId="7" r:id="rId3"/>
    <sheet name="Sardina comun" sheetId="3" r:id="rId4"/>
    <sheet name="IC Anch-SardC V-VII y IX-X" sheetId="5" r:id="rId5"/>
    <sheet name="IC Anch y SardC VIII" sheetId="8" r:id="rId6"/>
    <sheet name="Consumo humano" sheetId="9" r:id="rId7"/>
    <sheet name="Cesiones Indiv y Colecti VIII" sheetId="12" r:id="rId8"/>
    <sheet name="Cesiones Ind IX-XIV" sheetId="13" r:id="rId9"/>
    <sheet name="Pescas de Investigacion" sheetId="15" r:id="rId10"/>
    <sheet name="Compilado" sheetId="14" r:id="rId11"/>
  </sheets>
  <definedNames>
    <definedName name="_xlnm._FilterDatabase" localSheetId="8" hidden="1">'Cesiones Ind IX-XIV'!$A$3:$O$61</definedName>
    <definedName name="_xlnm._FilterDatabase" localSheetId="7" hidden="1">'Cesiones Indiv y Colecti VIII'!$A$3:$N$712</definedName>
    <definedName name="_xlnm._FilterDatabase" localSheetId="10" hidden="1">Compilado!$A$1:$Q$1</definedName>
  </definedNames>
  <calcPr calcId="152511"/>
</workbook>
</file>

<file path=xl/calcChain.xml><?xml version="1.0" encoding="utf-8"?>
<calcChain xmlns="http://schemas.openxmlformats.org/spreadsheetml/2006/main">
  <c r="O68" i="13" l="1"/>
  <c r="N68" i="13"/>
  <c r="O67" i="13"/>
  <c r="N67" i="13"/>
  <c r="O66" i="13"/>
  <c r="N66" i="13"/>
  <c r="O65" i="13"/>
  <c r="N65" i="13"/>
  <c r="G71" i="3"/>
  <c r="G106" i="3"/>
  <c r="G106" i="7"/>
  <c r="G71" i="7"/>
  <c r="M711" i="12" l="1"/>
  <c r="N711" i="12"/>
  <c r="N709" i="12"/>
  <c r="M709" i="12"/>
  <c r="G102" i="3"/>
  <c r="G102" i="7"/>
  <c r="H34" i="2"/>
  <c r="H15" i="2"/>
  <c r="M699" i="12"/>
  <c r="N699" i="12"/>
  <c r="N695" i="12"/>
  <c r="M695" i="12"/>
  <c r="M706" i="12"/>
  <c r="N706" i="12"/>
  <c r="N703" i="12"/>
  <c r="M703" i="12"/>
  <c r="M694" i="12"/>
  <c r="N694" i="12"/>
  <c r="M693" i="12"/>
  <c r="N693" i="12"/>
  <c r="M692" i="12"/>
  <c r="N692" i="12"/>
  <c r="M691" i="12"/>
  <c r="N691" i="12"/>
  <c r="M690" i="12"/>
  <c r="N690" i="12"/>
  <c r="M689" i="12"/>
  <c r="N689" i="12"/>
  <c r="M688" i="12"/>
  <c r="N688" i="12"/>
  <c r="M687" i="12"/>
  <c r="N687" i="12"/>
  <c r="M686" i="12"/>
  <c r="N686" i="12"/>
  <c r="M685" i="12"/>
  <c r="N685" i="12"/>
  <c r="M684" i="12"/>
  <c r="N684" i="12"/>
  <c r="M683" i="12"/>
  <c r="N683" i="12"/>
  <c r="M682" i="12"/>
  <c r="N682" i="12"/>
  <c r="M681" i="12"/>
  <c r="N681" i="12"/>
  <c r="M680" i="12"/>
  <c r="N680" i="12"/>
  <c r="M679" i="12"/>
  <c r="N679" i="12"/>
  <c r="H37" i="2" l="1"/>
  <c r="H18" i="2"/>
  <c r="M678" i="12" l="1"/>
  <c r="N678" i="12"/>
  <c r="M677" i="12"/>
  <c r="N677" i="12"/>
  <c r="M676" i="12"/>
  <c r="N676" i="12"/>
  <c r="M675" i="12"/>
  <c r="N675" i="12"/>
  <c r="M674" i="12"/>
  <c r="N674" i="12"/>
  <c r="M673" i="12"/>
  <c r="N673" i="12"/>
  <c r="M672" i="12"/>
  <c r="N672" i="12"/>
  <c r="M671" i="12"/>
  <c r="N671" i="12"/>
  <c r="M670" i="12"/>
  <c r="N670" i="12"/>
  <c r="M669" i="12"/>
  <c r="N669" i="12"/>
  <c r="M668" i="12"/>
  <c r="N668" i="12"/>
  <c r="M667" i="12"/>
  <c r="N667" i="12"/>
  <c r="M666" i="12"/>
  <c r="N666" i="12"/>
  <c r="M665" i="12"/>
  <c r="N665" i="12"/>
  <c r="M664" i="12"/>
  <c r="N664" i="12"/>
  <c r="M663" i="12"/>
  <c r="N663" i="12"/>
  <c r="M662" i="12"/>
  <c r="N662" i="12"/>
  <c r="M661" i="12"/>
  <c r="N661" i="12"/>
  <c r="M660" i="12"/>
  <c r="N660" i="12"/>
  <c r="M659" i="12"/>
  <c r="N659" i="12"/>
  <c r="M658" i="12"/>
  <c r="N658" i="12"/>
  <c r="M657" i="12"/>
  <c r="N657" i="12"/>
  <c r="M656" i="12"/>
  <c r="N656" i="12"/>
  <c r="M655" i="12"/>
  <c r="N655" i="12"/>
  <c r="M654" i="12"/>
  <c r="N654" i="12"/>
  <c r="M653" i="12"/>
  <c r="N653" i="12"/>
  <c r="M652" i="12"/>
  <c r="N652" i="12"/>
  <c r="M651" i="12"/>
  <c r="N651" i="12"/>
  <c r="M650" i="12"/>
  <c r="N650" i="12"/>
  <c r="M649" i="12"/>
  <c r="N649" i="12"/>
  <c r="M648" i="12"/>
  <c r="N648" i="12"/>
  <c r="M647" i="12"/>
  <c r="N647" i="12"/>
  <c r="M646" i="12"/>
  <c r="N646" i="12"/>
  <c r="M645" i="12"/>
  <c r="N645" i="12"/>
  <c r="M644" i="12"/>
  <c r="N644" i="12"/>
  <c r="M643" i="12"/>
  <c r="N643" i="12"/>
  <c r="M642" i="12"/>
  <c r="N642" i="12"/>
  <c r="M641" i="12"/>
  <c r="N641" i="12"/>
  <c r="H9" i="2" l="1"/>
  <c r="H32" i="2"/>
  <c r="N64" i="13" l="1"/>
  <c r="O64" i="13"/>
  <c r="N63" i="13"/>
  <c r="O63" i="13"/>
  <c r="G120" i="3"/>
  <c r="G120" i="7"/>
  <c r="M638" i="12"/>
  <c r="N638" i="12"/>
  <c r="M639" i="12"/>
  <c r="N639" i="12"/>
  <c r="M640" i="12"/>
  <c r="N640" i="12"/>
  <c r="N637" i="12"/>
  <c r="M637" i="12"/>
  <c r="M635" i="12"/>
  <c r="N635" i="12"/>
  <c r="N633" i="12"/>
  <c r="M633" i="12"/>
  <c r="H39" i="2"/>
  <c r="H20" i="2"/>
  <c r="M632" i="12"/>
  <c r="N632" i="12"/>
  <c r="M631" i="12"/>
  <c r="N631" i="12"/>
  <c r="M630" i="12"/>
  <c r="N630" i="12"/>
  <c r="M629" i="12"/>
  <c r="N629" i="12"/>
  <c r="M628" i="12"/>
  <c r="N628" i="12"/>
  <c r="M627" i="12"/>
  <c r="N627" i="12"/>
  <c r="M626" i="12"/>
  <c r="N626" i="12"/>
  <c r="M625" i="12"/>
  <c r="N625" i="12"/>
  <c r="H30" i="2"/>
  <c r="H7" i="2"/>
  <c r="G73" i="3" l="1"/>
  <c r="G73" i="7"/>
  <c r="G124" i="3"/>
  <c r="G124" i="7"/>
  <c r="M562" i="12"/>
  <c r="N562" i="12"/>
  <c r="M563" i="12"/>
  <c r="N563" i="12"/>
  <c r="M564" i="12"/>
  <c r="N564" i="12"/>
  <c r="M565" i="12"/>
  <c r="N565" i="12"/>
  <c r="M566" i="12"/>
  <c r="N566" i="12"/>
  <c r="M567" i="12"/>
  <c r="N567" i="12"/>
  <c r="M568" i="12"/>
  <c r="N568" i="12"/>
  <c r="M569" i="12"/>
  <c r="N569" i="12"/>
  <c r="M570" i="12"/>
  <c r="N570" i="12"/>
  <c r="M571" i="12"/>
  <c r="N571" i="12"/>
  <c r="M572" i="12"/>
  <c r="N572" i="12"/>
  <c r="M573" i="12"/>
  <c r="N573" i="12"/>
  <c r="M574" i="12"/>
  <c r="N574" i="12"/>
  <c r="M575" i="12"/>
  <c r="N575" i="12"/>
  <c r="M576" i="12"/>
  <c r="N576" i="12"/>
  <c r="M577" i="12"/>
  <c r="N577" i="12"/>
  <c r="M578" i="12"/>
  <c r="N578" i="12"/>
  <c r="M579" i="12"/>
  <c r="N579" i="12"/>
  <c r="M580" i="12"/>
  <c r="N580" i="12"/>
  <c r="M581" i="12"/>
  <c r="N581" i="12"/>
  <c r="M582" i="12"/>
  <c r="N582" i="12"/>
  <c r="M583" i="12"/>
  <c r="N583" i="12"/>
  <c r="M584" i="12"/>
  <c r="N584" i="12"/>
  <c r="M585" i="12"/>
  <c r="N585" i="12"/>
  <c r="M586" i="12"/>
  <c r="N586" i="12"/>
  <c r="M587" i="12"/>
  <c r="N587" i="12"/>
  <c r="M588" i="12"/>
  <c r="N588" i="12"/>
  <c r="M589" i="12"/>
  <c r="N589" i="12"/>
  <c r="M590" i="12"/>
  <c r="N590" i="12"/>
  <c r="M591" i="12"/>
  <c r="N591" i="12"/>
  <c r="M592" i="12"/>
  <c r="N592" i="12"/>
  <c r="M593" i="12"/>
  <c r="N593" i="12"/>
  <c r="M594" i="12"/>
  <c r="N594" i="12"/>
  <c r="M595" i="12"/>
  <c r="N595" i="12"/>
  <c r="M596" i="12"/>
  <c r="N596" i="12"/>
  <c r="M597" i="12"/>
  <c r="N597" i="12"/>
  <c r="M598" i="12"/>
  <c r="N598" i="12"/>
  <c r="M599" i="12"/>
  <c r="N599" i="12"/>
  <c r="M600" i="12"/>
  <c r="N600" i="12"/>
  <c r="M601" i="12"/>
  <c r="N601" i="12"/>
  <c r="M602" i="12"/>
  <c r="N602" i="12"/>
  <c r="M603" i="12"/>
  <c r="N603" i="12"/>
  <c r="M604" i="12"/>
  <c r="N604" i="12"/>
  <c r="M605" i="12"/>
  <c r="N605" i="12"/>
  <c r="M606" i="12"/>
  <c r="N606" i="12"/>
  <c r="M607" i="12"/>
  <c r="N607" i="12"/>
  <c r="M608" i="12"/>
  <c r="N608" i="12"/>
  <c r="M609" i="12"/>
  <c r="N609" i="12"/>
  <c r="M610" i="12"/>
  <c r="N610" i="12"/>
  <c r="M611" i="12"/>
  <c r="N611" i="12"/>
  <c r="M612" i="12"/>
  <c r="N612" i="12"/>
  <c r="M613" i="12"/>
  <c r="N613" i="12"/>
  <c r="M614" i="12"/>
  <c r="N614" i="12"/>
  <c r="M615" i="12"/>
  <c r="N615" i="12"/>
  <c r="M616" i="12"/>
  <c r="N616" i="12"/>
  <c r="M617" i="12"/>
  <c r="N617" i="12"/>
  <c r="M618" i="12"/>
  <c r="N618" i="12"/>
  <c r="M619" i="12"/>
  <c r="N619" i="12"/>
  <c r="M620" i="12"/>
  <c r="N620" i="12"/>
  <c r="M621" i="12"/>
  <c r="N621" i="12"/>
  <c r="M622" i="12"/>
  <c r="N622" i="12"/>
  <c r="M623" i="12"/>
  <c r="N623" i="12"/>
  <c r="M624" i="12"/>
  <c r="N624" i="12"/>
  <c r="N561" i="12"/>
  <c r="M561" i="12"/>
  <c r="N62" i="13"/>
  <c r="O62" i="13"/>
  <c r="G109" i="3"/>
  <c r="G80" i="3" l="1"/>
  <c r="G100" i="3"/>
  <c r="G80" i="7"/>
  <c r="G100" i="7"/>
  <c r="G79" i="3"/>
  <c r="G79" i="7"/>
  <c r="G35" i="3" l="1"/>
  <c r="G78" i="3"/>
  <c r="M559" i="12" l="1"/>
  <c r="N559" i="12"/>
  <c r="N557" i="12"/>
  <c r="M557" i="12"/>
  <c r="G40" i="3"/>
  <c r="G40" i="7"/>
  <c r="M556" i="12" l="1"/>
  <c r="N556" i="12"/>
  <c r="M555" i="12"/>
  <c r="N555" i="12"/>
  <c r="M554" i="12"/>
  <c r="N554" i="12"/>
  <c r="M553" i="12"/>
  <c r="N553" i="12"/>
  <c r="M552" i="12"/>
  <c r="N552" i="12"/>
  <c r="M551" i="12"/>
  <c r="N551" i="12"/>
  <c r="M550" i="12"/>
  <c r="N550" i="12"/>
  <c r="M549" i="12"/>
  <c r="N549" i="12"/>
  <c r="M548" i="12"/>
  <c r="N548" i="12"/>
  <c r="M547" i="12"/>
  <c r="N547" i="12"/>
  <c r="M546" i="12"/>
  <c r="N546" i="12"/>
  <c r="M545" i="12"/>
  <c r="N545" i="12"/>
  <c r="M544" i="12"/>
  <c r="N544" i="12"/>
  <c r="M543" i="12"/>
  <c r="N543" i="12"/>
  <c r="M542" i="12"/>
  <c r="N542" i="12"/>
  <c r="M541" i="12"/>
  <c r="N541" i="12"/>
  <c r="M540" i="12"/>
  <c r="N540" i="12"/>
  <c r="M539" i="12"/>
  <c r="N539" i="12"/>
  <c r="M538" i="12"/>
  <c r="N538" i="12"/>
  <c r="M537" i="12"/>
  <c r="N537" i="12"/>
  <c r="M536" i="12"/>
  <c r="N536" i="12"/>
  <c r="M535" i="12"/>
  <c r="N535" i="12"/>
  <c r="M534" i="12"/>
  <c r="N534" i="12"/>
  <c r="M533" i="12"/>
  <c r="N533" i="12"/>
  <c r="M532" i="12"/>
  <c r="N532" i="12"/>
  <c r="M531" i="12"/>
  <c r="N531" i="12"/>
  <c r="M530" i="12"/>
  <c r="N530" i="12"/>
  <c r="M529" i="12"/>
  <c r="N529" i="12"/>
  <c r="M528" i="12"/>
  <c r="N528" i="12"/>
  <c r="M527" i="12"/>
  <c r="N527" i="12"/>
  <c r="M526" i="12"/>
  <c r="N526" i="12"/>
  <c r="M525" i="12"/>
  <c r="N525" i="12"/>
  <c r="M524" i="12"/>
  <c r="N524" i="12"/>
  <c r="M523" i="12"/>
  <c r="N523" i="12"/>
  <c r="M522" i="12"/>
  <c r="N522" i="12"/>
  <c r="M521" i="12"/>
  <c r="N521" i="12"/>
  <c r="M520" i="12"/>
  <c r="N520" i="12"/>
  <c r="M519" i="12"/>
  <c r="N519" i="12"/>
  <c r="M518" i="12"/>
  <c r="N518" i="12"/>
  <c r="M517" i="12"/>
  <c r="N517" i="12"/>
  <c r="M516" i="12"/>
  <c r="N516" i="12"/>
  <c r="M515" i="12"/>
  <c r="N515" i="12"/>
  <c r="M514" i="12"/>
  <c r="N514" i="12"/>
  <c r="M513" i="12"/>
  <c r="N513" i="12"/>
  <c r="H38" i="2"/>
  <c r="H19" i="2"/>
  <c r="M512" i="12"/>
  <c r="N512" i="12"/>
  <c r="M511" i="12"/>
  <c r="N511" i="12"/>
  <c r="M510" i="12"/>
  <c r="N510" i="12"/>
  <c r="M509" i="12"/>
  <c r="N509" i="12"/>
  <c r="M508" i="12"/>
  <c r="N508" i="12"/>
  <c r="M507" i="12"/>
  <c r="N507" i="12"/>
  <c r="M506" i="12"/>
  <c r="N506" i="12"/>
  <c r="M505" i="12"/>
  <c r="N505" i="12"/>
  <c r="M504" i="12"/>
  <c r="N504" i="12"/>
  <c r="M503" i="12"/>
  <c r="N503" i="12"/>
  <c r="M502" i="12"/>
  <c r="N502" i="12"/>
  <c r="M501" i="12"/>
  <c r="N501" i="12"/>
  <c r="M484" i="12"/>
  <c r="N484" i="12"/>
  <c r="M485" i="12"/>
  <c r="N485" i="12"/>
  <c r="M486" i="12"/>
  <c r="N486" i="12"/>
  <c r="M487" i="12"/>
  <c r="N487" i="12"/>
  <c r="M488" i="12"/>
  <c r="N488" i="12"/>
  <c r="M489" i="12"/>
  <c r="N489" i="12"/>
  <c r="M490" i="12"/>
  <c r="N490" i="12"/>
  <c r="M491" i="12"/>
  <c r="N491" i="12"/>
  <c r="M492" i="12"/>
  <c r="N492" i="12"/>
  <c r="M493" i="12"/>
  <c r="N493" i="12"/>
  <c r="M494" i="12"/>
  <c r="N494" i="12"/>
  <c r="M495" i="12"/>
  <c r="N495" i="12"/>
  <c r="M496" i="12"/>
  <c r="N496" i="12"/>
  <c r="M497" i="12"/>
  <c r="N497" i="12"/>
  <c r="M498" i="12"/>
  <c r="N498" i="12"/>
  <c r="M499" i="12"/>
  <c r="N499" i="12"/>
  <c r="M500" i="12"/>
  <c r="N500" i="12"/>
  <c r="N483" i="12"/>
  <c r="M483" i="12"/>
  <c r="H31" i="2"/>
  <c r="H8" i="2"/>
  <c r="O15" i="8" l="1"/>
  <c r="O61" i="13" l="1"/>
  <c r="N61" i="13"/>
  <c r="O60" i="13"/>
  <c r="N60" i="13"/>
  <c r="O59" i="13"/>
  <c r="N59" i="13"/>
  <c r="O58" i="13"/>
  <c r="N58" i="13"/>
  <c r="H8" i="9" l="1"/>
  <c r="N480" i="12" l="1"/>
  <c r="M480" i="12"/>
  <c r="N477" i="12"/>
  <c r="M477" i="12"/>
  <c r="G32" i="3"/>
  <c r="G32" i="7"/>
  <c r="M476" i="12"/>
  <c r="N476" i="12"/>
  <c r="M475" i="12"/>
  <c r="N475" i="12"/>
  <c r="M474" i="12"/>
  <c r="N474" i="12"/>
  <c r="M473" i="12"/>
  <c r="N473" i="12"/>
  <c r="G62" i="3"/>
  <c r="G62" i="7"/>
  <c r="M469" i="12"/>
  <c r="N469" i="12"/>
  <c r="M470" i="12"/>
  <c r="N470" i="12"/>
  <c r="M471" i="12"/>
  <c r="N471" i="12"/>
  <c r="M472" i="12"/>
  <c r="N472" i="12"/>
  <c r="M468" i="12" l="1"/>
  <c r="N468" i="12"/>
  <c r="N467" i="12"/>
  <c r="M467" i="12"/>
  <c r="G72" i="3"/>
  <c r="G72" i="7"/>
  <c r="O55" i="13" l="1"/>
  <c r="N55" i="13"/>
  <c r="M464" i="12" l="1"/>
  <c r="N464" i="12"/>
  <c r="N461" i="12"/>
  <c r="M461" i="12"/>
  <c r="G24" i="3"/>
  <c r="G24" i="7"/>
  <c r="O7" i="5" l="1"/>
  <c r="G35" i="7" l="1"/>
  <c r="G27" i="3"/>
  <c r="G27" i="7"/>
  <c r="M459" i="12" l="1"/>
  <c r="N459" i="12"/>
  <c r="N457" i="12"/>
  <c r="M457" i="12"/>
  <c r="G78" i="7"/>
  <c r="G41" i="3" l="1"/>
  <c r="G128" i="3"/>
  <c r="G41" i="7"/>
  <c r="G128" i="7"/>
  <c r="H34" i="1" l="1"/>
  <c r="H17" i="1"/>
  <c r="G7" i="9"/>
  <c r="G8" i="9"/>
  <c r="G9" i="9"/>
  <c r="G10" i="9"/>
  <c r="G11" i="9"/>
  <c r="G6" i="9"/>
  <c r="H6" i="9" s="1"/>
  <c r="H10" i="9" l="1"/>
  <c r="G118" i="3"/>
  <c r="G118" i="7"/>
  <c r="N57" i="13" l="1"/>
  <c r="O57" i="13"/>
  <c r="N56" i="13"/>
  <c r="O56" i="13"/>
  <c r="M456" i="12" l="1"/>
  <c r="N456" i="12"/>
  <c r="M455" i="12"/>
  <c r="N455" i="12"/>
  <c r="M454" i="12"/>
  <c r="N454" i="12"/>
  <c r="M453" i="12"/>
  <c r="N453" i="12"/>
  <c r="M452" i="12"/>
  <c r="N452" i="12"/>
  <c r="M451" i="12"/>
  <c r="N451" i="12"/>
  <c r="M450" i="12"/>
  <c r="N450" i="12"/>
  <c r="M449" i="12"/>
  <c r="N449" i="12"/>
  <c r="M448" i="12"/>
  <c r="N448" i="12"/>
  <c r="M447" i="12"/>
  <c r="N447" i="12"/>
  <c r="M446" i="12"/>
  <c r="N446" i="12"/>
  <c r="M445" i="12"/>
  <c r="N445" i="12"/>
  <c r="M444" i="12"/>
  <c r="N444" i="12"/>
  <c r="M443" i="12"/>
  <c r="N443" i="12"/>
  <c r="M442" i="12"/>
  <c r="N442" i="12"/>
  <c r="M441" i="12"/>
  <c r="N441" i="12"/>
  <c r="M440" i="12"/>
  <c r="N440" i="12"/>
  <c r="M439" i="12"/>
  <c r="N439" i="12"/>
  <c r="H46" i="2"/>
  <c r="M435" i="12"/>
  <c r="N435" i="12"/>
  <c r="M436" i="12"/>
  <c r="N436" i="12"/>
  <c r="M437" i="12"/>
  <c r="N437" i="12"/>
  <c r="M438" i="12"/>
  <c r="N438" i="12"/>
  <c r="G96" i="7" l="1"/>
  <c r="G96" i="3"/>
  <c r="G56" i="3"/>
  <c r="G56" i="7"/>
  <c r="G57" i="3" l="1"/>
  <c r="G57" i="7"/>
  <c r="G89" i="3"/>
  <c r="G89" i="7"/>
  <c r="M434" i="12" l="1"/>
  <c r="N434" i="12"/>
  <c r="N433" i="12"/>
  <c r="M433" i="12"/>
  <c r="G59" i="3"/>
  <c r="G59" i="7"/>
  <c r="M425" i="12" l="1"/>
  <c r="M429" i="12"/>
  <c r="N429" i="12"/>
  <c r="N425" i="12"/>
  <c r="G127" i="3"/>
  <c r="G127" i="7"/>
  <c r="M424" i="12" l="1"/>
  <c r="N424" i="12"/>
  <c r="M423" i="12"/>
  <c r="N423" i="12"/>
  <c r="O19" i="5" l="1"/>
  <c r="O17" i="8"/>
  <c r="M422" i="12" l="1"/>
  <c r="N422" i="12"/>
  <c r="M421" i="12"/>
  <c r="N421" i="12"/>
  <c r="M420" i="12"/>
  <c r="N420" i="12"/>
  <c r="M419" i="12"/>
  <c r="N419" i="12"/>
  <c r="G33" i="3"/>
  <c r="G33" i="7"/>
  <c r="M418" i="12" l="1"/>
  <c r="N418" i="12"/>
  <c r="M417" i="12"/>
  <c r="N417" i="12"/>
  <c r="M416" i="12"/>
  <c r="N416" i="12"/>
  <c r="M415" i="12"/>
  <c r="N415" i="12"/>
  <c r="M414" i="12"/>
  <c r="N414" i="12"/>
  <c r="M413" i="12"/>
  <c r="N413" i="12"/>
  <c r="M412" i="12"/>
  <c r="N412" i="12"/>
  <c r="M411" i="12"/>
  <c r="N411" i="12"/>
  <c r="M410" i="12"/>
  <c r="N410" i="12"/>
  <c r="M409" i="12"/>
  <c r="N409" i="12"/>
  <c r="M408" i="12"/>
  <c r="N408" i="12"/>
  <c r="M407" i="12"/>
  <c r="N407" i="12"/>
  <c r="G7" i="3"/>
  <c r="G7" i="7"/>
  <c r="M405" i="12" l="1"/>
  <c r="N405" i="12"/>
  <c r="M406" i="12"/>
  <c r="N406" i="12"/>
  <c r="G8" i="3"/>
  <c r="G8" i="7"/>
  <c r="M396" i="12" l="1"/>
  <c r="N396" i="12"/>
  <c r="M397" i="12"/>
  <c r="N397" i="12"/>
  <c r="M398" i="12"/>
  <c r="N398" i="12"/>
  <c r="M399" i="12"/>
  <c r="N399" i="12"/>
  <c r="M400" i="12"/>
  <c r="N400" i="12"/>
  <c r="M401" i="12"/>
  <c r="N401" i="12"/>
  <c r="M402" i="12"/>
  <c r="N402" i="12"/>
  <c r="M403" i="12"/>
  <c r="N403" i="12"/>
  <c r="M404" i="12"/>
  <c r="N404" i="12"/>
  <c r="N395" i="12"/>
  <c r="M395" i="12"/>
  <c r="N392" i="12" l="1"/>
  <c r="M392" i="12"/>
  <c r="N389" i="12"/>
  <c r="M389" i="12"/>
  <c r="G25" i="3"/>
  <c r="G25" i="7"/>
  <c r="F35" i="1" l="1"/>
  <c r="G12" i="3"/>
  <c r="M388" i="12" l="1"/>
  <c r="N388" i="12"/>
  <c r="M387" i="12"/>
  <c r="N387" i="12"/>
  <c r="M366" i="12" l="1"/>
  <c r="N366" i="12"/>
  <c r="M367" i="12"/>
  <c r="N367" i="12"/>
  <c r="M368" i="12"/>
  <c r="N368" i="12"/>
  <c r="M369" i="12"/>
  <c r="N369" i="12"/>
  <c r="M370" i="12"/>
  <c r="N370" i="12"/>
  <c r="M371" i="12"/>
  <c r="N371" i="12"/>
  <c r="M372" i="12"/>
  <c r="N372" i="12"/>
  <c r="M373" i="12"/>
  <c r="N373" i="12"/>
  <c r="M374" i="12"/>
  <c r="N374" i="12"/>
  <c r="M375" i="12"/>
  <c r="N375" i="12"/>
  <c r="M376" i="12"/>
  <c r="N376" i="12"/>
  <c r="M377" i="12"/>
  <c r="N377" i="12"/>
  <c r="M378" i="12"/>
  <c r="N378" i="12"/>
  <c r="M379" i="12"/>
  <c r="N379" i="12"/>
  <c r="M380" i="12"/>
  <c r="N380" i="12"/>
  <c r="M381" i="12"/>
  <c r="N381" i="12"/>
  <c r="M382" i="12"/>
  <c r="N382" i="12"/>
  <c r="M383" i="12"/>
  <c r="N383" i="12"/>
  <c r="M384" i="12"/>
  <c r="N384" i="12"/>
  <c r="M385" i="12"/>
  <c r="N385" i="12"/>
  <c r="M386" i="12"/>
  <c r="N386" i="12"/>
  <c r="N365" i="12"/>
  <c r="M365" i="12"/>
  <c r="N19" i="13" l="1"/>
  <c r="O19" i="13"/>
  <c r="N20" i="13"/>
  <c r="O20" i="13"/>
  <c r="N21" i="13"/>
  <c r="O21" i="13"/>
  <c r="N22" i="13"/>
  <c r="O22" i="13"/>
  <c r="N23" i="13"/>
  <c r="O23" i="13"/>
  <c r="N24" i="13"/>
  <c r="O24" i="13"/>
  <c r="N25" i="13"/>
  <c r="O25" i="13"/>
  <c r="N26" i="13"/>
  <c r="O26" i="13"/>
  <c r="N27" i="13"/>
  <c r="O27" i="13"/>
  <c r="N28" i="13"/>
  <c r="O28" i="13"/>
  <c r="N29" i="13"/>
  <c r="O29" i="13"/>
  <c r="N30" i="13"/>
  <c r="O30" i="13"/>
  <c r="N31" i="13"/>
  <c r="O31" i="13"/>
  <c r="N32" i="13"/>
  <c r="O32" i="13"/>
  <c r="N33" i="13"/>
  <c r="O33" i="13"/>
  <c r="N34" i="13"/>
  <c r="O34" i="13"/>
  <c r="N35" i="13"/>
  <c r="O35" i="13"/>
  <c r="N36" i="13"/>
  <c r="O36" i="13"/>
  <c r="N37" i="13"/>
  <c r="O37" i="13"/>
  <c r="N38" i="13"/>
  <c r="O38" i="13"/>
  <c r="N39" i="13"/>
  <c r="O39" i="13"/>
  <c r="N40" i="13"/>
  <c r="O40" i="13"/>
  <c r="N41" i="13"/>
  <c r="O41" i="13"/>
  <c r="N42" i="13"/>
  <c r="O42" i="13"/>
  <c r="N43" i="13"/>
  <c r="O43" i="13"/>
  <c r="N44" i="13"/>
  <c r="O44" i="13"/>
  <c r="N45" i="13"/>
  <c r="O45" i="13"/>
  <c r="N46" i="13"/>
  <c r="O46" i="13"/>
  <c r="N47" i="13"/>
  <c r="O47" i="13"/>
  <c r="N48" i="13"/>
  <c r="O48" i="13"/>
  <c r="N49" i="13"/>
  <c r="O49" i="13"/>
  <c r="N50" i="13"/>
  <c r="O50" i="13"/>
  <c r="N51" i="13"/>
  <c r="O51" i="13"/>
  <c r="N52" i="13"/>
  <c r="O52" i="13"/>
  <c r="N53" i="13"/>
  <c r="O53" i="13"/>
  <c r="N54" i="13"/>
  <c r="O54" i="13"/>
  <c r="P16" i="5" l="1"/>
  <c r="P17" i="5"/>
  <c r="P13" i="5"/>
  <c r="O11" i="5"/>
  <c r="O57" i="8" l="1"/>
  <c r="O59" i="8"/>
  <c r="O80" i="8"/>
  <c r="O84" i="8"/>
  <c r="I13" i="3" l="1"/>
  <c r="G70" i="3" l="1"/>
  <c r="G70" i="7"/>
  <c r="M362" i="12" l="1"/>
  <c r="N362" i="12"/>
  <c r="N359" i="12"/>
  <c r="M359" i="12"/>
  <c r="L93" i="3"/>
  <c r="G93" i="3"/>
  <c r="L93" i="7"/>
  <c r="G93" i="7"/>
  <c r="G39" i="3" l="1"/>
  <c r="G123" i="3"/>
  <c r="M355" i="12" l="1"/>
  <c r="N355" i="12"/>
  <c r="N351" i="12"/>
  <c r="M351" i="12"/>
  <c r="G34" i="3"/>
  <c r="G34" i="7"/>
  <c r="M349" i="12" l="1"/>
  <c r="N349" i="12"/>
  <c r="N347" i="12"/>
  <c r="M347" i="12"/>
  <c r="G97" i="3"/>
  <c r="G97" i="7"/>
  <c r="G75" i="3" l="1"/>
  <c r="M344" i="12" l="1"/>
  <c r="N344" i="12"/>
  <c r="N341" i="12"/>
  <c r="M341" i="12"/>
  <c r="G23" i="3"/>
  <c r="G23" i="7"/>
  <c r="M339" i="12"/>
  <c r="N339" i="12"/>
  <c r="N337" i="12"/>
  <c r="M337" i="12"/>
  <c r="G130" i="3" l="1"/>
  <c r="G75" i="7"/>
  <c r="G130" i="7"/>
  <c r="N333" i="12" l="1"/>
  <c r="M333" i="12"/>
  <c r="N329" i="12"/>
  <c r="M329" i="12"/>
  <c r="M328" i="12"/>
  <c r="N328" i="12"/>
  <c r="G91" i="3" l="1"/>
  <c r="M327" i="12" l="1"/>
  <c r="N327" i="12"/>
  <c r="M326" i="12"/>
  <c r="N326" i="12"/>
  <c r="G65" i="3"/>
  <c r="G65" i="7"/>
  <c r="M320" i="12"/>
  <c r="N320" i="12"/>
  <c r="M321" i="12"/>
  <c r="N321" i="12"/>
  <c r="M322" i="12"/>
  <c r="N322" i="12"/>
  <c r="M323" i="12"/>
  <c r="N323" i="12"/>
  <c r="M324" i="12"/>
  <c r="N324" i="12"/>
  <c r="M325" i="12"/>
  <c r="N325" i="12"/>
  <c r="M319" i="12"/>
  <c r="N319" i="12"/>
  <c r="N318" i="12"/>
  <c r="M318" i="12"/>
  <c r="N314" i="12"/>
  <c r="M314" i="12"/>
  <c r="H48" i="2" l="1"/>
  <c r="M311" i="12" l="1"/>
  <c r="N311" i="12"/>
  <c r="N308" i="12"/>
  <c r="M308" i="12"/>
  <c r="M302" i="12"/>
  <c r="N302" i="12"/>
  <c r="M304" i="12"/>
  <c r="N304" i="12"/>
  <c r="M306" i="12"/>
  <c r="N306" i="12"/>
  <c r="N300" i="12"/>
  <c r="M300" i="12"/>
  <c r="M273" i="12"/>
  <c r="N273" i="12"/>
  <c r="M274" i="12"/>
  <c r="N274" i="12"/>
  <c r="M275" i="12"/>
  <c r="N275" i="12"/>
  <c r="M276" i="12"/>
  <c r="N276" i="12"/>
  <c r="M277" i="12"/>
  <c r="N277" i="12"/>
  <c r="M278" i="12"/>
  <c r="N278" i="12"/>
  <c r="M279" i="12"/>
  <c r="N279" i="12"/>
  <c r="M280" i="12"/>
  <c r="N280" i="12"/>
  <c r="M281" i="12"/>
  <c r="N281" i="12"/>
  <c r="M282" i="12"/>
  <c r="N282" i="12"/>
  <c r="M283" i="12"/>
  <c r="N283" i="12"/>
  <c r="M284" i="12"/>
  <c r="N284" i="12"/>
  <c r="M285" i="12"/>
  <c r="N285" i="12"/>
  <c r="M286" i="12"/>
  <c r="N286" i="12"/>
  <c r="M287" i="12"/>
  <c r="N287" i="12"/>
  <c r="M288" i="12"/>
  <c r="N288" i="12"/>
  <c r="M289" i="12"/>
  <c r="N289" i="12"/>
  <c r="M290" i="12"/>
  <c r="N290" i="12"/>
  <c r="M291" i="12"/>
  <c r="N291" i="12"/>
  <c r="M292" i="12"/>
  <c r="N292" i="12"/>
  <c r="M293" i="12"/>
  <c r="N293" i="12"/>
  <c r="M294" i="12"/>
  <c r="N294" i="12"/>
  <c r="M295" i="12"/>
  <c r="N295" i="12"/>
  <c r="M296" i="12"/>
  <c r="N296" i="12"/>
  <c r="M297" i="12"/>
  <c r="N297" i="12"/>
  <c r="M298" i="12"/>
  <c r="N298" i="12"/>
  <c r="M299" i="12"/>
  <c r="N299" i="12"/>
  <c r="N272" i="12"/>
  <c r="M272" i="12"/>
  <c r="G58" i="3" l="1"/>
  <c r="G58" i="7"/>
  <c r="M268" i="12"/>
  <c r="N268" i="12"/>
  <c r="N264" i="12"/>
  <c r="M264" i="12"/>
  <c r="G95" i="3"/>
  <c r="G95" i="7"/>
  <c r="M263" i="12" l="1"/>
  <c r="N263" i="12"/>
  <c r="N262" i="12"/>
  <c r="M262" i="12"/>
  <c r="M260" i="12"/>
  <c r="N260" i="12"/>
  <c r="N258" i="12"/>
  <c r="M258" i="12"/>
  <c r="G83" i="3"/>
  <c r="G83" i="7"/>
  <c r="G39" i="7" l="1"/>
  <c r="M257" i="12"/>
  <c r="N257" i="12"/>
  <c r="M256" i="12"/>
  <c r="N256" i="12"/>
  <c r="M255" i="12"/>
  <c r="N255" i="12"/>
  <c r="M254" i="12"/>
  <c r="N254" i="12"/>
  <c r="M253" i="12"/>
  <c r="N253" i="12"/>
  <c r="M252" i="12"/>
  <c r="N252" i="12"/>
  <c r="M251" i="12"/>
  <c r="N251" i="12"/>
  <c r="M250" i="12"/>
  <c r="N250" i="12"/>
  <c r="G53" i="3"/>
  <c r="G53" i="7"/>
  <c r="M249" i="12"/>
  <c r="N249" i="12"/>
  <c r="M248" i="12"/>
  <c r="N248" i="12"/>
  <c r="M247" i="12" l="1"/>
  <c r="N247" i="12"/>
  <c r="M246" i="12"/>
  <c r="N246" i="12"/>
  <c r="M245" i="12"/>
  <c r="N245" i="12"/>
  <c r="M244" i="12"/>
  <c r="N244" i="12"/>
  <c r="M243" i="12"/>
  <c r="N243" i="12"/>
  <c r="M242" i="12"/>
  <c r="N242" i="12"/>
  <c r="M241" i="12"/>
  <c r="N241" i="12"/>
  <c r="M240" i="12"/>
  <c r="N240" i="12"/>
  <c r="M239" i="12"/>
  <c r="N239" i="12"/>
  <c r="M238" i="12"/>
  <c r="N238" i="12"/>
  <c r="M237" i="12"/>
  <c r="N237" i="12"/>
  <c r="M236" i="12"/>
  <c r="N236" i="12"/>
  <c r="M235" i="12"/>
  <c r="N235" i="12"/>
  <c r="M234" i="12"/>
  <c r="N234" i="12"/>
  <c r="M233" i="12"/>
  <c r="N233" i="12"/>
  <c r="M232" i="12"/>
  <c r="N232" i="12"/>
  <c r="M231" i="12"/>
  <c r="N231" i="12"/>
  <c r="M230" i="12"/>
  <c r="N230" i="12"/>
  <c r="M229" i="12"/>
  <c r="N229" i="12"/>
  <c r="M228" i="12"/>
  <c r="N228" i="12"/>
  <c r="M227" i="12"/>
  <c r="N227" i="12"/>
  <c r="M226" i="12"/>
  <c r="N226" i="12"/>
  <c r="G131" i="7"/>
  <c r="M225" i="12"/>
  <c r="N225" i="12"/>
  <c r="G131" i="3"/>
  <c r="M224" i="12" l="1"/>
  <c r="N224" i="12"/>
  <c r="M223" i="12"/>
  <c r="N223" i="12"/>
  <c r="G87" i="3"/>
  <c r="G87" i="7"/>
  <c r="M222" i="12"/>
  <c r="N222" i="12"/>
  <c r="M221" i="12"/>
  <c r="N221" i="12"/>
  <c r="G94" i="3"/>
  <c r="G94" i="7"/>
  <c r="N220" i="12"/>
  <c r="M220" i="12"/>
  <c r="N219" i="12"/>
  <c r="M219" i="12"/>
  <c r="G55" i="3"/>
  <c r="G55" i="7"/>
  <c r="N218" i="12"/>
  <c r="M218" i="12"/>
  <c r="N217" i="12"/>
  <c r="M217" i="12"/>
  <c r="O18" i="13"/>
  <c r="N18" i="13"/>
  <c r="O17" i="13"/>
  <c r="N17" i="13"/>
  <c r="O16" i="13"/>
  <c r="N16" i="13"/>
  <c r="O15" i="13"/>
  <c r="N15" i="13"/>
  <c r="N213" i="12"/>
  <c r="M213" i="12"/>
  <c r="H13" i="2"/>
  <c r="N212" i="12"/>
  <c r="M212" i="12"/>
  <c r="N211" i="12"/>
  <c r="M211" i="12"/>
  <c r="H35" i="2"/>
  <c r="H16" i="2"/>
  <c r="M186" i="12" l="1"/>
  <c r="N186" i="12"/>
  <c r="M187" i="12"/>
  <c r="N187" i="12"/>
  <c r="M188" i="12"/>
  <c r="N188" i="12"/>
  <c r="M189" i="12"/>
  <c r="N189" i="12"/>
  <c r="M190" i="12"/>
  <c r="N190" i="12"/>
  <c r="M191" i="12"/>
  <c r="N191" i="12"/>
  <c r="M192" i="12"/>
  <c r="N192" i="12"/>
  <c r="M193" i="12"/>
  <c r="N193" i="12"/>
  <c r="M194" i="12"/>
  <c r="N194" i="12"/>
  <c r="M195" i="12"/>
  <c r="N195" i="12"/>
  <c r="M196" i="12"/>
  <c r="N196" i="12"/>
  <c r="M197" i="12"/>
  <c r="N197" i="12"/>
  <c r="M198" i="12"/>
  <c r="N198" i="12"/>
  <c r="M199" i="12"/>
  <c r="N199" i="12"/>
  <c r="M200" i="12"/>
  <c r="N200" i="12"/>
  <c r="M201" i="12"/>
  <c r="N201" i="12"/>
  <c r="M202" i="12"/>
  <c r="N202" i="12"/>
  <c r="M203" i="12"/>
  <c r="N203" i="12"/>
  <c r="M204" i="12"/>
  <c r="N204" i="12"/>
  <c r="M205" i="12"/>
  <c r="N205" i="12"/>
  <c r="M206" i="12"/>
  <c r="N206" i="12"/>
  <c r="M207" i="12"/>
  <c r="N207" i="12"/>
  <c r="M208" i="12"/>
  <c r="N208" i="12"/>
  <c r="M209" i="12"/>
  <c r="N209" i="12"/>
  <c r="M210" i="12"/>
  <c r="N210" i="12"/>
  <c r="M185" i="12"/>
  <c r="N185" i="12"/>
  <c r="M184" i="12"/>
  <c r="N184" i="12"/>
  <c r="M183" i="12"/>
  <c r="N183" i="12"/>
  <c r="G47" i="3" l="1"/>
  <c r="G98" i="3"/>
  <c r="G47" i="7"/>
  <c r="G98" i="7"/>
  <c r="G74" i="3"/>
  <c r="G74" i="7"/>
  <c r="G49" i="3"/>
  <c r="G49" i="7"/>
  <c r="N182" i="12" l="1"/>
  <c r="M182" i="12"/>
  <c r="G50" i="3"/>
  <c r="G50" i="7"/>
  <c r="N181" i="12"/>
  <c r="M181" i="12"/>
  <c r="N180" i="12"/>
  <c r="M180" i="12"/>
  <c r="N179" i="12"/>
  <c r="M179" i="12"/>
  <c r="N178" i="12"/>
  <c r="M178" i="12"/>
  <c r="G126" i="3"/>
  <c r="G126" i="7"/>
  <c r="M142" i="12" l="1"/>
  <c r="N142" i="12"/>
  <c r="M143" i="12"/>
  <c r="N143" i="12"/>
  <c r="M144" i="12"/>
  <c r="N144" i="12"/>
  <c r="M145" i="12"/>
  <c r="N145" i="12"/>
  <c r="M146" i="12"/>
  <c r="N146" i="12"/>
  <c r="M147" i="12"/>
  <c r="N147" i="12"/>
  <c r="M148" i="12"/>
  <c r="N148" i="12"/>
  <c r="M149" i="12"/>
  <c r="N149" i="12"/>
  <c r="M150" i="12"/>
  <c r="N150" i="12"/>
  <c r="M151" i="12"/>
  <c r="N151" i="12"/>
  <c r="M152" i="12"/>
  <c r="N152" i="12"/>
  <c r="M153" i="12"/>
  <c r="N153" i="12"/>
  <c r="M154" i="12"/>
  <c r="N154" i="12"/>
  <c r="M155" i="12"/>
  <c r="N155" i="12"/>
  <c r="M156" i="12"/>
  <c r="N156" i="12"/>
  <c r="M157" i="12"/>
  <c r="N157" i="12"/>
  <c r="M158" i="12"/>
  <c r="N158" i="12"/>
  <c r="M159" i="12"/>
  <c r="N159" i="12"/>
  <c r="M160" i="12"/>
  <c r="N160" i="12"/>
  <c r="M161" i="12"/>
  <c r="N161" i="12"/>
  <c r="M162" i="12"/>
  <c r="N162" i="12"/>
  <c r="M163" i="12"/>
  <c r="N163" i="12"/>
  <c r="M164" i="12"/>
  <c r="N164" i="12"/>
  <c r="M165" i="12"/>
  <c r="N165" i="12"/>
  <c r="M166" i="12"/>
  <c r="N166" i="12"/>
  <c r="M167" i="12"/>
  <c r="N167" i="12"/>
  <c r="M168" i="12"/>
  <c r="N168" i="12"/>
  <c r="M169" i="12"/>
  <c r="N169" i="12"/>
  <c r="M170" i="12"/>
  <c r="N170" i="12"/>
  <c r="M171" i="12"/>
  <c r="N171" i="12"/>
  <c r="M172" i="12"/>
  <c r="N172" i="12"/>
  <c r="M173" i="12"/>
  <c r="N173" i="12"/>
  <c r="M174" i="12"/>
  <c r="N174" i="12"/>
  <c r="M175" i="12"/>
  <c r="N175" i="12"/>
  <c r="M176" i="12"/>
  <c r="N176" i="12"/>
  <c r="M177" i="12"/>
  <c r="N177" i="12"/>
  <c r="N141" i="12" l="1"/>
  <c r="M141" i="12"/>
  <c r="N140" i="12"/>
  <c r="M140" i="12"/>
  <c r="M137" i="12"/>
  <c r="N137" i="12"/>
  <c r="M134" i="12"/>
  <c r="N134" i="12"/>
  <c r="M133" i="12"/>
  <c r="N133" i="12"/>
  <c r="M132" i="12"/>
  <c r="N132" i="12"/>
  <c r="G81" i="3"/>
  <c r="G52" i="3"/>
  <c r="G52" i="7"/>
  <c r="G81" i="7"/>
  <c r="G42" i="3" l="1"/>
  <c r="G125" i="3"/>
  <c r="N131" i="12"/>
  <c r="M131" i="12"/>
  <c r="N130" i="12"/>
  <c r="M130" i="12"/>
  <c r="G123" i="7"/>
  <c r="N129" i="12"/>
  <c r="M129" i="12"/>
  <c r="N128" i="12"/>
  <c r="M128" i="12"/>
  <c r="N127" i="12"/>
  <c r="M127" i="12"/>
  <c r="N126" i="12"/>
  <c r="M126" i="12"/>
  <c r="N125" i="12"/>
  <c r="M125" i="12"/>
  <c r="N124" i="12"/>
  <c r="M124" i="12"/>
  <c r="N123" i="12"/>
  <c r="M123" i="12"/>
  <c r="N122" i="12"/>
  <c r="M122" i="12"/>
  <c r="N121" i="12"/>
  <c r="M121" i="12"/>
  <c r="N120" i="12"/>
  <c r="M120" i="12"/>
  <c r="N119" i="12"/>
  <c r="M119" i="12"/>
  <c r="N118" i="12"/>
  <c r="M118" i="12"/>
  <c r="N117" i="12"/>
  <c r="M117" i="12"/>
  <c r="N116" i="12"/>
  <c r="M116" i="12"/>
  <c r="N115" i="12"/>
  <c r="M115" i="12"/>
  <c r="N114" i="12"/>
  <c r="M114" i="12"/>
  <c r="N113" i="12"/>
  <c r="M113" i="12"/>
  <c r="N112" i="12"/>
  <c r="M112" i="12"/>
  <c r="N111" i="12"/>
  <c r="M111" i="12"/>
  <c r="N110" i="12"/>
  <c r="M110" i="12"/>
  <c r="N109" i="12"/>
  <c r="M109" i="12"/>
  <c r="N108" i="12"/>
  <c r="M108" i="12"/>
  <c r="N107" i="12"/>
  <c r="M107" i="12"/>
  <c r="N106" i="12"/>
  <c r="M106" i="12"/>
  <c r="N105" i="12"/>
  <c r="M105" i="12"/>
  <c r="N104" i="12"/>
  <c r="M104" i="12"/>
  <c r="N103" i="12"/>
  <c r="M103" i="12"/>
  <c r="N102" i="12"/>
  <c r="M102" i="12"/>
  <c r="N101" i="12"/>
  <c r="M101" i="12"/>
  <c r="N100" i="12"/>
  <c r="M100" i="12"/>
  <c r="N99" i="12"/>
  <c r="M99" i="12"/>
  <c r="N98" i="12"/>
  <c r="M98" i="12"/>
  <c r="N97" i="12"/>
  <c r="M97" i="12"/>
  <c r="N96" i="12"/>
  <c r="M96" i="12"/>
  <c r="N95" i="12"/>
  <c r="M95" i="12"/>
  <c r="N94" i="12"/>
  <c r="M94" i="12"/>
  <c r="N93" i="12"/>
  <c r="M93" i="12"/>
  <c r="N92" i="12"/>
  <c r="M92" i="12"/>
  <c r="O14" i="13"/>
  <c r="H12" i="2" l="1"/>
  <c r="N13" i="13" l="1"/>
  <c r="O13" i="13"/>
  <c r="H41" i="2" l="1"/>
  <c r="N12" i="13"/>
  <c r="O12" i="13"/>
  <c r="H11" i="2"/>
  <c r="N90" i="12" l="1"/>
  <c r="N91" i="12"/>
  <c r="M91" i="12"/>
  <c r="M90" i="12"/>
  <c r="G103" i="7"/>
  <c r="M89" i="12"/>
  <c r="N89" i="12"/>
  <c r="M88" i="12"/>
  <c r="N88" i="12"/>
  <c r="M87" i="12"/>
  <c r="N87" i="12"/>
  <c r="N86" i="12"/>
  <c r="M86" i="12"/>
  <c r="G19" i="3"/>
  <c r="G19" i="7"/>
  <c r="N84" i="12"/>
  <c r="M84" i="12"/>
  <c r="F40" i="2"/>
  <c r="H40" i="2"/>
  <c r="M83" i="12"/>
  <c r="N83" i="12"/>
  <c r="M82" i="12"/>
  <c r="N82" i="12"/>
  <c r="G125" i="7"/>
  <c r="N6" i="13" l="1"/>
  <c r="O6" i="13"/>
  <c r="N7" i="13"/>
  <c r="O7" i="13"/>
  <c r="N8" i="13"/>
  <c r="O8" i="13"/>
  <c r="N9" i="13"/>
  <c r="O9" i="13"/>
  <c r="N10" i="13"/>
  <c r="O10" i="13"/>
  <c r="N11" i="13"/>
  <c r="O11" i="13"/>
  <c r="M81" i="12" l="1"/>
  <c r="N81" i="12"/>
  <c r="M80" i="12"/>
  <c r="N80" i="12"/>
  <c r="M79" i="12"/>
  <c r="N79" i="12"/>
  <c r="M78" i="12"/>
  <c r="N78" i="12"/>
  <c r="N5" i="13"/>
  <c r="O5" i="13"/>
  <c r="M54" i="12"/>
  <c r="N54" i="12"/>
  <c r="M56" i="12"/>
  <c r="N56" i="12"/>
  <c r="M58" i="12"/>
  <c r="N58" i="12"/>
  <c r="M60" i="12"/>
  <c r="N60" i="12"/>
  <c r="M62" i="12"/>
  <c r="N62" i="12"/>
  <c r="M64" i="12"/>
  <c r="N64" i="12"/>
  <c r="M66" i="12"/>
  <c r="N66" i="12"/>
  <c r="M68" i="12"/>
  <c r="N68" i="12"/>
  <c r="M70" i="12"/>
  <c r="N70" i="12"/>
  <c r="M72" i="12"/>
  <c r="N72" i="12"/>
  <c r="M74" i="12"/>
  <c r="N74" i="12"/>
  <c r="M76" i="12"/>
  <c r="N76" i="12"/>
  <c r="M55" i="12"/>
  <c r="N55" i="12"/>
  <c r="M57" i="12"/>
  <c r="N57" i="12"/>
  <c r="M59" i="12"/>
  <c r="N59" i="12"/>
  <c r="M61" i="12"/>
  <c r="N61" i="12"/>
  <c r="M63" i="12"/>
  <c r="N63" i="12"/>
  <c r="M65" i="12"/>
  <c r="N65" i="12"/>
  <c r="M67" i="12"/>
  <c r="N67" i="12"/>
  <c r="M69" i="12"/>
  <c r="N69" i="12"/>
  <c r="M71" i="12"/>
  <c r="N71" i="12"/>
  <c r="M73" i="12"/>
  <c r="N73" i="12"/>
  <c r="M75" i="12"/>
  <c r="N75" i="12"/>
  <c r="M77" i="12"/>
  <c r="N77" i="12"/>
  <c r="F42" i="2"/>
  <c r="H42" i="2"/>
  <c r="M53" i="12" l="1"/>
  <c r="N53" i="12"/>
  <c r="N52" i="12"/>
  <c r="M52" i="12"/>
  <c r="J9" i="15" l="1"/>
  <c r="J5" i="15"/>
  <c r="N47" i="12" l="1"/>
  <c r="M47" i="12"/>
  <c r="N42" i="12"/>
  <c r="M42" i="12"/>
  <c r="N37" i="12"/>
  <c r="M37" i="12"/>
  <c r="N32" i="12"/>
  <c r="M32" i="12"/>
  <c r="G129" i="3" l="1"/>
  <c r="G129" i="7"/>
  <c r="M31" i="12" l="1"/>
  <c r="N31" i="12"/>
  <c r="M30" i="12"/>
  <c r="N30" i="12"/>
  <c r="H50" i="2"/>
  <c r="H22" i="2"/>
  <c r="M28" i="12"/>
  <c r="N28" i="12"/>
  <c r="M29" i="12"/>
  <c r="N29" i="12"/>
  <c r="H33" i="2"/>
  <c r="H14" i="2"/>
  <c r="M27" i="12"/>
  <c r="N27" i="12"/>
  <c r="N26" i="12"/>
  <c r="M26" i="12"/>
  <c r="O4" i="13"/>
  <c r="N4" i="13"/>
  <c r="F45" i="2" l="1"/>
  <c r="F46" i="2"/>
  <c r="H45" i="2"/>
  <c r="G86" i="3"/>
  <c r="G86" i="7"/>
  <c r="M20" i="12"/>
  <c r="N20" i="12"/>
  <c r="M23" i="12"/>
  <c r="N23" i="12"/>
  <c r="M14" i="12" l="1"/>
  <c r="N14" i="12"/>
  <c r="M17" i="12"/>
  <c r="N17" i="12"/>
  <c r="G66" i="3"/>
  <c r="G66" i="7"/>
  <c r="N11" i="12"/>
  <c r="N8" i="12"/>
  <c r="M11" i="12"/>
  <c r="M8" i="12"/>
  <c r="G51" i="3"/>
  <c r="N6" i="12"/>
  <c r="N4" i="12"/>
  <c r="M6" i="12"/>
  <c r="M4" i="12"/>
  <c r="G51" i="7" l="1"/>
  <c r="G84" i="3"/>
  <c r="G84" i="7"/>
  <c r="O7" i="14"/>
  <c r="O8" i="14"/>
  <c r="H7" i="14"/>
  <c r="I7" i="14"/>
  <c r="K7" i="14"/>
  <c r="H8" i="14"/>
  <c r="I8" i="14"/>
  <c r="K8" i="14"/>
  <c r="E7" i="14"/>
  <c r="E8" i="14"/>
  <c r="F12" i="2"/>
  <c r="G12" i="2"/>
  <c r="I12" i="2" s="1"/>
  <c r="J7" i="14" s="1"/>
  <c r="F13" i="2"/>
  <c r="G13" i="2"/>
  <c r="I13" i="2" s="1"/>
  <c r="J8" i="14" s="1"/>
  <c r="O6" i="14"/>
  <c r="H6" i="14"/>
  <c r="I6" i="14"/>
  <c r="K6" i="14"/>
  <c r="E6" i="14"/>
  <c r="F11" i="2"/>
  <c r="I11" i="2"/>
  <c r="K11" i="2" s="1"/>
  <c r="L6" i="14" s="1"/>
  <c r="G11" i="2"/>
  <c r="J6" i="14" l="1"/>
  <c r="M7" i="14"/>
  <c r="K12" i="2"/>
  <c r="L7" i="14" s="1"/>
  <c r="M8" i="14"/>
  <c r="K13" i="2"/>
  <c r="L8" i="14" s="1"/>
  <c r="M6" i="14"/>
  <c r="E24" i="1" l="1"/>
  <c r="E7" i="1"/>
  <c r="G9" i="5" l="1"/>
  <c r="H9" i="5"/>
  <c r="J9" i="5"/>
  <c r="G10" i="5"/>
  <c r="H10" i="5"/>
  <c r="J10" i="5"/>
  <c r="H163" i="14"/>
  <c r="I163" i="14"/>
  <c r="K163" i="14"/>
  <c r="N163" i="14"/>
  <c r="O163" i="14"/>
  <c r="H164" i="14"/>
  <c r="I164" i="14"/>
  <c r="K164" i="14"/>
  <c r="N164" i="14"/>
  <c r="O164" i="14"/>
  <c r="E163" i="14"/>
  <c r="E164" i="14"/>
  <c r="H44" i="14"/>
  <c r="I44" i="14"/>
  <c r="K44" i="14"/>
  <c r="N44" i="14"/>
  <c r="O44" i="14"/>
  <c r="H45" i="14"/>
  <c r="I45" i="14"/>
  <c r="K45" i="14"/>
  <c r="N45" i="14"/>
  <c r="O45" i="14"/>
  <c r="E44" i="14"/>
  <c r="E45" i="14"/>
  <c r="H10" i="3"/>
  <c r="L10" i="3" s="1"/>
  <c r="M163" i="14" s="1"/>
  <c r="H11" i="3"/>
  <c r="K11" i="3" s="1"/>
  <c r="L164" i="14" s="1"/>
  <c r="L10" i="5" l="1"/>
  <c r="I10" i="5"/>
  <c r="L11" i="3"/>
  <c r="M164" i="14" s="1"/>
  <c r="J164" i="14"/>
  <c r="J163" i="14"/>
  <c r="I9" i="5"/>
  <c r="K10" i="3"/>
  <c r="H10" i="7"/>
  <c r="H11" i="7"/>
  <c r="L163" i="14" l="1"/>
  <c r="L9" i="5"/>
  <c r="L11" i="7"/>
  <c r="M45" i="14" s="1"/>
  <c r="E10" i="5"/>
  <c r="J45" i="14"/>
  <c r="L10" i="7"/>
  <c r="M44" i="14" s="1"/>
  <c r="E9" i="5"/>
  <c r="F9" i="5" s="1"/>
  <c r="J44" i="14"/>
  <c r="P9" i="5"/>
  <c r="K11" i="7"/>
  <c r="K10" i="7"/>
  <c r="K9" i="5" l="1"/>
  <c r="L44" i="14"/>
  <c r="K10" i="5"/>
  <c r="L45" i="14"/>
  <c r="F10" i="5"/>
  <c r="P10" i="5"/>
  <c r="H248" i="14"/>
  <c r="I248" i="14"/>
  <c r="K248" i="14"/>
  <c r="N248" i="14"/>
  <c r="O248" i="14"/>
  <c r="H249" i="14"/>
  <c r="I249" i="14"/>
  <c r="K249" i="14"/>
  <c r="N249" i="14"/>
  <c r="O249" i="14"/>
  <c r="E248" i="14"/>
  <c r="E249" i="14"/>
  <c r="H187" i="14"/>
  <c r="I187" i="14"/>
  <c r="K187" i="14"/>
  <c r="N187" i="14"/>
  <c r="O187" i="14"/>
  <c r="E187" i="14"/>
  <c r="H129" i="14"/>
  <c r="I129" i="14"/>
  <c r="K129" i="14"/>
  <c r="N129" i="14"/>
  <c r="O129" i="14"/>
  <c r="H130" i="14"/>
  <c r="I130" i="14"/>
  <c r="K130" i="14"/>
  <c r="N130" i="14"/>
  <c r="O130" i="14"/>
  <c r="E129" i="14"/>
  <c r="E130" i="14"/>
  <c r="H68" i="14"/>
  <c r="I68" i="14"/>
  <c r="K68" i="14"/>
  <c r="N68" i="14"/>
  <c r="O68" i="14"/>
  <c r="E68" i="14"/>
  <c r="G81" i="8"/>
  <c r="H81" i="8"/>
  <c r="J81" i="8"/>
  <c r="G82" i="8"/>
  <c r="H82" i="8"/>
  <c r="J82" i="8"/>
  <c r="G20" i="8"/>
  <c r="H20" i="8"/>
  <c r="J20" i="8"/>
  <c r="N10" i="5" l="1"/>
  <c r="Q10" i="5" s="1"/>
  <c r="M10" i="5"/>
  <c r="N9" i="5"/>
  <c r="Q9" i="5" s="1"/>
  <c r="M9" i="5"/>
  <c r="I82" i="8"/>
  <c r="I81" i="8"/>
  <c r="I20" i="8"/>
  <c r="H98" i="3" l="1"/>
  <c r="H99" i="3"/>
  <c r="H98" i="7"/>
  <c r="H99" i="7"/>
  <c r="L99" i="3" l="1"/>
  <c r="M249" i="14" s="1"/>
  <c r="J249" i="14"/>
  <c r="L98" i="3"/>
  <c r="M248" i="14" s="1"/>
  <c r="J248" i="14"/>
  <c r="L99" i="7"/>
  <c r="M130" i="14" s="1"/>
  <c r="J130" i="14"/>
  <c r="E82" i="8"/>
  <c r="L98" i="7"/>
  <c r="M129" i="14" s="1"/>
  <c r="J129" i="14"/>
  <c r="E81" i="8"/>
  <c r="K99" i="3"/>
  <c r="K98" i="3"/>
  <c r="K98" i="7"/>
  <c r="K99" i="7"/>
  <c r="H37" i="3"/>
  <c r="H37" i="7"/>
  <c r="L249" i="14" l="1"/>
  <c r="L82" i="8"/>
  <c r="L248" i="14"/>
  <c r="L81" i="8"/>
  <c r="L37" i="3"/>
  <c r="M187" i="14" s="1"/>
  <c r="J187" i="14"/>
  <c r="K37" i="3"/>
  <c r="L130" i="14"/>
  <c r="K82" i="8"/>
  <c r="F82" i="8"/>
  <c r="P82" i="8"/>
  <c r="F81" i="8"/>
  <c r="P81" i="8"/>
  <c r="L129" i="14"/>
  <c r="K81" i="8"/>
  <c r="K37" i="7"/>
  <c r="E20" i="8"/>
  <c r="J68" i="14"/>
  <c r="L37" i="7"/>
  <c r="M68" i="14" s="1"/>
  <c r="D3" i="15"/>
  <c r="L187" i="14" l="1"/>
  <c r="L20" i="8"/>
  <c r="N82" i="8"/>
  <c r="Q82" i="8" s="1"/>
  <c r="M82" i="8"/>
  <c r="M81" i="8"/>
  <c r="N81" i="8"/>
  <c r="Q81" i="8" s="1"/>
  <c r="F20" i="8"/>
  <c r="P20" i="8"/>
  <c r="K20" i="8"/>
  <c r="L68" i="14"/>
  <c r="F32" i="2"/>
  <c r="F39" i="2"/>
  <c r="F49" i="2"/>
  <c r="F48" i="2"/>
  <c r="F47" i="2"/>
  <c r="F43" i="2"/>
  <c r="F44" i="2"/>
  <c r="F41" i="2"/>
  <c r="F33" i="2"/>
  <c r="F38" i="2"/>
  <c r="F37" i="2"/>
  <c r="F36" i="2"/>
  <c r="F34" i="2"/>
  <c r="F50" i="2"/>
  <c r="F35" i="2"/>
  <c r="F31" i="2"/>
  <c r="F30" i="2"/>
  <c r="F21" i="2"/>
  <c r="F14" i="2"/>
  <c r="F20" i="2"/>
  <c r="F19" i="2"/>
  <c r="F18" i="2"/>
  <c r="F17" i="2"/>
  <c r="F15" i="2"/>
  <c r="F22" i="2"/>
  <c r="F16" i="2"/>
  <c r="F10" i="2"/>
  <c r="F9" i="2"/>
  <c r="F8" i="2"/>
  <c r="F7" i="2"/>
  <c r="N20" i="8" l="1"/>
  <c r="Q20" i="8" s="1"/>
  <c r="M20" i="8"/>
  <c r="O3" i="14"/>
  <c r="O4" i="14"/>
  <c r="O5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" i="14"/>
  <c r="I134" i="7" l="1"/>
  <c r="I121" i="7"/>
  <c r="H12" i="1" s="1"/>
  <c r="H13" i="1" l="1"/>
  <c r="N41" i="14" l="1"/>
  <c r="N42" i="14"/>
  <c r="N43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151" i="14"/>
  <c r="N152" i="14"/>
  <c r="N153" i="14"/>
  <c r="N154" i="14"/>
  <c r="N155" i="14"/>
  <c r="N156" i="14"/>
  <c r="N157" i="14"/>
  <c r="N158" i="14"/>
  <c r="N159" i="14"/>
  <c r="N160" i="14"/>
  <c r="N161" i="14"/>
  <c r="N162" i="14"/>
  <c r="N165" i="14"/>
  <c r="N166" i="14"/>
  <c r="N167" i="14"/>
  <c r="N168" i="14"/>
  <c r="N169" i="14"/>
  <c r="N170" i="14"/>
  <c r="N171" i="14"/>
  <c r="N172" i="14"/>
  <c r="N173" i="14"/>
  <c r="N174" i="14"/>
  <c r="N175" i="14"/>
  <c r="N176" i="14"/>
  <c r="N177" i="14"/>
  <c r="N178" i="14"/>
  <c r="N179" i="14"/>
  <c r="N180" i="14"/>
  <c r="N181" i="14"/>
  <c r="N182" i="14"/>
  <c r="N183" i="14"/>
  <c r="N184" i="14"/>
  <c r="N185" i="14"/>
  <c r="N186" i="14"/>
  <c r="N188" i="14"/>
  <c r="N189" i="14"/>
  <c r="N190" i="14"/>
  <c r="N191" i="14"/>
  <c r="N192" i="14"/>
  <c r="N193" i="14"/>
  <c r="N194" i="14"/>
  <c r="N195" i="14"/>
  <c r="N196" i="14"/>
  <c r="N197" i="14"/>
  <c r="N198" i="14"/>
  <c r="N199" i="14"/>
  <c r="N200" i="14"/>
  <c r="N201" i="14"/>
  <c r="N202" i="14"/>
  <c r="N203" i="14"/>
  <c r="N204" i="14"/>
  <c r="N205" i="14"/>
  <c r="N206" i="14"/>
  <c r="N207" i="14"/>
  <c r="N208" i="14"/>
  <c r="N209" i="14"/>
  <c r="N210" i="14"/>
  <c r="N211" i="14"/>
  <c r="N212" i="14"/>
  <c r="N213" i="14"/>
  <c r="N214" i="14"/>
  <c r="N215" i="14"/>
  <c r="N216" i="14"/>
  <c r="N217" i="14"/>
  <c r="N218" i="14"/>
  <c r="N219" i="14"/>
  <c r="N220" i="14"/>
  <c r="N221" i="14"/>
  <c r="N222" i="14"/>
  <c r="N223" i="14"/>
  <c r="N224" i="14"/>
  <c r="N225" i="14"/>
  <c r="N226" i="14"/>
  <c r="N227" i="14"/>
  <c r="N228" i="14"/>
  <c r="N229" i="14"/>
  <c r="N230" i="14"/>
  <c r="N231" i="14"/>
  <c r="N232" i="14"/>
  <c r="N233" i="14"/>
  <c r="N234" i="14"/>
  <c r="N235" i="14"/>
  <c r="N236" i="14"/>
  <c r="N237" i="14"/>
  <c r="N238" i="14"/>
  <c r="N239" i="14"/>
  <c r="N240" i="14"/>
  <c r="N241" i="14"/>
  <c r="N242" i="14"/>
  <c r="N243" i="14"/>
  <c r="N244" i="14"/>
  <c r="N245" i="14"/>
  <c r="N246" i="14"/>
  <c r="N247" i="14"/>
  <c r="N250" i="14"/>
  <c r="N251" i="14"/>
  <c r="N252" i="14"/>
  <c r="N253" i="14"/>
  <c r="N254" i="14"/>
  <c r="N255" i="14"/>
  <c r="N256" i="14"/>
  <c r="N257" i="14"/>
  <c r="N258" i="14"/>
  <c r="N259" i="14"/>
  <c r="N260" i="14"/>
  <c r="N261" i="14"/>
  <c r="N262" i="14"/>
  <c r="N263" i="14"/>
  <c r="N264" i="14"/>
  <c r="N265" i="14"/>
  <c r="N266" i="14"/>
  <c r="N267" i="14"/>
  <c r="N268" i="14"/>
  <c r="N269" i="14"/>
  <c r="N270" i="14"/>
  <c r="N271" i="14"/>
  <c r="N272" i="14"/>
  <c r="N273" i="14"/>
  <c r="N274" i="14"/>
  <c r="N275" i="14"/>
  <c r="N276" i="14"/>
  <c r="N277" i="14"/>
  <c r="N278" i="14"/>
  <c r="K267" i="14"/>
  <c r="K268" i="14"/>
  <c r="K269" i="14"/>
  <c r="K270" i="14"/>
  <c r="K271" i="14"/>
  <c r="I272" i="14"/>
  <c r="K272" i="14"/>
  <c r="K273" i="14"/>
  <c r="I274" i="14"/>
  <c r="K274" i="14"/>
  <c r="I275" i="14"/>
  <c r="K275" i="14"/>
  <c r="I276" i="14"/>
  <c r="K276" i="14"/>
  <c r="I277" i="14"/>
  <c r="K277" i="14"/>
  <c r="H268" i="14"/>
  <c r="H269" i="14"/>
  <c r="H270" i="14"/>
  <c r="H271" i="14"/>
  <c r="H272" i="14"/>
  <c r="H273" i="14"/>
  <c r="H274" i="14"/>
  <c r="H275" i="14"/>
  <c r="H276" i="14"/>
  <c r="H277" i="14"/>
  <c r="H267" i="14"/>
  <c r="E278" i="14"/>
  <c r="E277" i="14"/>
  <c r="E276" i="14"/>
  <c r="E275" i="14"/>
  <c r="E268" i="14"/>
  <c r="E269" i="14"/>
  <c r="E270" i="14"/>
  <c r="E271" i="14"/>
  <c r="E272" i="14"/>
  <c r="E273" i="14"/>
  <c r="E274" i="14"/>
  <c r="E267" i="14"/>
  <c r="E266" i="14"/>
  <c r="I255" i="14"/>
  <c r="K255" i="14"/>
  <c r="I256" i="14"/>
  <c r="K256" i="14"/>
  <c r="I257" i="14"/>
  <c r="K257" i="14"/>
  <c r="I258" i="14"/>
  <c r="K258" i="14"/>
  <c r="I259" i="14"/>
  <c r="K259" i="14"/>
  <c r="I260" i="14"/>
  <c r="K260" i="14"/>
  <c r="I261" i="14"/>
  <c r="K261" i="14"/>
  <c r="I262" i="14"/>
  <c r="K262" i="14"/>
  <c r="K263" i="14"/>
  <c r="I264" i="14"/>
  <c r="K264" i="14"/>
  <c r="I265" i="14"/>
  <c r="K265" i="14"/>
  <c r="H256" i="14"/>
  <c r="H257" i="14"/>
  <c r="H258" i="14"/>
  <c r="H259" i="14"/>
  <c r="H260" i="14"/>
  <c r="H261" i="14"/>
  <c r="H262" i="14"/>
  <c r="H263" i="14"/>
  <c r="H264" i="14"/>
  <c r="H265" i="14"/>
  <c r="H255" i="14"/>
  <c r="E265" i="14"/>
  <c r="E264" i="14"/>
  <c r="E263" i="14"/>
  <c r="E256" i="14"/>
  <c r="E257" i="14"/>
  <c r="E258" i="14"/>
  <c r="E259" i="14"/>
  <c r="E260" i="14"/>
  <c r="E261" i="14"/>
  <c r="E262" i="14"/>
  <c r="E255" i="14"/>
  <c r="K253" i="14"/>
  <c r="H253" i="14"/>
  <c r="E254" i="14"/>
  <c r="E253" i="14"/>
  <c r="K173" i="14"/>
  <c r="K174" i="14"/>
  <c r="K175" i="14"/>
  <c r="K176" i="14"/>
  <c r="K177" i="14"/>
  <c r="K178" i="14"/>
  <c r="K179" i="14"/>
  <c r="K180" i="14"/>
  <c r="K181" i="14"/>
  <c r="K182" i="14"/>
  <c r="K183" i="14"/>
  <c r="K184" i="14"/>
  <c r="K185" i="14"/>
  <c r="K186" i="14"/>
  <c r="K188" i="14"/>
  <c r="K189" i="14"/>
  <c r="K190" i="14"/>
  <c r="K191" i="14"/>
  <c r="K192" i="14"/>
  <c r="K193" i="14"/>
  <c r="K194" i="14"/>
  <c r="K195" i="14"/>
  <c r="K196" i="14"/>
  <c r="K197" i="14"/>
  <c r="K198" i="14"/>
  <c r="K199" i="14"/>
  <c r="K200" i="14"/>
  <c r="K201" i="14"/>
  <c r="K202" i="14"/>
  <c r="K203" i="14"/>
  <c r="K204" i="14"/>
  <c r="K205" i="14"/>
  <c r="K206" i="14"/>
  <c r="K207" i="14"/>
  <c r="K208" i="14"/>
  <c r="K209" i="14"/>
  <c r="K210" i="14"/>
  <c r="K211" i="14"/>
  <c r="K212" i="14"/>
  <c r="K213" i="14"/>
  <c r="K214" i="14"/>
  <c r="K215" i="14"/>
  <c r="K216" i="14"/>
  <c r="K217" i="14"/>
  <c r="K218" i="14"/>
  <c r="K219" i="14"/>
  <c r="K220" i="14"/>
  <c r="K221" i="14"/>
  <c r="K222" i="14"/>
  <c r="K223" i="14"/>
  <c r="K224" i="14"/>
  <c r="K225" i="14"/>
  <c r="K226" i="14"/>
  <c r="K227" i="14"/>
  <c r="K228" i="14"/>
  <c r="K229" i="14"/>
  <c r="K230" i="14"/>
  <c r="K231" i="14"/>
  <c r="K232" i="14"/>
  <c r="K233" i="14"/>
  <c r="K234" i="14"/>
  <c r="K235" i="14"/>
  <c r="K236" i="14"/>
  <c r="K237" i="14"/>
  <c r="K238" i="14"/>
  <c r="K239" i="14"/>
  <c r="K240" i="14"/>
  <c r="K241" i="14"/>
  <c r="K242" i="14"/>
  <c r="K243" i="14"/>
  <c r="K244" i="14"/>
  <c r="K245" i="14"/>
  <c r="K246" i="14"/>
  <c r="K247" i="14"/>
  <c r="K250" i="14"/>
  <c r="K251" i="14"/>
  <c r="I175" i="14"/>
  <c r="I177" i="14"/>
  <c r="I178" i="14"/>
  <c r="I179" i="14"/>
  <c r="I180" i="14"/>
  <c r="I181" i="14"/>
  <c r="I182" i="14"/>
  <c r="I183" i="14"/>
  <c r="I185" i="14"/>
  <c r="I186" i="14"/>
  <c r="I189" i="14"/>
  <c r="I192" i="14"/>
  <c r="I193" i="14"/>
  <c r="I194" i="14"/>
  <c r="I195" i="14"/>
  <c r="I196" i="14"/>
  <c r="I198" i="14"/>
  <c r="I199" i="14"/>
  <c r="I200" i="14"/>
  <c r="I202" i="14"/>
  <c r="I204" i="14"/>
  <c r="I205" i="14"/>
  <c r="I206" i="14"/>
  <c r="I207" i="14"/>
  <c r="I208" i="14"/>
  <c r="I209" i="14"/>
  <c r="I210" i="14"/>
  <c r="I211" i="14"/>
  <c r="I213" i="14"/>
  <c r="I214" i="14"/>
  <c r="I216" i="14"/>
  <c r="I218" i="14"/>
  <c r="I219" i="14"/>
  <c r="I220" i="14"/>
  <c r="I222" i="14"/>
  <c r="I223" i="14"/>
  <c r="I224" i="14"/>
  <c r="I225" i="14"/>
  <c r="I226" i="14"/>
  <c r="I228" i="14"/>
  <c r="I230" i="14"/>
  <c r="I232" i="14"/>
  <c r="I233" i="14"/>
  <c r="I234" i="14"/>
  <c r="I236" i="14"/>
  <c r="I238" i="14"/>
  <c r="I242" i="14"/>
  <c r="I251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50" i="14"/>
  <c r="H251" i="14"/>
  <c r="H173" i="14"/>
  <c r="E252" i="14"/>
  <c r="E251" i="14"/>
  <c r="E250" i="14"/>
  <c r="E245" i="14"/>
  <c r="E246" i="14"/>
  <c r="E247" i="14"/>
  <c r="E242" i="14"/>
  <c r="E243" i="14"/>
  <c r="E244" i="14"/>
  <c r="E239" i="14"/>
  <c r="E240" i="14"/>
  <c r="E241" i="14"/>
  <c r="E228" i="14"/>
  <c r="E229" i="14"/>
  <c r="E230" i="14"/>
  <c r="E231" i="14"/>
  <c r="E232" i="14"/>
  <c r="E233" i="14"/>
  <c r="E234" i="14"/>
  <c r="E235" i="14"/>
  <c r="E236" i="14"/>
  <c r="E237" i="14"/>
  <c r="E238" i="14"/>
  <c r="E219" i="14"/>
  <c r="E220" i="14"/>
  <c r="E221" i="14"/>
  <c r="E222" i="14"/>
  <c r="E223" i="14"/>
  <c r="E224" i="14"/>
  <c r="E225" i="14"/>
  <c r="E226" i="14"/>
  <c r="E227" i="14"/>
  <c r="E208" i="14"/>
  <c r="E209" i="14"/>
  <c r="E210" i="14"/>
  <c r="E211" i="14"/>
  <c r="E212" i="14"/>
  <c r="E213" i="14"/>
  <c r="E214" i="14"/>
  <c r="E215" i="14"/>
  <c r="E216" i="14"/>
  <c r="E217" i="14"/>
  <c r="E218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8" i="14"/>
  <c r="E189" i="14"/>
  <c r="E190" i="14"/>
  <c r="E191" i="14"/>
  <c r="E192" i="14"/>
  <c r="E173" i="14"/>
  <c r="I169" i="14"/>
  <c r="K169" i="14"/>
  <c r="K170" i="14"/>
  <c r="I171" i="14"/>
  <c r="K171" i="14"/>
  <c r="H170" i="14"/>
  <c r="H171" i="14"/>
  <c r="H169" i="14"/>
  <c r="E170" i="14"/>
  <c r="E171" i="14"/>
  <c r="E172" i="14"/>
  <c r="E169" i="14"/>
  <c r="I167" i="14"/>
  <c r="K167" i="14"/>
  <c r="H167" i="14"/>
  <c r="E168" i="14"/>
  <c r="E167" i="14"/>
  <c r="K160" i="14"/>
  <c r="I161" i="14"/>
  <c r="K161" i="14"/>
  <c r="I162" i="14"/>
  <c r="K162" i="14"/>
  <c r="I165" i="14"/>
  <c r="K165" i="14"/>
  <c r="H161" i="14"/>
  <c r="H162" i="14"/>
  <c r="H165" i="14"/>
  <c r="H160" i="14"/>
  <c r="E161" i="14"/>
  <c r="E162" i="14"/>
  <c r="E165" i="14"/>
  <c r="E166" i="14"/>
  <c r="E160" i="14"/>
  <c r="K148" i="14"/>
  <c r="K149" i="14"/>
  <c r="K150" i="14"/>
  <c r="K151" i="14"/>
  <c r="K152" i="14"/>
  <c r="K153" i="14"/>
  <c r="K154" i="14"/>
  <c r="K155" i="14"/>
  <c r="K156" i="14"/>
  <c r="K157" i="14"/>
  <c r="K158" i="14"/>
  <c r="K159" i="14"/>
  <c r="I153" i="14"/>
  <c r="I155" i="14"/>
  <c r="I157" i="14"/>
  <c r="I158" i="14"/>
  <c r="H149" i="14"/>
  <c r="H150" i="14"/>
  <c r="H151" i="14"/>
  <c r="H152" i="14"/>
  <c r="H153" i="14"/>
  <c r="H154" i="14"/>
  <c r="H155" i="14"/>
  <c r="H156" i="14"/>
  <c r="H157" i="14"/>
  <c r="H158" i="14"/>
  <c r="H148" i="14"/>
  <c r="E159" i="14"/>
  <c r="E158" i="14"/>
  <c r="E156" i="14"/>
  <c r="E157" i="14"/>
  <c r="E149" i="14"/>
  <c r="E150" i="14"/>
  <c r="E151" i="14"/>
  <c r="E152" i="14"/>
  <c r="E153" i="14"/>
  <c r="E154" i="14"/>
  <c r="E155" i="14"/>
  <c r="E148" i="14"/>
  <c r="K147" i="14"/>
  <c r="E147" i="14"/>
  <c r="I136" i="14"/>
  <c r="K136" i="14"/>
  <c r="I137" i="14"/>
  <c r="K137" i="14"/>
  <c r="I138" i="14"/>
  <c r="K138" i="14"/>
  <c r="I139" i="14"/>
  <c r="K139" i="14"/>
  <c r="I140" i="14"/>
  <c r="K140" i="14"/>
  <c r="I141" i="14"/>
  <c r="K141" i="14"/>
  <c r="I142" i="14"/>
  <c r="K142" i="14"/>
  <c r="I143" i="14"/>
  <c r="K143" i="14"/>
  <c r="K144" i="14"/>
  <c r="I145" i="14"/>
  <c r="K145" i="14"/>
  <c r="I146" i="14"/>
  <c r="K146" i="14"/>
  <c r="H137" i="14"/>
  <c r="H138" i="14"/>
  <c r="H139" i="14"/>
  <c r="H140" i="14"/>
  <c r="H141" i="14"/>
  <c r="H142" i="14"/>
  <c r="H143" i="14"/>
  <c r="H144" i="14"/>
  <c r="H145" i="14"/>
  <c r="H146" i="14"/>
  <c r="H136" i="14"/>
  <c r="E146" i="14"/>
  <c r="E145" i="14"/>
  <c r="E137" i="14"/>
  <c r="E138" i="14"/>
  <c r="E139" i="14"/>
  <c r="E140" i="14"/>
  <c r="E141" i="14"/>
  <c r="E142" i="14"/>
  <c r="E143" i="14"/>
  <c r="E144" i="14"/>
  <c r="E136" i="14"/>
  <c r="I134" i="14"/>
  <c r="K134" i="14"/>
  <c r="H134" i="14"/>
  <c r="E135" i="14"/>
  <c r="E134" i="14"/>
  <c r="E13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9" i="14"/>
  <c r="K70" i="14"/>
  <c r="K71" i="14"/>
  <c r="K72" i="14"/>
  <c r="K73" i="14"/>
  <c r="K74" i="14"/>
  <c r="K75" i="14"/>
  <c r="K76" i="14"/>
  <c r="K77" i="14"/>
  <c r="K78" i="14"/>
  <c r="K79" i="14"/>
  <c r="K80" i="14"/>
  <c r="K81" i="14"/>
  <c r="K82" i="14"/>
  <c r="K83" i="14"/>
  <c r="K84" i="14"/>
  <c r="K85" i="14"/>
  <c r="K86" i="14"/>
  <c r="K87" i="14"/>
  <c r="K88" i="14"/>
  <c r="K89" i="14"/>
  <c r="K90" i="14"/>
  <c r="K91" i="14"/>
  <c r="K92" i="14"/>
  <c r="K93" i="14"/>
  <c r="K94" i="14"/>
  <c r="K95" i="14"/>
  <c r="K96" i="14"/>
  <c r="K97" i="14"/>
  <c r="K98" i="14"/>
  <c r="K99" i="14"/>
  <c r="K100" i="14"/>
  <c r="K101" i="14"/>
  <c r="K102" i="14"/>
  <c r="K103" i="14"/>
  <c r="K104" i="14"/>
  <c r="K105" i="14"/>
  <c r="K106" i="14"/>
  <c r="K107" i="14"/>
  <c r="K108" i="14"/>
  <c r="K109" i="14"/>
  <c r="K110" i="14"/>
  <c r="K111" i="14"/>
  <c r="K112" i="14"/>
  <c r="K113" i="14"/>
  <c r="K114" i="14"/>
  <c r="K115" i="14"/>
  <c r="K116" i="14"/>
  <c r="K117" i="14"/>
  <c r="K118" i="14"/>
  <c r="K119" i="14"/>
  <c r="K120" i="14"/>
  <c r="K121" i="14"/>
  <c r="K122" i="14"/>
  <c r="K123" i="14"/>
  <c r="K124" i="14"/>
  <c r="K125" i="14"/>
  <c r="K126" i="14"/>
  <c r="K127" i="14"/>
  <c r="K128" i="14"/>
  <c r="K131" i="14"/>
  <c r="K132" i="14"/>
  <c r="I54" i="14"/>
  <c r="I56" i="14"/>
  <c r="I58" i="14"/>
  <c r="I59" i="14"/>
  <c r="I60" i="14"/>
  <c r="I61" i="14"/>
  <c r="I62" i="14"/>
  <c r="I63" i="14"/>
  <c r="I64" i="14"/>
  <c r="I66" i="14"/>
  <c r="I67" i="14"/>
  <c r="I70" i="14"/>
  <c r="I73" i="14"/>
  <c r="I74" i="14"/>
  <c r="I75" i="14"/>
  <c r="I76" i="14"/>
  <c r="I77" i="14"/>
  <c r="I79" i="14"/>
  <c r="I80" i="14"/>
  <c r="I81" i="14"/>
  <c r="I83" i="14"/>
  <c r="I84" i="14"/>
  <c r="I85" i="14"/>
  <c r="I86" i="14"/>
  <c r="I87" i="14"/>
  <c r="I88" i="14"/>
  <c r="I90" i="14"/>
  <c r="I91" i="14"/>
  <c r="I92" i="14"/>
  <c r="I94" i="14"/>
  <c r="I95" i="14"/>
  <c r="I97" i="14"/>
  <c r="I99" i="14"/>
  <c r="I100" i="14"/>
  <c r="I101" i="14"/>
  <c r="I103" i="14"/>
  <c r="I104" i="14"/>
  <c r="I105" i="14"/>
  <c r="I106" i="14"/>
  <c r="I107" i="14"/>
  <c r="I109" i="14"/>
  <c r="I111" i="14"/>
  <c r="I113" i="14"/>
  <c r="I114" i="14"/>
  <c r="I117" i="14"/>
  <c r="I119" i="14"/>
  <c r="I121" i="14"/>
  <c r="I123" i="14"/>
  <c r="I132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31" i="14"/>
  <c r="H132" i="14"/>
  <c r="H54" i="14"/>
  <c r="E132" i="14"/>
  <c r="E131" i="14"/>
  <c r="E128" i="14"/>
  <c r="E127" i="14"/>
  <c r="E125" i="14"/>
  <c r="E126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01" i="14"/>
  <c r="E102" i="14"/>
  <c r="E103" i="14"/>
  <c r="E104" i="14"/>
  <c r="E105" i="14"/>
  <c r="E106" i="14"/>
  <c r="E107" i="14"/>
  <c r="E108" i="14"/>
  <c r="E109" i="14"/>
  <c r="E110" i="14"/>
  <c r="E92" i="14"/>
  <c r="E93" i="14"/>
  <c r="E94" i="14"/>
  <c r="E95" i="14"/>
  <c r="E96" i="14"/>
  <c r="E97" i="14"/>
  <c r="E98" i="14"/>
  <c r="E99" i="14"/>
  <c r="E100" i="14"/>
  <c r="E84" i="14"/>
  <c r="E85" i="14"/>
  <c r="E86" i="14"/>
  <c r="E87" i="14"/>
  <c r="E88" i="14"/>
  <c r="E89" i="14"/>
  <c r="E90" i="14"/>
  <c r="E91" i="14"/>
  <c r="E65" i="14"/>
  <c r="E66" i="14"/>
  <c r="E67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55" i="14"/>
  <c r="E56" i="14"/>
  <c r="E57" i="14"/>
  <c r="E58" i="14"/>
  <c r="E59" i="14"/>
  <c r="E60" i="14"/>
  <c r="E61" i="14"/>
  <c r="E62" i="14"/>
  <c r="E63" i="14"/>
  <c r="E64" i="14"/>
  <c r="E54" i="14"/>
  <c r="K50" i="14"/>
  <c r="K51" i="14"/>
  <c r="K52" i="14"/>
  <c r="I50" i="14"/>
  <c r="I52" i="14"/>
  <c r="H51" i="14"/>
  <c r="H52" i="14"/>
  <c r="H50" i="14"/>
  <c r="K48" i="14"/>
  <c r="I48" i="14"/>
  <c r="H48" i="14"/>
  <c r="K41" i="14"/>
  <c r="K42" i="14"/>
  <c r="K43" i="14"/>
  <c r="K46" i="14"/>
  <c r="I42" i="14"/>
  <c r="I43" i="14"/>
  <c r="I46" i="14"/>
  <c r="H42" i="14"/>
  <c r="H43" i="14"/>
  <c r="H46" i="14"/>
  <c r="H41" i="14"/>
  <c r="E51" i="14"/>
  <c r="E52" i="14"/>
  <c r="E53" i="14"/>
  <c r="E50" i="14"/>
  <c r="E49" i="14"/>
  <c r="E48" i="14"/>
  <c r="E47" i="14"/>
  <c r="I253" i="14" l="1"/>
  <c r="J134" i="3"/>
  <c r="I134" i="3"/>
  <c r="F134" i="3"/>
  <c r="H278" i="14" s="1"/>
  <c r="J121" i="3"/>
  <c r="I121" i="3"/>
  <c r="F121" i="3"/>
  <c r="H266" i="14" s="1"/>
  <c r="J107" i="3"/>
  <c r="I107" i="3"/>
  <c r="G107" i="3"/>
  <c r="F107" i="3"/>
  <c r="H254" i="14" s="1"/>
  <c r="J103" i="3"/>
  <c r="I103" i="3"/>
  <c r="F103" i="3"/>
  <c r="H252" i="14" s="1"/>
  <c r="I21" i="3"/>
  <c r="F21" i="3"/>
  <c r="H172" i="14" s="1"/>
  <c r="J16" i="3"/>
  <c r="I16" i="3"/>
  <c r="G16" i="3"/>
  <c r="F16" i="3"/>
  <c r="H168" i="14" s="1"/>
  <c r="J13" i="3"/>
  <c r="F13" i="3"/>
  <c r="H166" i="14" s="1"/>
  <c r="F134" i="7"/>
  <c r="H159" i="14" s="1"/>
  <c r="J107" i="7"/>
  <c r="I107" i="7"/>
  <c r="G107" i="7"/>
  <c r="F107" i="7"/>
  <c r="H135" i="14" s="1"/>
  <c r="I21" i="7"/>
  <c r="H9" i="1" s="1"/>
  <c r="F21" i="7"/>
  <c r="H53" i="14" s="1"/>
  <c r="I103" i="7"/>
  <c r="F103" i="7"/>
  <c r="H133" i="14" s="1"/>
  <c r="F121" i="7"/>
  <c r="H147" i="14" s="1"/>
  <c r="H107" i="7" l="1"/>
  <c r="J135" i="14" s="1"/>
  <c r="F11" i="1"/>
  <c r="I135" i="14"/>
  <c r="H16" i="3"/>
  <c r="F25" i="1"/>
  <c r="I168" i="14"/>
  <c r="K168" i="14"/>
  <c r="H25" i="1"/>
  <c r="K172" i="14"/>
  <c r="H26" i="1"/>
  <c r="H30" i="1"/>
  <c r="K278" i="14"/>
  <c r="F28" i="1"/>
  <c r="I254" i="14"/>
  <c r="K107" i="7"/>
  <c r="L135" i="14" s="1"/>
  <c r="H11" i="1"/>
  <c r="K135" i="14"/>
  <c r="H27" i="1"/>
  <c r="K252" i="14"/>
  <c r="H10" i="1"/>
  <c r="K133" i="14"/>
  <c r="H29" i="1"/>
  <c r="K266" i="14"/>
  <c r="K254" i="14"/>
  <c r="H28" i="1"/>
  <c r="H24" i="1"/>
  <c r="K166" i="14"/>
  <c r="K53" i="14"/>
  <c r="H107" i="3"/>
  <c r="L16" i="3"/>
  <c r="M168" i="14" s="1"/>
  <c r="L107" i="7"/>
  <c r="M135" i="14" s="1"/>
  <c r="L107" i="3" l="1"/>
  <c r="M254" i="14" s="1"/>
  <c r="J254" i="14"/>
  <c r="J168" i="14"/>
  <c r="K16" i="3"/>
  <c r="L168" i="14" s="1"/>
  <c r="K107" i="3"/>
  <c r="L254" i="14" s="1"/>
  <c r="J16" i="7" l="1"/>
  <c r="I16" i="7"/>
  <c r="G16" i="7"/>
  <c r="H16" i="7" s="1"/>
  <c r="F16" i="7"/>
  <c r="H49" i="14" s="1"/>
  <c r="J13" i="7"/>
  <c r="I13" i="7"/>
  <c r="F13" i="7"/>
  <c r="H47" i="14" s="1"/>
  <c r="E42" i="14"/>
  <c r="E43" i="14"/>
  <c r="E46" i="14"/>
  <c r="E41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19" i="14"/>
  <c r="I21" i="14"/>
  <c r="I25" i="14"/>
  <c r="I29" i="14"/>
  <c r="I30" i="14"/>
  <c r="I31" i="14"/>
  <c r="I32" i="14"/>
  <c r="I33" i="14"/>
  <c r="I34" i="14"/>
  <c r="I35" i="14"/>
  <c r="I36" i="14"/>
  <c r="I38" i="14"/>
  <c r="E40" i="14"/>
  <c r="E38" i="14"/>
  <c r="E39" i="14"/>
  <c r="E36" i="14"/>
  <c r="E37" i="14"/>
  <c r="E34" i="14"/>
  <c r="E35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9" i="14"/>
  <c r="C3" i="9"/>
  <c r="B3" i="8"/>
  <c r="B3" i="5"/>
  <c r="C3" i="3"/>
  <c r="C3" i="7"/>
  <c r="C3" i="2"/>
  <c r="K3" i="14"/>
  <c r="K4" i="14"/>
  <c r="K5" i="14"/>
  <c r="K9" i="14"/>
  <c r="K10" i="14"/>
  <c r="K11" i="14"/>
  <c r="K12" i="14"/>
  <c r="K13" i="14"/>
  <c r="K14" i="14"/>
  <c r="K15" i="14"/>
  <c r="K16" i="14"/>
  <c r="K17" i="14"/>
  <c r="K2" i="14"/>
  <c r="I4" i="14"/>
  <c r="I5" i="14"/>
  <c r="I12" i="14"/>
  <c r="I16" i="14"/>
  <c r="E18" i="14"/>
  <c r="E17" i="14"/>
  <c r="E15" i="14"/>
  <c r="E16" i="14"/>
  <c r="E13" i="14"/>
  <c r="E14" i="14"/>
  <c r="E4" i="14"/>
  <c r="E5" i="14"/>
  <c r="E9" i="14"/>
  <c r="E10" i="14"/>
  <c r="E11" i="14"/>
  <c r="E12" i="14"/>
  <c r="E3" i="14"/>
  <c r="E2" i="14"/>
  <c r="J49" i="14" l="1"/>
  <c r="K16" i="7"/>
  <c r="L49" i="14" s="1"/>
  <c r="H8" i="1"/>
  <c r="K49" i="14"/>
  <c r="H7" i="1"/>
  <c r="K47" i="14"/>
  <c r="F8" i="1"/>
  <c r="I49" i="14"/>
  <c r="L16" i="7"/>
  <c r="M49" i="14" s="1"/>
  <c r="I20" i="14"/>
  <c r="I37" i="14"/>
  <c r="I3" i="14" l="1"/>
  <c r="I131" i="14"/>
  <c r="I250" i="14"/>
  <c r="J51" i="2" l="1"/>
  <c r="J23" i="2"/>
  <c r="K18" i="14" s="1"/>
  <c r="K40" i="14" l="1"/>
  <c r="H32" i="1"/>
  <c r="H36" i="1" s="1"/>
  <c r="H15" i="1"/>
  <c r="H19" i="1" s="1"/>
  <c r="I203" i="14"/>
  <c r="I240" i="14" l="1"/>
  <c r="I160" i="14" l="1"/>
  <c r="G13" i="3"/>
  <c r="I41" i="14"/>
  <c r="G13" i="7"/>
  <c r="I39" i="14"/>
  <c r="I17" i="14"/>
  <c r="I15" i="14"/>
  <c r="I28" i="14"/>
  <c r="F24" i="1" l="1"/>
  <c r="I166" i="14"/>
  <c r="H13" i="3"/>
  <c r="F7" i="1"/>
  <c r="I47" i="14"/>
  <c r="I27" i="14"/>
  <c r="I14" i="14"/>
  <c r="J166" i="14" l="1"/>
  <c r="K13" i="3"/>
  <c r="L166" i="14" s="1"/>
  <c r="L13" i="3"/>
  <c r="M166" i="14" s="1"/>
  <c r="I26" i="14"/>
  <c r="I13" i="14"/>
  <c r="I24" i="14" l="1"/>
  <c r="I11" i="14"/>
  <c r="I23" i="14"/>
  <c r="I10" i="14"/>
  <c r="I22" i="14" l="1"/>
  <c r="I9" i="14"/>
  <c r="I19" i="14" l="1"/>
  <c r="I215" i="14"/>
  <c r="I273" i="14"/>
  <c r="I96" i="14"/>
  <c r="I154" i="14"/>
  <c r="I2" i="14" l="1"/>
  <c r="H23" i="2"/>
  <c r="I18" i="14" s="1"/>
  <c r="F15" i="1"/>
  <c r="H51" i="2"/>
  <c r="I271" i="14"/>
  <c r="I152" i="14"/>
  <c r="I269" i="14"/>
  <c r="I150" i="14"/>
  <c r="I268" i="14"/>
  <c r="I149" i="14"/>
  <c r="I40" i="14" l="1"/>
  <c r="F32" i="1"/>
  <c r="I227" i="14"/>
  <c r="I108" i="14"/>
  <c r="I176" i="14"/>
  <c r="I231" i="14"/>
  <c r="I57" i="14"/>
  <c r="I112" i="14"/>
  <c r="I212" i="14"/>
  <c r="I239" i="14"/>
  <c r="I93" i="14"/>
  <c r="I120" i="14"/>
  <c r="I243" i="14" l="1"/>
  <c r="I124" i="14"/>
  <c r="I244" i="14"/>
  <c r="I125" i="14"/>
  <c r="I246" i="14"/>
  <c r="I127" i="14"/>
  <c r="I247" i="14"/>
  <c r="I115" i="14" l="1"/>
  <c r="H120" i="3"/>
  <c r="K120" i="3" s="1"/>
  <c r="H120" i="7"/>
  <c r="K120" i="7" s="1"/>
  <c r="I144" i="14" l="1"/>
  <c r="G121" i="7"/>
  <c r="I263" i="14"/>
  <c r="G121" i="3"/>
  <c r="L120" i="7"/>
  <c r="L120" i="3"/>
  <c r="F29" i="1" l="1"/>
  <c r="H121" i="3"/>
  <c r="I266" i="14"/>
  <c r="F12" i="1"/>
  <c r="H121" i="7"/>
  <c r="I147" i="14"/>
  <c r="I217" i="14"/>
  <c r="I98" i="14"/>
  <c r="J266" i="14" l="1"/>
  <c r="K121" i="3"/>
  <c r="L266" i="14" s="1"/>
  <c r="L121" i="3"/>
  <c r="M266" i="14" s="1"/>
  <c r="K121" i="7"/>
  <c r="L147" i="14" s="1"/>
  <c r="J147" i="14"/>
  <c r="L121" i="7"/>
  <c r="M147" i="14" s="1"/>
  <c r="I128" i="14"/>
  <c r="I201" i="14"/>
  <c r="I82" i="14"/>
  <c r="H106" i="7"/>
  <c r="K106" i="7" s="1"/>
  <c r="I102" i="14"/>
  <c r="H106" i="3"/>
  <c r="K106" i="3" s="1"/>
  <c r="I221" i="14"/>
  <c r="I229" i="14"/>
  <c r="I235" i="14"/>
  <c r="I237" i="14"/>
  <c r="I116" i="14"/>
  <c r="I118" i="14"/>
  <c r="I110" i="14"/>
  <c r="I267" i="14" l="1"/>
  <c r="I148" i="14"/>
  <c r="L106" i="7"/>
  <c r="L106" i="3"/>
  <c r="I72" i="14" l="1"/>
  <c r="I191" i="14"/>
  <c r="I190" i="14"/>
  <c r="I241" i="14"/>
  <c r="I156" i="14"/>
  <c r="I122" i="14"/>
  <c r="I151" i="14" l="1"/>
  <c r="G134" i="7"/>
  <c r="I270" i="14"/>
  <c r="G134" i="3"/>
  <c r="I71" i="14"/>
  <c r="I278" i="14" l="1"/>
  <c r="F30" i="1"/>
  <c r="H134" i="3"/>
  <c r="I159" i="14"/>
  <c r="F13" i="1"/>
  <c r="H134" i="7"/>
  <c r="I188" i="14"/>
  <c r="I69" i="14"/>
  <c r="I184" i="14"/>
  <c r="I65" i="14"/>
  <c r="J159" i="14" l="1"/>
  <c r="K134" i="7"/>
  <c r="L159" i="14" s="1"/>
  <c r="L134" i="7"/>
  <c r="M159" i="14" s="1"/>
  <c r="J278" i="14"/>
  <c r="K134" i="3"/>
  <c r="L278" i="14" s="1"/>
  <c r="L134" i="3"/>
  <c r="M278" i="14" s="1"/>
  <c r="I245" i="14"/>
  <c r="I126" i="14"/>
  <c r="I89" i="14"/>
  <c r="I173" i="14" l="1"/>
  <c r="I174" i="14"/>
  <c r="I55" i="14" l="1"/>
  <c r="H23" i="3"/>
  <c r="H102" i="7"/>
  <c r="K102" i="7" s="1"/>
  <c r="H102" i="3"/>
  <c r="K102" i="3" s="1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3" i="8"/>
  <c r="J84" i="8"/>
  <c r="J6" i="8"/>
  <c r="J34" i="5"/>
  <c r="J35" i="5"/>
  <c r="J36" i="5"/>
  <c r="J37" i="5"/>
  <c r="J38" i="5"/>
  <c r="J39" i="5"/>
  <c r="J40" i="5"/>
  <c r="J41" i="5"/>
  <c r="J42" i="5"/>
  <c r="J43" i="5"/>
  <c r="J33" i="5"/>
  <c r="J22" i="5"/>
  <c r="J23" i="5"/>
  <c r="J24" i="5"/>
  <c r="J25" i="5"/>
  <c r="J26" i="5"/>
  <c r="J27" i="5"/>
  <c r="J28" i="5"/>
  <c r="J29" i="5"/>
  <c r="J30" i="5"/>
  <c r="J31" i="5"/>
  <c r="J21" i="5"/>
  <c r="J19" i="5"/>
  <c r="J16" i="5"/>
  <c r="J17" i="5"/>
  <c r="J15" i="5"/>
  <c r="J13" i="5"/>
  <c r="J7" i="5"/>
  <c r="J8" i="5"/>
  <c r="J11" i="5"/>
  <c r="J6" i="5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3" i="8"/>
  <c r="H84" i="8"/>
  <c r="H6" i="8"/>
  <c r="G7" i="8"/>
  <c r="G8" i="8"/>
  <c r="I8" i="8" s="1"/>
  <c r="G9" i="8"/>
  <c r="I9" i="8" s="1"/>
  <c r="G10" i="8"/>
  <c r="I10" i="8" s="1"/>
  <c r="G11" i="8"/>
  <c r="I11" i="8" s="1"/>
  <c r="G12" i="8"/>
  <c r="I12" i="8" s="1"/>
  <c r="G13" i="8"/>
  <c r="I13" i="8" s="1"/>
  <c r="G14" i="8"/>
  <c r="I14" i="8" s="1"/>
  <c r="G15" i="8"/>
  <c r="I15" i="8" s="1"/>
  <c r="G16" i="8"/>
  <c r="I16" i="8" s="1"/>
  <c r="G17" i="8"/>
  <c r="I17" i="8" s="1"/>
  <c r="G18" i="8"/>
  <c r="I18" i="8" s="1"/>
  <c r="G19" i="8"/>
  <c r="I19" i="8" s="1"/>
  <c r="G21" i="8"/>
  <c r="I21" i="8" s="1"/>
  <c r="G22" i="8"/>
  <c r="I22" i="8" s="1"/>
  <c r="G23" i="8"/>
  <c r="I23" i="8" s="1"/>
  <c r="G24" i="8"/>
  <c r="I24" i="8" s="1"/>
  <c r="G25" i="8"/>
  <c r="I25" i="8" s="1"/>
  <c r="G26" i="8"/>
  <c r="I26" i="8" s="1"/>
  <c r="G27" i="8"/>
  <c r="I27" i="8" s="1"/>
  <c r="G28" i="8"/>
  <c r="I28" i="8" s="1"/>
  <c r="G29" i="8"/>
  <c r="I29" i="8" s="1"/>
  <c r="G30" i="8"/>
  <c r="I30" i="8" s="1"/>
  <c r="G31" i="8"/>
  <c r="I31" i="8" s="1"/>
  <c r="G32" i="8"/>
  <c r="I32" i="8" s="1"/>
  <c r="G33" i="8"/>
  <c r="I33" i="8" s="1"/>
  <c r="G34" i="8"/>
  <c r="I34" i="8" s="1"/>
  <c r="G35" i="8"/>
  <c r="I35" i="8" s="1"/>
  <c r="G36" i="8"/>
  <c r="I36" i="8" s="1"/>
  <c r="G37" i="8"/>
  <c r="I37" i="8" s="1"/>
  <c r="G38" i="8"/>
  <c r="I38" i="8" s="1"/>
  <c r="G39" i="8"/>
  <c r="I39" i="8" s="1"/>
  <c r="G40" i="8"/>
  <c r="I40" i="8" s="1"/>
  <c r="G41" i="8"/>
  <c r="I41" i="8" s="1"/>
  <c r="G42" i="8"/>
  <c r="I42" i="8" s="1"/>
  <c r="G43" i="8"/>
  <c r="I43" i="8" s="1"/>
  <c r="G44" i="8"/>
  <c r="I44" i="8" s="1"/>
  <c r="G45" i="8"/>
  <c r="I45" i="8" s="1"/>
  <c r="G46" i="8"/>
  <c r="I46" i="8" s="1"/>
  <c r="G47" i="8"/>
  <c r="I47" i="8" s="1"/>
  <c r="G48" i="8"/>
  <c r="I48" i="8" s="1"/>
  <c r="G49" i="8"/>
  <c r="I49" i="8" s="1"/>
  <c r="G50" i="8"/>
  <c r="I50" i="8" s="1"/>
  <c r="G51" i="8"/>
  <c r="I51" i="8" s="1"/>
  <c r="G52" i="8"/>
  <c r="I52" i="8" s="1"/>
  <c r="G53" i="8"/>
  <c r="I53" i="8" s="1"/>
  <c r="G54" i="8"/>
  <c r="I54" i="8" s="1"/>
  <c r="G55" i="8"/>
  <c r="I55" i="8" s="1"/>
  <c r="G56" i="8"/>
  <c r="I56" i="8" s="1"/>
  <c r="G57" i="8"/>
  <c r="I57" i="8" s="1"/>
  <c r="G58" i="8"/>
  <c r="I58" i="8" s="1"/>
  <c r="G59" i="8"/>
  <c r="I59" i="8" s="1"/>
  <c r="G60" i="8"/>
  <c r="I60" i="8" s="1"/>
  <c r="G61" i="8"/>
  <c r="I61" i="8" s="1"/>
  <c r="G62" i="8"/>
  <c r="I62" i="8" s="1"/>
  <c r="G63" i="8"/>
  <c r="I63" i="8" s="1"/>
  <c r="G64" i="8"/>
  <c r="I64" i="8" s="1"/>
  <c r="G65" i="8"/>
  <c r="I65" i="8" s="1"/>
  <c r="G66" i="8"/>
  <c r="I66" i="8" s="1"/>
  <c r="G67" i="8"/>
  <c r="I67" i="8" s="1"/>
  <c r="G68" i="8"/>
  <c r="I68" i="8" s="1"/>
  <c r="G69" i="8"/>
  <c r="I69" i="8" s="1"/>
  <c r="G70" i="8"/>
  <c r="G71" i="8"/>
  <c r="I71" i="8" s="1"/>
  <c r="G72" i="8"/>
  <c r="I72" i="8" s="1"/>
  <c r="G73" i="8"/>
  <c r="I73" i="8" s="1"/>
  <c r="G74" i="8"/>
  <c r="I74" i="8" s="1"/>
  <c r="G75" i="8"/>
  <c r="I75" i="8" s="1"/>
  <c r="G76" i="8"/>
  <c r="I76" i="8" s="1"/>
  <c r="G77" i="8"/>
  <c r="I77" i="8" s="1"/>
  <c r="G78" i="8"/>
  <c r="I78" i="8" s="1"/>
  <c r="G79" i="8"/>
  <c r="I79" i="8" s="1"/>
  <c r="G80" i="8"/>
  <c r="I80" i="8" s="1"/>
  <c r="G83" i="8"/>
  <c r="I83" i="8" s="1"/>
  <c r="G84" i="8"/>
  <c r="I84" i="8" s="1"/>
  <c r="G6" i="8"/>
  <c r="I6" i="8" s="1"/>
  <c r="H34" i="5"/>
  <c r="H35" i="5"/>
  <c r="H36" i="5"/>
  <c r="H37" i="5"/>
  <c r="H38" i="5"/>
  <c r="H39" i="5"/>
  <c r="H40" i="5"/>
  <c r="H41" i="5"/>
  <c r="H42" i="5"/>
  <c r="H43" i="5"/>
  <c r="H33" i="5"/>
  <c r="H22" i="5"/>
  <c r="H23" i="5"/>
  <c r="H24" i="5"/>
  <c r="H25" i="5"/>
  <c r="H26" i="5"/>
  <c r="H27" i="5"/>
  <c r="H28" i="5"/>
  <c r="H29" i="5"/>
  <c r="H30" i="5"/>
  <c r="H31" i="5"/>
  <c r="H21" i="5"/>
  <c r="H19" i="5"/>
  <c r="H16" i="5"/>
  <c r="H17" i="5"/>
  <c r="H15" i="5"/>
  <c r="H13" i="5"/>
  <c r="H7" i="5"/>
  <c r="H8" i="5"/>
  <c r="H11" i="5"/>
  <c r="H6" i="5"/>
  <c r="G34" i="5"/>
  <c r="G35" i="5"/>
  <c r="G36" i="5"/>
  <c r="G37" i="5"/>
  <c r="G38" i="5"/>
  <c r="G39" i="5"/>
  <c r="G40" i="5"/>
  <c r="G41" i="5"/>
  <c r="G42" i="5"/>
  <c r="G43" i="5"/>
  <c r="G33" i="5"/>
  <c r="G22" i="5"/>
  <c r="G23" i="5"/>
  <c r="G24" i="5"/>
  <c r="G25" i="5"/>
  <c r="G26" i="5"/>
  <c r="G27" i="5"/>
  <c r="G28" i="5"/>
  <c r="G29" i="5"/>
  <c r="G30" i="5"/>
  <c r="G31" i="5"/>
  <c r="G21" i="5"/>
  <c r="G19" i="5"/>
  <c r="G16" i="5"/>
  <c r="G17" i="5"/>
  <c r="G15" i="5"/>
  <c r="G13" i="5"/>
  <c r="G7" i="5"/>
  <c r="G8" i="5"/>
  <c r="G11" i="5"/>
  <c r="G6" i="5"/>
  <c r="G31" i="1"/>
  <c r="J31" i="1" s="1"/>
  <c r="G33" i="1"/>
  <c r="J33" i="1" s="1"/>
  <c r="G34" i="1"/>
  <c r="J34" i="1" s="1"/>
  <c r="G35" i="1"/>
  <c r="J35" i="1" s="1"/>
  <c r="E30" i="1"/>
  <c r="G30" i="1" s="1"/>
  <c r="E29" i="1"/>
  <c r="G29" i="1" s="1"/>
  <c r="E28" i="1"/>
  <c r="G28" i="1" s="1"/>
  <c r="E27" i="1"/>
  <c r="E26" i="1"/>
  <c r="E25" i="1"/>
  <c r="G25" i="1" s="1"/>
  <c r="G14" i="1"/>
  <c r="J14" i="1" s="1"/>
  <c r="G16" i="1"/>
  <c r="G17" i="1"/>
  <c r="J17" i="1" s="1"/>
  <c r="G18" i="1"/>
  <c r="E13" i="1"/>
  <c r="G13" i="1" s="1"/>
  <c r="E12" i="1"/>
  <c r="G12" i="1" s="1"/>
  <c r="E11" i="1"/>
  <c r="G11" i="1" s="1"/>
  <c r="E10" i="1"/>
  <c r="E9" i="1"/>
  <c r="E8" i="1"/>
  <c r="G8" i="1" s="1"/>
  <c r="H133" i="7"/>
  <c r="H132" i="7"/>
  <c r="H131" i="7"/>
  <c r="H130" i="7"/>
  <c r="H129" i="7"/>
  <c r="H128" i="7"/>
  <c r="H127" i="7"/>
  <c r="H126" i="7"/>
  <c r="H125" i="7"/>
  <c r="H124" i="7"/>
  <c r="H123" i="7"/>
  <c r="H119" i="7"/>
  <c r="H118" i="7"/>
  <c r="H117" i="7"/>
  <c r="H116" i="7"/>
  <c r="H115" i="7"/>
  <c r="H114" i="7"/>
  <c r="H113" i="7"/>
  <c r="H112" i="7"/>
  <c r="H111" i="7"/>
  <c r="H110" i="7"/>
  <c r="H109" i="7"/>
  <c r="H105" i="7"/>
  <c r="H101" i="7"/>
  <c r="H100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J107" i="14" s="1"/>
  <c r="H75" i="7"/>
  <c r="J106" i="14" s="1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J86" i="14" s="1"/>
  <c r="H54" i="7"/>
  <c r="H53" i="7"/>
  <c r="H52" i="7"/>
  <c r="H51" i="7"/>
  <c r="H50" i="7"/>
  <c r="H49" i="7"/>
  <c r="H48" i="7"/>
  <c r="H46" i="7"/>
  <c r="H45" i="7"/>
  <c r="H44" i="7"/>
  <c r="H43" i="7"/>
  <c r="H42" i="7"/>
  <c r="H41" i="7"/>
  <c r="H40" i="7"/>
  <c r="H39" i="7"/>
  <c r="H38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0" i="7"/>
  <c r="H19" i="7"/>
  <c r="H18" i="7"/>
  <c r="H15" i="7"/>
  <c r="H12" i="7"/>
  <c r="H9" i="7"/>
  <c r="H8" i="7"/>
  <c r="H7" i="7"/>
  <c r="H124" i="3"/>
  <c r="H125" i="3"/>
  <c r="H126" i="3"/>
  <c r="H127" i="3"/>
  <c r="H128" i="3"/>
  <c r="H129" i="3"/>
  <c r="H130" i="3"/>
  <c r="H131" i="3"/>
  <c r="H132" i="3"/>
  <c r="H133" i="3"/>
  <c r="H123" i="3"/>
  <c r="H110" i="3"/>
  <c r="H111" i="3"/>
  <c r="H112" i="3"/>
  <c r="J258" i="14" s="1"/>
  <c r="H113" i="3"/>
  <c r="H114" i="3"/>
  <c r="H115" i="3"/>
  <c r="H116" i="3"/>
  <c r="H117" i="3"/>
  <c r="H118" i="3"/>
  <c r="H119" i="3"/>
  <c r="H109" i="3"/>
  <c r="H105" i="3"/>
  <c r="J253" i="14" s="1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6" i="3"/>
  <c r="H48" i="3"/>
  <c r="H49" i="3"/>
  <c r="H50" i="3"/>
  <c r="H51" i="3"/>
  <c r="H52" i="3"/>
  <c r="J202" i="14" s="1"/>
  <c r="H53" i="3"/>
  <c r="H54" i="3"/>
  <c r="H55" i="3"/>
  <c r="J205" i="14" s="1"/>
  <c r="H56" i="3"/>
  <c r="H57" i="3"/>
  <c r="J207" i="14" s="1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J225" i="14" s="1"/>
  <c r="H76" i="3"/>
  <c r="J226" i="14" s="1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100" i="3"/>
  <c r="H101" i="3"/>
  <c r="H19" i="3"/>
  <c r="H20" i="3"/>
  <c r="H18" i="3"/>
  <c r="H15" i="3"/>
  <c r="H8" i="3"/>
  <c r="H9" i="3"/>
  <c r="H12" i="3"/>
  <c r="G50" i="2"/>
  <c r="G49" i="2"/>
  <c r="G48" i="2"/>
  <c r="G47" i="2"/>
  <c r="G46" i="2"/>
  <c r="G40" i="2"/>
  <c r="G41" i="2"/>
  <c r="G42" i="2"/>
  <c r="G43" i="2"/>
  <c r="G44" i="2"/>
  <c r="G45" i="2"/>
  <c r="H34" i="14" s="1"/>
  <c r="G39" i="2"/>
  <c r="G33" i="2"/>
  <c r="G34" i="2"/>
  <c r="G35" i="2"/>
  <c r="H24" i="14" s="1"/>
  <c r="G36" i="2"/>
  <c r="G37" i="2"/>
  <c r="G38" i="2"/>
  <c r="G32" i="2"/>
  <c r="G31" i="2"/>
  <c r="G30" i="2"/>
  <c r="G8" i="2"/>
  <c r="G9" i="2"/>
  <c r="G10" i="2"/>
  <c r="G14" i="2"/>
  <c r="G15" i="2"/>
  <c r="G16" i="2"/>
  <c r="G17" i="2"/>
  <c r="G18" i="2"/>
  <c r="G19" i="2"/>
  <c r="G20" i="2"/>
  <c r="G21" i="2"/>
  <c r="G22" i="2"/>
  <c r="G7" i="2"/>
  <c r="F23" i="2"/>
  <c r="G23" i="2" s="1"/>
  <c r="I7" i="8" l="1"/>
  <c r="E21" i="5"/>
  <c r="F21" i="5" s="1"/>
  <c r="E31" i="5"/>
  <c r="E30" i="5"/>
  <c r="F30" i="5" s="1"/>
  <c r="E29" i="5"/>
  <c r="F29" i="5" s="1"/>
  <c r="E28" i="5"/>
  <c r="F28" i="5" s="1"/>
  <c r="E27" i="5"/>
  <c r="E26" i="5"/>
  <c r="F26" i="5" s="1"/>
  <c r="E25" i="5"/>
  <c r="F25" i="5" s="1"/>
  <c r="E23" i="5"/>
  <c r="F23" i="5" s="1"/>
  <c r="E22" i="5"/>
  <c r="J139" i="14"/>
  <c r="E24" i="5"/>
  <c r="I45" i="2"/>
  <c r="M34" i="14" s="1"/>
  <c r="F10" i="1"/>
  <c r="G10" i="1" s="1"/>
  <c r="H103" i="7"/>
  <c r="I133" i="14"/>
  <c r="I19" i="2"/>
  <c r="J14" i="14" s="1"/>
  <c r="H14" i="14"/>
  <c r="I38" i="2"/>
  <c r="J27" i="14" s="1"/>
  <c r="H27" i="14"/>
  <c r="I34" i="2"/>
  <c r="J23" i="14" s="1"/>
  <c r="H23" i="14"/>
  <c r="I48" i="2"/>
  <c r="J37" i="14" s="1"/>
  <c r="H37" i="14"/>
  <c r="J170" i="14"/>
  <c r="K19" i="3"/>
  <c r="L170" i="14" s="1"/>
  <c r="L96" i="3"/>
  <c r="M246" i="14" s="1"/>
  <c r="J246" i="14"/>
  <c r="K96" i="3"/>
  <c r="L246" i="14" s="1"/>
  <c r="L68" i="3"/>
  <c r="M218" i="14" s="1"/>
  <c r="J218" i="14"/>
  <c r="K68" i="3"/>
  <c r="L218" i="14" s="1"/>
  <c r="L26" i="3"/>
  <c r="M176" i="14" s="1"/>
  <c r="J176" i="14"/>
  <c r="K26" i="3"/>
  <c r="L176" i="14" s="1"/>
  <c r="J43" i="14"/>
  <c r="K9" i="7"/>
  <c r="L43" i="14" s="1"/>
  <c r="J61" i="14"/>
  <c r="K30" i="7"/>
  <c r="L61" i="14" s="1"/>
  <c r="J74" i="14"/>
  <c r="K43" i="7"/>
  <c r="L74" i="14" s="1"/>
  <c r="J87" i="14"/>
  <c r="K56" i="7"/>
  <c r="L87" i="14" s="1"/>
  <c r="J95" i="14"/>
  <c r="K64" i="7"/>
  <c r="L95" i="14" s="1"/>
  <c r="J103" i="14"/>
  <c r="K72" i="7"/>
  <c r="L103" i="14" s="1"/>
  <c r="J115" i="14"/>
  <c r="K84" i="7"/>
  <c r="L115" i="14" s="1"/>
  <c r="J127" i="14"/>
  <c r="K96" i="7"/>
  <c r="L127" i="14" s="1"/>
  <c r="J173" i="14"/>
  <c r="K23" i="3"/>
  <c r="L173" i="14" s="1"/>
  <c r="I22" i="2"/>
  <c r="J17" i="14" s="1"/>
  <c r="H17" i="14"/>
  <c r="I18" i="2"/>
  <c r="J13" i="14" s="1"/>
  <c r="H13" i="14"/>
  <c r="I14" i="2"/>
  <c r="J9" i="14" s="1"/>
  <c r="H9" i="14"/>
  <c r="I30" i="2"/>
  <c r="J19" i="14" s="1"/>
  <c r="H19" i="14"/>
  <c r="I37" i="2"/>
  <c r="K37" i="2" s="1"/>
  <c r="L26" i="14" s="1"/>
  <c r="H26" i="14"/>
  <c r="I33" i="2"/>
  <c r="K33" i="2" s="1"/>
  <c r="L22" i="14" s="1"/>
  <c r="H22" i="14"/>
  <c r="I43" i="2"/>
  <c r="J32" i="14" s="1"/>
  <c r="H32" i="14"/>
  <c r="I46" i="2"/>
  <c r="J35" i="14" s="1"/>
  <c r="H35" i="14"/>
  <c r="I35" i="2"/>
  <c r="L15" i="3"/>
  <c r="M167" i="14" s="1"/>
  <c r="J167" i="14"/>
  <c r="K15" i="3"/>
  <c r="L167" i="14" s="1"/>
  <c r="L95" i="3"/>
  <c r="M245" i="14" s="1"/>
  <c r="J245" i="14"/>
  <c r="K95" i="3"/>
  <c r="L245" i="14" s="1"/>
  <c r="L91" i="3"/>
  <c r="M241" i="14" s="1"/>
  <c r="J241" i="14"/>
  <c r="K91" i="3"/>
  <c r="L241" i="14" s="1"/>
  <c r="L87" i="3"/>
  <c r="M237" i="14" s="1"/>
  <c r="J237" i="14"/>
  <c r="K87" i="3"/>
  <c r="L237" i="14" s="1"/>
  <c r="L83" i="3"/>
  <c r="M233" i="14" s="1"/>
  <c r="J233" i="14"/>
  <c r="K83" i="3"/>
  <c r="L233" i="14" s="1"/>
  <c r="L79" i="3"/>
  <c r="M229" i="14" s="1"/>
  <c r="J229" i="14"/>
  <c r="K79" i="3"/>
  <c r="L229" i="14" s="1"/>
  <c r="L71" i="3"/>
  <c r="M221" i="14" s="1"/>
  <c r="J221" i="14"/>
  <c r="K71" i="3"/>
  <c r="L221" i="14" s="1"/>
  <c r="L67" i="3"/>
  <c r="M217" i="14" s="1"/>
  <c r="J217" i="14"/>
  <c r="K67" i="3"/>
  <c r="L217" i="14" s="1"/>
  <c r="L63" i="3"/>
  <c r="M213" i="14" s="1"/>
  <c r="J213" i="14"/>
  <c r="K63" i="3"/>
  <c r="L213" i="14" s="1"/>
  <c r="L59" i="3"/>
  <c r="M209" i="14" s="1"/>
  <c r="J209" i="14"/>
  <c r="K59" i="3"/>
  <c r="L209" i="14" s="1"/>
  <c r="L51" i="3"/>
  <c r="M201" i="14" s="1"/>
  <c r="J201" i="14"/>
  <c r="K51" i="3"/>
  <c r="L201" i="14" s="1"/>
  <c r="L46" i="3"/>
  <c r="J196" i="14"/>
  <c r="K46" i="3"/>
  <c r="L196" i="14" s="1"/>
  <c r="L42" i="3"/>
  <c r="M192" i="14" s="1"/>
  <c r="J192" i="14"/>
  <c r="K42" i="3"/>
  <c r="L192" i="14" s="1"/>
  <c r="L38" i="3"/>
  <c r="M188" i="14" s="1"/>
  <c r="J188" i="14"/>
  <c r="K38" i="3"/>
  <c r="L188" i="14" s="1"/>
  <c r="L33" i="3"/>
  <c r="M183" i="14" s="1"/>
  <c r="J183" i="14"/>
  <c r="K33" i="3"/>
  <c r="L183" i="14" s="1"/>
  <c r="L29" i="3"/>
  <c r="M179" i="14" s="1"/>
  <c r="J179" i="14"/>
  <c r="K29" i="3"/>
  <c r="L179" i="14" s="1"/>
  <c r="L119" i="3"/>
  <c r="M265" i="14" s="1"/>
  <c r="J265" i="14"/>
  <c r="K119" i="3"/>
  <c r="L265" i="14" s="1"/>
  <c r="L115" i="3"/>
  <c r="M261" i="14" s="1"/>
  <c r="J261" i="14"/>
  <c r="K115" i="3"/>
  <c r="L261" i="14" s="1"/>
  <c r="L111" i="3"/>
  <c r="M257" i="14" s="1"/>
  <c r="J257" i="14"/>
  <c r="K111" i="3"/>
  <c r="L257" i="14" s="1"/>
  <c r="L132" i="3"/>
  <c r="M276" i="14" s="1"/>
  <c r="J276" i="14"/>
  <c r="K132" i="3"/>
  <c r="L276" i="14" s="1"/>
  <c r="L124" i="3"/>
  <c r="M268" i="14" s="1"/>
  <c r="J268" i="14"/>
  <c r="K124" i="3"/>
  <c r="L268" i="14" s="1"/>
  <c r="J46" i="14"/>
  <c r="K12" i="7"/>
  <c r="L46" i="14" s="1"/>
  <c r="L20" i="7"/>
  <c r="M52" i="14" s="1"/>
  <c r="J52" i="14"/>
  <c r="K20" i="7"/>
  <c r="L52" i="14" s="1"/>
  <c r="J62" i="14"/>
  <c r="K31" i="7"/>
  <c r="L62" i="14" s="1"/>
  <c r="J71" i="14"/>
  <c r="K40" i="7"/>
  <c r="L71" i="14" s="1"/>
  <c r="J75" i="14"/>
  <c r="K44" i="7"/>
  <c r="L75" i="14" s="1"/>
  <c r="L53" i="7"/>
  <c r="M84" i="14" s="1"/>
  <c r="J84" i="14"/>
  <c r="K53" i="7"/>
  <c r="L84" i="14" s="1"/>
  <c r="L61" i="7"/>
  <c r="M92" i="14" s="1"/>
  <c r="J92" i="14"/>
  <c r="K61" i="7"/>
  <c r="L92" i="14" s="1"/>
  <c r="L65" i="7"/>
  <c r="M96" i="14" s="1"/>
  <c r="J96" i="14"/>
  <c r="K65" i="7"/>
  <c r="L96" i="14" s="1"/>
  <c r="L69" i="7"/>
  <c r="M100" i="14" s="1"/>
  <c r="J100" i="14"/>
  <c r="K69" i="7"/>
  <c r="L100" i="14" s="1"/>
  <c r="L77" i="7"/>
  <c r="M108" i="14" s="1"/>
  <c r="J108" i="14"/>
  <c r="K77" i="7"/>
  <c r="L108" i="14" s="1"/>
  <c r="L81" i="7"/>
  <c r="M112" i="14" s="1"/>
  <c r="J112" i="14"/>
  <c r="K81" i="7"/>
  <c r="L112" i="14" s="1"/>
  <c r="L85" i="7"/>
  <c r="M116" i="14" s="1"/>
  <c r="J116" i="14"/>
  <c r="K85" i="7"/>
  <c r="L116" i="14" s="1"/>
  <c r="L89" i="7"/>
  <c r="M120" i="14" s="1"/>
  <c r="J120" i="14"/>
  <c r="K89" i="7"/>
  <c r="L120" i="14" s="1"/>
  <c r="M124" i="14"/>
  <c r="J124" i="14"/>
  <c r="K93" i="7"/>
  <c r="L124" i="14" s="1"/>
  <c r="L97" i="7"/>
  <c r="M128" i="14" s="1"/>
  <c r="J128" i="14"/>
  <c r="K97" i="7"/>
  <c r="L128" i="14" s="1"/>
  <c r="J149" i="14"/>
  <c r="K124" i="7"/>
  <c r="L149" i="14" s="1"/>
  <c r="J157" i="14"/>
  <c r="K132" i="7"/>
  <c r="L157" i="14" s="1"/>
  <c r="H47" i="3"/>
  <c r="I197" i="14"/>
  <c r="I15" i="2"/>
  <c r="J10" i="14" s="1"/>
  <c r="H10" i="14"/>
  <c r="I40" i="2"/>
  <c r="J29" i="14" s="1"/>
  <c r="H29" i="14"/>
  <c r="M161" i="14"/>
  <c r="J161" i="14"/>
  <c r="K8" i="3"/>
  <c r="L161" i="14" s="1"/>
  <c r="L88" i="3"/>
  <c r="M238" i="14" s="1"/>
  <c r="J238" i="14"/>
  <c r="K88" i="3"/>
  <c r="L238" i="14" s="1"/>
  <c r="L80" i="3"/>
  <c r="M230" i="14" s="1"/>
  <c r="J230" i="14"/>
  <c r="K80" i="3"/>
  <c r="L230" i="14" s="1"/>
  <c r="L60" i="3"/>
  <c r="M210" i="14" s="1"/>
  <c r="J210" i="14"/>
  <c r="K60" i="3"/>
  <c r="L210" i="14" s="1"/>
  <c r="L30" i="3"/>
  <c r="M180" i="14" s="1"/>
  <c r="J180" i="14"/>
  <c r="K30" i="3"/>
  <c r="L180" i="14" s="1"/>
  <c r="J262" i="14"/>
  <c r="K116" i="3"/>
  <c r="L262" i="14" s="1"/>
  <c r="J273" i="14"/>
  <c r="K129" i="3"/>
  <c r="L273" i="14" s="1"/>
  <c r="J51" i="14"/>
  <c r="K19" i="7"/>
  <c r="L51" i="14" s="1"/>
  <c r="J99" i="14"/>
  <c r="K68" i="7"/>
  <c r="L99" i="14" s="1"/>
  <c r="J111" i="14"/>
  <c r="K80" i="7"/>
  <c r="L111" i="14" s="1"/>
  <c r="J123" i="14"/>
  <c r="K92" i="7"/>
  <c r="L123" i="14" s="1"/>
  <c r="K105" i="7"/>
  <c r="L134" i="14" s="1"/>
  <c r="J134" i="14"/>
  <c r="J152" i="14"/>
  <c r="K127" i="7"/>
  <c r="L152" i="14" s="1"/>
  <c r="I170" i="14"/>
  <c r="G21" i="3"/>
  <c r="I17" i="2"/>
  <c r="J12" i="14" s="1"/>
  <c r="H12" i="14"/>
  <c r="I10" i="2"/>
  <c r="J5" i="14" s="1"/>
  <c r="H5" i="14"/>
  <c r="I31" i="2"/>
  <c r="J20" i="14" s="1"/>
  <c r="H20" i="14"/>
  <c r="I36" i="2"/>
  <c r="J25" i="14" s="1"/>
  <c r="H25" i="14"/>
  <c r="I39" i="2"/>
  <c r="J28" i="14" s="1"/>
  <c r="H28" i="14"/>
  <c r="I42" i="2"/>
  <c r="J31" i="14" s="1"/>
  <c r="H31" i="14"/>
  <c r="I47" i="2"/>
  <c r="J36" i="14" s="1"/>
  <c r="H36" i="14"/>
  <c r="I49" i="2"/>
  <c r="J38" i="14" s="1"/>
  <c r="H38" i="14"/>
  <c r="L12" i="3"/>
  <c r="M165" i="14" s="1"/>
  <c r="J165" i="14"/>
  <c r="K12" i="3"/>
  <c r="L165" i="14" s="1"/>
  <c r="L18" i="3"/>
  <c r="M169" i="14" s="1"/>
  <c r="J169" i="14"/>
  <c r="K18" i="3"/>
  <c r="L169" i="14" s="1"/>
  <c r="L100" i="3"/>
  <c r="M250" i="14" s="1"/>
  <c r="J250" i="14"/>
  <c r="K100" i="3"/>
  <c r="L250" i="14" s="1"/>
  <c r="L94" i="3"/>
  <c r="M244" i="14" s="1"/>
  <c r="J244" i="14"/>
  <c r="K94" i="3"/>
  <c r="L244" i="14" s="1"/>
  <c r="L90" i="3"/>
  <c r="M240" i="14" s="1"/>
  <c r="J240" i="14"/>
  <c r="K90" i="3"/>
  <c r="L240" i="14" s="1"/>
  <c r="L82" i="3"/>
  <c r="M232" i="14" s="1"/>
  <c r="J232" i="14"/>
  <c r="K82" i="3"/>
  <c r="L232" i="14" s="1"/>
  <c r="L66" i="3"/>
  <c r="M216" i="14" s="1"/>
  <c r="J216" i="14"/>
  <c r="K66" i="3"/>
  <c r="L216" i="14" s="1"/>
  <c r="L62" i="3"/>
  <c r="M212" i="14" s="1"/>
  <c r="J212" i="14"/>
  <c r="K62" i="3"/>
  <c r="L212" i="14" s="1"/>
  <c r="L54" i="3"/>
  <c r="M204" i="14" s="1"/>
  <c r="J204" i="14"/>
  <c r="K54" i="3"/>
  <c r="L204" i="14" s="1"/>
  <c r="L50" i="3"/>
  <c r="M200" i="14" s="1"/>
  <c r="J200" i="14"/>
  <c r="K50" i="3"/>
  <c r="L200" i="14" s="1"/>
  <c r="L41" i="3"/>
  <c r="M191" i="14" s="1"/>
  <c r="J191" i="14"/>
  <c r="K41" i="3"/>
  <c r="L191" i="14" s="1"/>
  <c r="L36" i="3"/>
  <c r="M186" i="14" s="1"/>
  <c r="J186" i="14"/>
  <c r="K36" i="3"/>
  <c r="L186" i="14" s="1"/>
  <c r="L28" i="3"/>
  <c r="M178" i="14" s="1"/>
  <c r="J178" i="14"/>
  <c r="K28" i="3"/>
  <c r="L178" i="14" s="1"/>
  <c r="L24" i="3"/>
  <c r="M174" i="14" s="1"/>
  <c r="J174" i="14"/>
  <c r="K24" i="3"/>
  <c r="L174" i="14" s="1"/>
  <c r="J260" i="14"/>
  <c r="K114" i="3"/>
  <c r="L260" i="14" s="1"/>
  <c r="J256" i="14"/>
  <c r="K110" i="3"/>
  <c r="L256" i="14" s="1"/>
  <c r="J275" i="14"/>
  <c r="K131" i="3"/>
  <c r="L275" i="14" s="1"/>
  <c r="J271" i="14"/>
  <c r="K127" i="3"/>
  <c r="L271" i="14" s="1"/>
  <c r="J41" i="14"/>
  <c r="K7" i="7"/>
  <c r="L41" i="14" s="1"/>
  <c r="H13" i="7"/>
  <c r="J48" i="14"/>
  <c r="K15" i="7"/>
  <c r="L48" i="14" s="1"/>
  <c r="J55" i="14"/>
  <c r="K24" i="7"/>
  <c r="L55" i="14" s="1"/>
  <c r="J59" i="14"/>
  <c r="K28" i="7"/>
  <c r="L59" i="14" s="1"/>
  <c r="J63" i="14"/>
  <c r="K32" i="7"/>
  <c r="L63" i="14" s="1"/>
  <c r="J67" i="14"/>
  <c r="K36" i="7"/>
  <c r="L67" i="14" s="1"/>
  <c r="J72" i="14"/>
  <c r="K41" i="7"/>
  <c r="L72" i="14" s="1"/>
  <c r="J76" i="14"/>
  <c r="K45" i="7"/>
  <c r="L76" i="14" s="1"/>
  <c r="J81" i="14"/>
  <c r="K50" i="7"/>
  <c r="L81" i="14" s="1"/>
  <c r="J85" i="14"/>
  <c r="K54" i="7"/>
  <c r="L85" i="14" s="1"/>
  <c r="J89" i="14"/>
  <c r="K58" i="7"/>
  <c r="L89" i="14" s="1"/>
  <c r="J93" i="14"/>
  <c r="K62" i="7"/>
  <c r="L93" i="14" s="1"/>
  <c r="J97" i="14"/>
  <c r="K66" i="7"/>
  <c r="L97" i="14" s="1"/>
  <c r="J109" i="14"/>
  <c r="K78" i="7"/>
  <c r="L109" i="14" s="1"/>
  <c r="J113" i="14"/>
  <c r="K82" i="7"/>
  <c r="L113" i="14" s="1"/>
  <c r="J125" i="14"/>
  <c r="K94" i="7"/>
  <c r="L125" i="14" s="1"/>
  <c r="J131" i="14"/>
  <c r="K100" i="7"/>
  <c r="L131" i="14" s="1"/>
  <c r="J150" i="14"/>
  <c r="K125" i="7"/>
  <c r="L150" i="14" s="1"/>
  <c r="J154" i="14"/>
  <c r="K129" i="7"/>
  <c r="L154" i="14" s="1"/>
  <c r="J158" i="14"/>
  <c r="K133" i="7"/>
  <c r="L158" i="14" s="1"/>
  <c r="I51" i="14"/>
  <c r="G21" i="7"/>
  <c r="I7" i="2"/>
  <c r="J2" i="14" s="1"/>
  <c r="H2" i="14"/>
  <c r="I8" i="2"/>
  <c r="J3" i="14" s="1"/>
  <c r="H3" i="14"/>
  <c r="I44" i="2"/>
  <c r="J33" i="14" s="1"/>
  <c r="H33" i="14"/>
  <c r="L92" i="3"/>
  <c r="M242" i="14" s="1"/>
  <c r="J242" i="14"/>
  <c r="K92" i="3"/>
  <c r="L242" i="14" s="1"/>
  <c r="L64" i="3"/>
  <c r="M214" i="14" s="1"/>
  <c r="J214" i="14"/>
  <c r="K64" i="3"/>
  <c r="L214" i="14" s="1"/>
  <c r="L48" i="3"/>
  <c r="M198" i="14" s="1"/>
  <c r="J198" i="14"/>
  <c r="K48" i="3"/>
  <c r="L198" i="14" s="1"/>
  <c r="L34" i="3"/>
  <c r="M184" i="14" s="1"/>
  <c r="J184" i="14"/>
  <c r="K34" i="3"/>
  <c r="L184" i="14" s="1"/>
  <c r="L109" i="3"/>
  <c r="M255" i="14" s="1"/>
  <c r="J255" i="14"/>
  <c r="K109" i="3"/>
  <c r="L255" i="14" s="1"/>
  <c r="J277" i="14"/>
  <c r="K133" i="3"/>
  <c r="L277" i="14" s="1"/>
  <c r="J269" i="14"/>
  <c r="K125" i="3"/>
  <c r="L269" i="14" s="1"/>
  <c r="J57" i="14"/>
  <c r="K26" i="7"/>
  <c r="L57" i="14" s="1"/>
  <c r="J65" i="14"/>
  <c r="K34" i="7"/>
  <c r="L65" i="14" s="1"/>
  <c r="J79" i="14"/>
  <c r="K48" i="7"/>
  <c r="L79" i="14" s="1"/>
  <c r="J91" i="14"/>
  <c r="K60" i="7"/>
  <c r="L91" i="14" s="1"/>
  <c r="J119" i="14"/>
  <c r="K88" i="7"/>
  <c r="L119" i="14" s="1"/>
  <c r="J148" i="14"/>
  <c r="K123" i="7"/>
  <c r="L148" i="14" s="1"/>
  <c r="J156" i="14"/>
  <c r="K131" i="7"/>
  <c r="L156" i="14" s="1"/>
  <c r="I21" i="2"/>
  <c r="J16" i="14" s="1"/>
  <c r="H16" i="14"/>
  <c r="I23" i="2"/>
  <c r="J18" i="14" s="1"/>
  <c r="H18" i="14"/>
  <c r="I20" i="2"/>
  <c r="J15" i="14" s="1"/>
  <c r="H15" i="14"/>
  <c r="I16" i="2"/>
  <c r="J11" i="14" s="1"/>
  <c r="H11" i="14"/>
  <c r="I9" i="2"/>
  <c r="J4" i="14" s="1"/>
  <c r="H4" i="14"/>
  <c r="I32" i="2"/>
  <c r="J21" i="14" s="1"/>
  <c r="H21" i="14"/>
  <c r="I41" i="2"/>
  <c r="J30" i="14" s="1"/>
  <c r="H30" i="14"/>
  <c r="I50" i="2"/>
  <c r="J39" i="14" s="1"/>
  <c r="H39" i="14"/>
  <c r="J162" i="14"/>
  <c r="K9" i="3"/>
  <c r="L162" i="14" s="1"/>
  <c r="L20" i="3"/>
  <c r="M171" i="14" s="1"/>
  <c r="J171" i="14"/>
  <c r="K20" i="3"/>
  <c r="L171" i="14" s="1"/>
  <c r="L97" i="3"/>
  <c r="M247" i="14" s="1"/>
  <c r="J247" i="14"/>
  <c r="K97" i="3"/>
  <c r="L247" i="14" s="1"/>
  <c r="M243" i="14"/>
  <c r="J243" i="14"/>
  <c r="K93" i="3"/>
  <c r="L243" i="14" s="1"/>
  <c r="L89" i="3"/>
  <c r="M239" i="14" s="1"/>
  <c r="J239" i="14"/>
  <c r="K89" i="3"/>
  <c r="L239" i="14" s="1"/>
  <c r="L85" i="3"/>
  <c r="M235" i="14" s="1"/>
  <c r="J235" i="14"/>
  <c r="K85" i="3"/>
  <c r="L235" i="14" s="1"/>
  <c r="L81" i="3"/>
  <c r="M231" i="14" s="1"/>
  <c r="J231" i="14"/>
  <c r="K81" i="3"/>
  <c r="L231" i="14" s="1"/>
  <c r="L77" i="3"/>
  <c r="M227" i="14" s="1"/>
  <c r="J227" i="14"/>
  <c r="K77" i="3"/>
  <c r="L227" i="14" s="1"/>
  <c r="L69" i="3"/>
  <c r="M219" i="14" s="1"/>
  <c r="J219" i="14"/>
  <c r="K69" i="3"/>
  <c r="L219" i="14" s="1"/>
  <c r="L65" i="3"/>
  <c r="M215" i="14" s="1"/>
  <c r="J215" i="14"/>
  <c r="K65" i="3"/>
  <c r="L215" i="14" s="1"/>
  <c r="L61" i="3"/>
  <c r="M211" i="14" s="1"/>
  <c r="J211" i="14"/>
  <c r="K61" i="3"/>
  <c r="L211" i="14" s="1"/>
  <c r="L53" i="3"/>
  <c r="M203" i="14" s="1"/>
  <c r="J203" i="14"/>
  <c r="K53" i="3"/>
  <c r="L203" i="14" s="1"/>
  <c r="L40" i="3"/>
  <c r="M190" i="14" s="1"/>
  <c r="J190" i="14"/>
  <c r="K40" i="3"/>
  <c r="L190" i="14" s="1"/>
  <c r="L31" i="3"/>
  <c r="M181" i="14" s="1"/>
  <c r="J181" i="14"/>
  <c r="K31" i="3"/>
  <c r="L181" i="14" s="1"/>
  <c r="L117" i="3"/>
  <c r="M263" i="14" s="1"/>
  <c r="J263" i="14"/>
  <c r="K117" i="3"/>
  <c r="L263" i="14" s="1"/>
  <c r="L113" i="3"/>
  <c r="M259" i="14" s="1"/>
  <c r="J259" i="14"/>
  <c r="K113" i="3"/>
  <c r="L259" i="14" s="1"/>
  <c r="J267" i="14"/>
  <c r="K123" i="3"/>
  <c r="L267" i="14" s="1"/>
  <c r="L126" i="3"/>
  <c r="M270" i="14" s="1"/>
  <c r="J270" i="14"/>
  <c r="K126" i="3"/>
  <c r="L270" i="14" s="1"/>
  <c r="J42" i="14"/>
  <c r="K8" i="7"/>
  <c r="L42" i="14" s="1"/>
  <c r="J50" i="14"/>
  <c r="K18" i="7"/>
  <c r="L50" i="14" s="1"/>
  <c r="J60" i="14"/>
  <c r="K29" i="7"/>
  <c r="L60" i="14" s="1"/>
  <c r="J64" i="14"/>
  <c r="K33" i="7"/>
  <c r="L64" i="14" s="1"/>
  <c r="J69" i="14"/>
  <c r="K38" i="7"/>
  <c r="L69" i="14" s="1"/>
  <c r="J73" i="14"/>
  <c r="K42" i="7"/>
  <c r="L73" i="14" s="1"/>
  <c r="J77" i="14"/>
  <c r="K46" i="7"/>
  <c r="L77" i="14" s="1"/>
  <c r="L51" i="7"/>
  <c r="M82" i="14" s="1"/>
  <c r="J82" i="14"/>
  <c r="K51" i="7"/>
  <c r="L82" i="14" s="1"/>
  <c r="L59" i="7"/>
  <c r="M90" i="14" s="1"/>
  <c r="J90" i="14"/>
  <c r="K59" i="7"/>
  <c r="L90" i="14" s="1"/>
  <c r="L63" i="7"/>
  <c r="M94" i="14" s="1"/>
  <c r="J94" i="14"/>
  <c r="K63" i="7"/>
  <c r="L94" i="14" s="1"/>
  <c r="L67" i="7"/>
  <c r="M98" i="14" s="1"/>
  <c r="J98" i="14"/>
  <c r="K67" i="7"/>
  <c r="L98" i="14" s="1"/>
  <c r="L71" i="7"/>
  <c r="M102" i="14" s="1"/>
  <c r="J102" i="14"/>
  <c r="K71" i="7"/>
  <c r="L102" i="14" s="1"/>
  <c r="L79" i="7"/>
  <c r="M110" i="14" s="1"/>
  <c r="J110" i="14"/>
  <c r="K79" i="7"/>
  <c r="L110" i="14" s="1"/>
  <c r="L83" i="7"/>
  <c r="M114" i="14" s="1"/>
  <c r="J114" i="14"/>
  <c r="K83" i="7"/>
  <c r="L114" i="14" s="1"/>
  <c r="L87" i="7"/>
  <c r="M118" i="14" s="1"/>
  <c r="J118" i="14"/>
  <c r="K87" i="7"/>
  <c r="L118" i="14" s="1"/>
  <c r="L91" i="7"/>
  <c r="M122" i="14" s="1"/>
  <c r="J122" i="14"/>
  <c r="K91" i="7"/>
  <c r="L122" i="14" s="1"/>
  <c r="L95" i="7"/>
  <c r="M126" i="14" s="1"/>
  <c r="J126" i="14"/>
  <c r="K95" i="7"/>
  <c r="L126" i="14" s="1"/>
  <c r="J132" i="14"/>
  <c r="K101" i="7"/>
  <c r="L132" i="14" s="1"/>
  <c r="L126" i="7"/>
  <c r="M151" i="14" s="1"/>
  <c r="J151" i="14"/>
  <c r="K126" i="7"/>
  <c r="L151" i="14" s="1"/>
  <c r="H47" i="7"/>
  <c r="E30" i="8" s="1"/>
  <c r="F30" i="8" s="1"/>
  <c r="I78" i="14"/>
  <c r="G103" i="3"/>
  <c r="G136" i="3" s="1"/>
  <c r="L130" i="3"/>
  <c r="M274" i="14" s="1"/>
  <c r="J274" i="14"/>
  <c r="K130" i="3"/>
  <c r="L274" i="14" s="1"/>
  <c r="J155" i="14"/>
  <c r="K130" i="7"/>
  <c r="L155" i="14" s="1"/>
  <c r="L84" i="3"/>
  <c r="M234" i="14" s="1"/>
  <c r="J234" i="14"/>
  <c r="K84" i="3"/>
  <c r="L234" i="14" s="1"/>
  <c r="L56" i="3"/>
  <c r="M206" i="14" s="1"/>
  <c r="J206" i="14"/>
  <c r="K56" i="3"/>
  <c r="L206" i="14" s="1"/>
  <c r="L44" i="3"/>
  <c r="M194" i="14" s="1"/>
  <c r="J194" i="14"/>
  <c r="K44" i="3"/>
  <c r="L194" i="14" s="1"/>
  <c r="J121" i="14"/>
  <c r="K90" i="7"/>
  <c r="L121" i="14" s="1"/>
  <c r="L73" i="3"/>
  <c r="M223" i="14" s="1"/>
  <c r="J223" i="14"/>
  <c r="K73" i="3"/>
  <c r="L223" i="14" s="1"/>
  <c r="L73" i="7"/>
  <c r="M104" i="14" s="1"/>
  <c r="J104" i="14"/>
  <c r="K73" i="7"/>
  <c r="L104" i="14" s="1"/>
  <c r="L49" i="3"/>
  <c r="M199" i="14" s="1"/>
  <c r="J199" i="14"/>
  <c r="K49" i="3"/>
  <c r="L199" i="14" s="1"/>
  <c r="L49" i="7"/>
  <c r="M80" i="14" s="1"/>
  <c r="J80" i="14"/>
  <c r="K49" i="7"/>
  <c r="L80" i="14" s="1"/>
  <c r="L57" i="7"/>
  <c r="M88" i="14" s="1"/>
  <c r="J88" i="14"/>
  <c r="K57" i="7"/>
  <c r="L88" i="14" s="1"/>
  <c r="L45" i="3"/>
  <c r="M195" i="14" s="1"/>
  <c r="J195" i="14"/>
  <c r="K45" i="3"/>
  <c r="L195" i="14" s="1"/>
  <c r="L58" i="3"/>
  <c r="M208" i="14" s="1"/>
  <c r="J208" i="14"/>
  <c r="K58" i="3"/>
  <c r="L208" i="14" s="1"/>
  <c r="L27" i="3"/>
  <c r="M177" i="14" s="1"/>
  <c r="J177" i="14"/>
  <c r="K27" i="3"/>
  <c r="L177" i="14" s="1"/>
  <c r="J66" i="14"/>
  <c r="K35" i="7"/>
  <c r="L66" i="14" s="1"/>
  <c r="J58" i="14"/>
  <c r="K27" i="7"/>
  <c r="L58" i="14" s="1"/>
  <c r="L70" i="3"/>
  <c r="M220" i="14" s="1"/>
  <c r="J220" i="14"/>
  <c r="K70" i="3"/>
  <c r="L220" i="14" s="1"/>
  <c r="J101" i="14"/>
  <c r="K70" i="7"/>
  <c r="L101" i="14" s="1"/>
  <c r="L32" i="3"/>
  <c r="M182" i="14" s="1"/>
  <c r="J182" i="14"/>
  <c r="K32" i="3"/>
  <c r="L182" i="14" s="1"/>
  <c r="J264" i="14"/>
  <c r="K118" i="3"/>
  <c r="L264" i="14" s="1"/>
  <c r="L43" i="2"/>
  <c r="M32" i="14" s="1"/>
  <c r="J83" i="14"/>
  <c r="K52" i="7"/>
  <c r="L83" i="14" s="1"/>
  <c r="L128" i="3"/>
  <c r="M272" i="14" s="1"/>
  <c r="J272" i="14"/>
  <c r="K128" i="3"/>
  <c r="L272" i="14" s="1"/>
  <c r="L128" i="7"/>
  <c r="M153" i="14" s="1"/>
  <c r="J153" i="14"/>
  <c r="K128" i="7"/>
  <c r="L153" i="14" s="1"/>
  <c r="M30" i="14"/>
  <c r="L119" i="7"/>
  <c r="M146" i="14" s="1"/>
  <c r="J146" i="14"/>
  <c r="K119" i="7"/>
  <c r="L146" i="14" s="1"/>
  <c r="J145" i="14"/>
  <c r="K118" i="7"/>
  <c r="L145" i="14" s="1"/>
  <c r="L117" i="7"/>
  <c r="M144" i="14" s="1"/>
  <c r="J144" i="14"/>
  <c r="K117" i="7"/>
  <c r="L144" i="14" s="1"/>
  <c r="J143" i="14"/>
  <c r="K116" i="7"/>
  <c r="L143" i="14" s="1"/>
  <c r="J142" i="14"/>
  <c r="K115" i="7"/>
  <c r="L142" i="14" s="1"/>
  <c r="J141" i="14"/>
  <c r="K114" i="7"/>
  <c r="L141" i="14" s="1"/>
  <c r="J140" i="14"/>
  <c r="K113" i="7"/>
  <c r="L140" i="14" s="1"/>
  <c r="L111" i="7"/>
  <c r="M138" i="14" s="1"/>
  <c r="J138" i="14"/>
  <c r="K111" i="7"/>
  <c r="L138" i="14" s="1"/>
  <c r="J137" i="14"/>
  <c r="K110" i="7"/>
  <c r="L137" i="14" s="1"/>
  <c r="L109" i="7"/>
  <c r="M136" i="14" s="1"/>
  <c r="J136" i="14"/>
  <c r="K109" i="7"/>
  <c r="L136" i="14" s="1"/>
  <c r="L25" i="3"/>
  <c r="M175" i="14" s="1"/>
  <c r="J175" i="14"/>
  <c r="K25" i="3"/>
  <c r="L175" i="14" s="1"/>
  <c r="J56" i="14"/>
  <c r="K25" i="7"/>
  <c r="L56" i="14" s="1"/>
  <c r="J117" i="14"/>
  <c r="K86" i="7"/>
  <c r="L117" i="14" s="1"/>
  <c r="L35" i="3"/>
  <c r="M185" i="14" s="1"/>
  <c r="J185" i="14"/>
  <c r="K35" i="3"/>
  <c r="L185" i="14" s="1"/>
  <c r="L78" i="3"/>
  <c r="M228" i="14" s="1"/>
  <c r="J228" i="14"/>
  <c r="K78" i="3"/>
  <c r="L228" i="14" s="1"/>
  <c r="L86" i="3"/>
  <c r="M236" i="14" s="1"/>
  <c r="J236" i="14"/>
  <c r="K86" i="3"/>
  <c r="L236" i="14" s="1"/>
  <c r="L43" i="3"/>
  <c r="M193" i="14" s="1"/>
  <c r="J193" i="14"/>
  <c r="K43" i="3"/>
  <c r="L193" i="14" s="1"/>
  <c r="L72" i="3"/>
  <c r="M222" i="14" s="1"/>
  <c r="J222" i="14"/>
  <c r="K72" i="3"/>
  <c r="L222" i="14" s="1"/>
  <c r="L39" i="3"/>
  <c r="M189" i="14" s="1"/>
  <c r="J189" i="14"/>
  <c r="K39" i="3"/>
  <c r="L189" i="14" s="1"/>
  <c r="L74" i="3"/>
  <c r="M224" i="14" s="1"/>
  <c r="J224" i="14"/>
  <c r="K74" i="3"/>
  <c r="L224" i="14" s="1"/>
  <c r="J70" i="14"/>
  <c r="K39" i="7"/>
  <c r="L70" i="14" s="1"/>
  <c r="J105" i="14"/>
  <c r="K74" i="7"/>
  <c r="L105" i="14" s="1"/>
  <c r="L101" i="3"/>
  <c r="M251" i="14" s="1"/>
  <c r="J251" i="14"/>
  <c r="K101" i="3"/>
  <c r="L251" i="14" s="1"/>
  <c r="L76" i="3"/>
  <c r="M226" i="14" s="1"/>
  <c r="K76" i="3"/>
  <c r="L226" i="14" s="1"/>
  <c r="K76" i="7"/>
  <c r="L107" i="14" s="1"/>
  <c r="L55" i="3"/>
  <c r="M205" i="14" s="1"/>
  <c r="K55" i="3"/>
  <c r="L205" i="14" s="1"/>
  <c r="L55" i="7"/>
  <c r="M86" i="14" s="1"/>
  <c r="K55" i="7"/>
  <c r="L86" i="14" s="1"/>
  <c r="L52" i="3"/>
  <c r="M202" i="14" s="1"/>
  <c r="K52" i="3"/>
  <c r="L202" i="14" s="1"/>
  <c r="L57" i="3"/>
  <c r="M207" i="14" s="1"/>
  <c r="K57" i="3"/>
  <c r="L207" i="14" s="1"/>
  <c r="L75" i="3"/>
  <c r="M225" i="14" s="1"/>
  <c r="K75" i="3"/>
  <c r="L225" i="14" s="1"/>
  <c r="K112" i="3"/>
  <c r="L75" i="7"/>
  <c r="M106" i="14" s="1"/>
  <c r="K75" i="7"/>
  <c r="L106" i="14" s="1"/>
  <c r="K112" i="7"/>
  <c r="L105" i="3"/>
  <c r="M253" i="14" s="1"/>
  <c r="K105" i="3"/>
  <c r="L253" i="14" s="1"/>
  <c r="G7" i="1"/>
  <c r="J7" i="1" s="1"/>
  <c r="H7" i="3"/>
  <c r="E16" i="8"/>
  <c r="F16" i="8" s="1"/>
  <c r="H23" i="7"/>
  <c r="L23" i="7" s="1"/>
  <c r="M54" i="14" s="1"/>
  <c r="I70" i="8"/>
  <c r="I17" i="1"/>
  <c r="P16" i="8"/>
  <c r="I14" i="1"/>
  <c r="E29" i="8"/>
  <c r="F29" i="8" s="1"/>
  <c r="E25" i="8"/>
  <c r="F25" i="8" s="1"/>
  <c r="E12" i="8"/>
  <c r="F12" i="8" s="1"/>
  <c r="E8" i="5"/>
  <c r="F8" i="5" s="1"/>
  <c r="I6" i="5"/>
  <c r="I8" i="5"/>
  <c r="I13" i="5"/>
  <c r="I17" i="5"/>
  <c r="I19" i="5"/>
  <c r="P19" i="5" s="1"/>
  <c r="I31" i="5"/>
  <c r="P31" i="5" s="1"/>
  <c r="I29" i="5"/>
  <c r="P29" i="5" s="1"/>
  <c r="I27" i="5"/>
  <c r="P27" i="5" s="1"/>
  <c r="I25" i="5"/>
  <c r="P25" i="5" s="1"/>
  <c r="I23" i="5"/>
  <c r="P23" i="5" s="1"/>
  <c r="E21" i="8"/>
  <c r="F21" i="8" s="1"/>
  <c r="E8" i="8"/>
  <c r="F8" i="8" s="1"/>
  <c r="K31" i="2"/>
  <c r="L20" i="14" s="1"/>
  <c r="K36" i="2"/>
  <c r="L25" i="14" s="1"/>
  <c r="L39" i="2"/>
  <c r="M28" i="14" s="1"/>
  <c r="M29" i="14"/>
  <c r="K47" i="2"/>
  <c r="L36" i="14" s="1"/>
  <c r="M37" i="14"/>
  <c r="K49" i="2"/>
  <c r="L38" i="14" s="1"/>
  <c r="M39" i="14"/>
  <c r="G51" i="2"/>
  <c r="H40" i="14" s="1"/>
  <c r="K41" i="2"/>
  <c r="L30" i="14" s="1"/>
  <c r="K35" i="2"/>
  <c r="L24" i="14" s="1"/>
  <c r="M42" i="14"/>
  <c r="E7" i="5"/>
  <c r="F7" i="5" s="1"/>
  <c r="L12" i="7"/>
  <c r="M46" i="14" s="1"/>
  <c r="E11" i="5"/>
  <c r="F11" i="5" s="1"/>
  <c r="L18" i="7"/>
  <c r="M50" i="14" s="1"/>
  <c r="E15" i="5"/>
  <c r="F15" i="5" s="1"/>
  <c r="L24" i="7"/>
  <c r="M55" i="14" s="1"/>
  <c r="E7" i="8"/>
  <c r="F7" i="8" s="1"/>
  <c r="L26" i="7"/>
  <c r="M57" i="14" s="1"/>
  <c r="E9" i="8"/>
  <c r="F9" i="8" s="1"/>
  <c r="L28" i="7"/>
  <c r="M59" i="14" s="1"/>
  <c r="E11" i="8"/>
  <c r="F11" i="8" s="1"/>
  <c r="L30" i="7"/>
  <c r="M61" i="14" s="1"/>
  <c r="E13" i="8"/>
  <c r="F13" i="8" s="1"/>
  <c r="L32" i="7"/>
  <c r="M63" i="14" s="1"/>
  <c r="E15" i="8"/>
  <c r="F15" i="8" s="1"/>
  <c r="L34" i="7"/>
  <c r="M65" i="14" s="1"/>
  <c r="E17" i="8"/>
  <c r="F17" i="8" s="1"/>
  <c r="L36" i="7"/>
  <c r="M67" i="14" s="1"/>
  <c r="E19" i="8"/>
  <c r="F19" i="8" s="1"/>
  <c r="L39" i="7"/>
  <c r="M70" i="14" s="1"/>
  <c r="E22" i="8"/>
  <c r="F22" i="8" s="1"/>
  <c r="L41" i="7"/>
  <c r="M72" i="14" s="1"/>
  <c r="E24" i="8"/>
  <c r="F24" i="8" s="1"/>
  <c r="L43" i="7"/>
  <c r="M74" i="14" s="1"/>
  <c r="E26" i="8"/>
  <c r="F26" i="8" s="1"/>
  <c r="L45" i="7"/>
  <c r="M76" i="14" s="1"/>
  <c r="E28" i="8"/>
  <c r="F28" i="8" s="1"/>
  <c r="L101" i="7"/>
  <c r="M132" i="14" s="1"/>
  <c r="L124" i="7"/>
  <c r="M149" i="14" s="1"/>
  <c r="E34" i="5"/>
  <c r="F34" i="5" s="1"/>
  <c r="J18" i="1"/>
  <c r="I18" i="1"/>
  <c r="J16" i="1"/>
  <c r="I16" i="1"/>
  <c r="E17" i="5"/>
  <c r="F17" i="5" s="1"/>
  <c r="F22" i="5"/>
  <c r="E41" i="5"/>
  <c r="F41" i="5" s="1"/>
  <c r="E37" i="5"/>
  <c r="F37" i="5" s="1"/>
  <c r="E84" i="8"/>
  <c r="F84" i="8" s="1"/>
  <c r="E78" i="8"/>
  <c r="F78" i="8" s="1"/>
  <c r="E74" i="8"/>
  <c r="F74" i="8" s="1"/>
  <c r="E70" i="8"/>
  <c r="F70" i="8" s="1"/>
  <c r="E66" i="8"/>
  <c r="F66" i="8" s="1"/>
  <c r="E62" i="8"/>
  <c r="F62" i="8" s="1"/>
  <c r="E58" i="8"/>
  <c r="F58" i="8" s="1"/>
  <c r="E54" i="8"/>
  <c r="F54" i="8" s="1"/>
  <c r="E50" i="8"/>
  <c r="F50" i="8" s="1"/>
  <c r="E46" i="8"/>
  <c r="F46" i="8" s="1"/>
  <c r="E42" i="8"/>
  <c r="F42" i="8" s="1"/>
  <c r="E38" i="8"/>
  <c r="F38" i="8" s="1"/>
  <c r="E34" i="8"/>
  <c r="F34" i="8" s="1"/>
  <c r="E31" i="8"/>
  <c r="F31" i="8" s="1"/>
  <c r="E19" i="5"/>
  <c r="F19" i="5" s="1"/>
  <c r="L113" i="7"/>
  <c r="M140" i="14" s="1"/>
  <c r="L115" i="7"/>
  <c r="M142" i="14" s="1"/>
  <c r="F27" i="5"/>
  <c r="L130" i="7"/>
  <c r="M155" i="14" s="1"/>
  <c r="E40" i="5"/>
  <c r="F40" i="5" s="1"/>
  <c r="L132" i="7"/>
  <c r="M157" i="14" s="1"/>
  <c r="E42" i="5"/>
  <c r="F42" i="5" s="1"/>
  <c r="E15" i="1"/>
  <c r="G15" i="1" s="1"/>
  <c r="I34" i="1"/>
  <c r="I31" i="1"/>
  <c r="E13" i="5"/>
  <c r="F13" i="5" s="1"/>
  <c r="F24" i="5"/>
  <c r="E43" i="5"/>
  <c r="F43" i="5" s="1"/>
  <c r="E39" i="5"/>
  <c r="F39" i="5" s="1"/>
  <c r="E35" i="5"/>
  <c r="F35" i="5" s="1"/>
  <c r="E80" i="8"/>
  <c r="F80" i="8" s="1"/>
  <c r="E76" i="8"/>
  <c r="F76" i="8" s="1"/>
  <c r="E72" i="8"/>
  <c r="F72" i="8" s="1"/>
  <c r="E68" i="8"/>
  <c r="F68" i="8" s="1"/>
  <c r="E64" i="8"/>
  <c r="F64" i="8" s="1"/>
  <c r="E60" i="8"/>
  <c r="F60" i="8" s="1"/>
  <c r="E56" i="8"/>
  <c r="F56" i="8" s="1"/>
  <c r="E52" i="8"/>
  <c r="F52" i="8" s="1"/>
  <c r="E48" i="8"/>
  <c r="F48" i="8" s="1"/>
  <c r="E44" i="8"/>
  <c r="F44" i="8" s="1"/>
  <c r="E40" i="8"/>
  <c r="F40" i="8" s="1"/>
  <c r="E36" i="8"/>
  <c r="F36" i="8" s="1"/>
  <c r="E32" i="8"/>
  <c r="F32" i="8" s="1"/>
  <c r="E27" i="8"/>
  <c r="F27" i="8" s="1"/>
  <c r="E23" i="8"/>
  <c r="F23" i="8" s="1"/>
  <c r="E18" i="8"/>
  <c r="F18" i="8" s="1"/>
  <c r="E14" i="8"/>
  <c r="F14" i="8" s="1"/>
  <c r="E10" i="8"/>
  <c r="F10" i="8" s="1"/>
  <c r="I35" i="1"/>
  <c r="I33" i="1"/>
  <c r="F31" i="5"/>
  <c r="E33" i="5"/>
  <c r="F33" i="5" s="1"/>
  <c r="E38" i="5"/>
  <c r="F38" i="5" s="1"/>
  <c r="E36" i="5"/>
  <c r="F36" i="5" s="1"/>
  <c r="E83" i="8"/>
  <c r="F83" i="8" s="1"/>
  <c r="E79" i="8"/>
  <c r="F79" i="8" s="1"/>
  <c r="E77" i="8"/>
  <c r="F77" i="8" s="1"/>
  <c r="E75" i="8"/>
  <c r="F75" i="8" s="1"/>
  <c r="E73" i="8"/>
  <c r="F73" i="8" s="1"/>
  <c r="E71" i="8"/>
  <c r="F71" i="8" s="1"/>
  <c r="E69" i="8"/>
  <c r="F69" i="8" s="1"/>
  <c r="E67" i="8"/>
  <c r="F67" i="8" s="1"/>
  <c r="E65" i="8"/>
  <c r="F65" i="8" s="1"/>
  <c r="E63" i="8"/>
  <c r="F63" i="8" s="1"/>
  <c r="E61" i="8"/>
  <c r="F61" i="8" s="1"/>
  <c r="E59" i="8"/>
  <c r="F59" i="8" s="1"/>
  <c r="E57" i="8"/>
  <c r="F57" i="8" s="1"/>
  <c r="E55" i="8"/>
  <c r="F55" i="8" s="1"/>
  <c r="E53" i="8"/>
  <c r="F53" i="8" s="1"/>
  <c r="E51" i="8"/>
  <c r="F51" i="8" s="1"/>
  <c r="E49" i="8"/>
  <c r="F49" i="8" s="1"/>
  <c r="E47" i="8"/>
  <c r="F47" i="8" s="1"/>
  <c r="E45" i="8"/>
  <c r="F45" i="8" s="1"/>
  <c r="E43" i="8"/>
  <c r="F43" i="8" s="1"/>
  <c r="E41" i="8"/>
  <c r="F41" i="8" s="1"/>
  <c r="E39" i="8"/>
  <c r="F39" i="8" s="1"/>
  <c r="E37" i="8"/>
  <c r="F37" i="8" s="1"/>
  <c r="E35" i="8"/>
  <c r="F35" i="8" s="1"/>
  <c r="E33" i="8"/>
  <c r="F33" i="8" s="1"/>
  <c r="I11" i="5"/>
  <c r="I7" i="5"/>
  <c r="I15" i="5"/>
  <c r="P15" i="5" s="1"/>
  <c r="I16" i="5"/>
  <c r="I21" i="5"/>
  <c r="I30" i="5"/>
  <c r="P30" i="5" s="1"/>
  <c r="I28" i="5"/>
  <c r="P28" i="5" s="1"/>
  <c r="I26" i="5"/>
  <c r="P26" i="5" s="1"/>
  <c r="I24" i="5"/>
  <c r="P24" i="5" s="1"/>
  <c r="I22" i="5"/>
  <c r="P22" i="5" s="1"/>
  <c r="I43" i="5"/>
  <c r="I41" i="5"/>
  <c r="P41" i="5" s="1"/>
  <c r="I39" i="5"/>
  <c r="P39" i="5" s="1"/>
  <c r="I37" i="5"/>
  <c r="P37" i="5" s="1"/>
  <c r="I35" i="5"/>
  <c r="P35" i="5" s="1"/>
  <c r="E16" i="5"/>
  <c r="F16" i="5" s="1"/>
  <c r="L102" i="7"/>
  <c r="L102" i="3"/>
  <c r="E6" i="5"/>
  <c r="F6" i="5" s="1"/>
  <c r="I33" i="5"/>
  <c r="P33" i="5" s="1"/>
  <c r="I42" i="5"/>
  <c r="P42" i="5" s="1"/>
  <c r="I40" i="5"/>
  <c r="P40" i="5" s="1"/>
  <c r="I38" i="5"/>
  <c r="I36" i="5"/>
  <c r="P36" i="5" s="1"/>
  <c r="I34" i="5"/>
  <c r="P34" i="5" s="1"/>
  <c r="J28" i="1"/>
  <c r="I28" i="1"/>
  <c r="J30" i="1"/>
  <c r="I30" i="1"/>
  <c r="J25" i="1"/>
  <c r="I25" i="1"/>
  <c r="J29" i="1"/>
  <c r="I29" i="1"/>
  <c r="J11" i="1"/>
  <c r="I11" i="1"/>
  <c r="J13" i="1"/>
  <c r="I13" i="1"/>
  <c r="J8" i="1"/>
  <c r="I8" i="1"/>
  <c r="J12" i="1"/>
  <c r="I12" i="1"/>
  <c r="M277" i="14"/>
  <c r="L131" i="3"/>
  <c r="M275" i="14" s="1"/>
  <c r="L129" i="3"/>
  <c r="M273" i="14" s="1"/>
  <c r="L127" i="3"/>
  <c r="M271" i="14" s="1"/>
  <c r="L125" i="3"/>
  <c r="M269" i="14" s="1"/>
  <c r="L123" i="3"/>
  <c r="M267" i="14" s="1"/>
  <c r="L118" i="3"/>
  <c r="M264" i="14" s="1"/>
  <c r="L116" i="3"/>
  <c r="M262" i="14" s="1"/>
  <c r="L114" i="3"/>
  <c r="M260" i="14" s="1"/>
  <c r="L112" i="3"/>
  <c r="M258" i="14" s="1"/>
  <c r="L110" i="3"/>
  <c r="M256" i="14" s="1"/>
  <c r="L84" i="8"/>
  <c r="L23" i="3"/>
  <c r="M173" i="14" s="1"/>
  <c r="L17" i="5"/>
  <c r="L19" i="3"/>
  <c r="M170" i="14" s="1"/>
  <c r="L13" i="5"/>
  <c r="L9" i="3"/>
  <c r="M162" i="14" s="1"/>
  <c r="K22" i="8"/>
  <c r="L7" i="7"/>
  <c r="M41" i="14" s="1"/>
  <c r="L9" i="7"/>
  <c r="M43" i="14" s="1"/>
  <c r="K11" i="5"/>
  <c r="L15" i="7"/>
  <c r="M48" i="14" s="1"/>
  <c r="K15" i="5"/>
  <c r="L19" i="7"/>
  <c r="M51" i="14" s="1"/>
  <c r="L25" i="7"/>
  <c r="M56" i="14" s="1"/>
  <c r="L27" i="7"/>
  <c r="M58" i="14" s="1"/>
  <c r="L29" i="7"/>
  <c r="M60" i="14" s="1"/>
  <c r="L31" i="7"/>
  <c r="M62" i="14" s="1"/>
  <c r="L33" i="7"/>
  <c r="M64" i="14" s="1"/>
  <c r="L35" i="7"/>
  <c r="M66" i="14" s="1"/>
  <c r="L38" i="7"/>
  <c r="M69" i="14" s="1"/>
  <c r="L40" i="7"/>
  <c r="M71" i="14" s="1"/>
  <c r="L42" i="7"/>
  <c r="M73" i="14" s="1"/>
  <c r="L44" i="7"/>
  <c r="M75" i="14" s="1"/>
  <c r="L46" i="7"/>
  <c r="L48" i="7"/>
  <c r="M79" i="14" s="1"/>
  <c r="L50" i="7"/>
  <c r="M81" i="14" s="1"/>
  <c r="L52" i="7"/>
  <c r="M83" i="14" s="1"/>
  <c r="L54" i="7"/>
  <c r="M85" i="14" s="1"/>
  <c r="L56" i="7"/>
  <c r="M87" i="14" s="1"/>
  <c r="L58" i="7"/>
  <c r="M89" i="14" s="1"/>
  <c r="L60" i="7"/>
  <c r="M91" i="14" s="1"/>
  <c r="L62" i="7"/>
  <c r="M93" i="14" s="1"/>
  <c r="L64" i="7"/>
  <c r="M95" i="14" s="1"/>
  <c r="L66" i="7"/>
  <c r="M97" i="14" s="1"/>
  <c r="L68" i="7"/>
  <c r="M99" i="14" s="1"/>
  <c r="L70" i="7"/>
  <c r="M101" i="14" s="1"/>
  <c r="L72" i="7"/>
  <c r="M103" i="14" s="1"/>
  <c r="L74" i="7"/>
  <c r="M105" i="14" s="1"/>
  <c r="L76" i="7"/>
  <c r="M107" i="14" s="1"/>
  <c r="L78" i="7"/>
  <c r="M109" i="14" s="1"/>
  <c r="L80" i="7"/>
  <c r="M111" i="14" s="1"/>
  <c r="L82" i="7"/>
  <c r="M113" i="14" s="1"/>
  <c r="L84" i="7"/>
  <c r="M115" i="14" s="1"/>
  <c r="L86" i="7"/>
  <c r="M117" i="14" s="1"/>
  <c r="L88" i="7"/>
  <c r="M119" i="14" s="1"/>
  <c r="L90" i="7"/>
  <c r="M121" i="14" s="1"/>
  <c r="L92" i="7"/>
  <c r="M123" i="14" s="1"/>
  <c r="L94" i="7"/>
  <c r="M125" i="14" s="1"/>
  <c r="L96" i="7"/>
  <c r="M127" i="14" s="1"/>
  <c r="L100" i="7"/>
  <c r="M131" i="14" s="1"/>
  <c r="L105" i="7"/>
  <c r="M134" i="14" s="1"/>
  <c r="L110" i="7"/>
  <c r="M137" i="14" s="1"/>
  <c r="L112" i="7"/>
  <c r="M139" i="14" s="1"/>
  <c r="L114" i="7"/>
  <c r="M141" i="14" s="1"/>
  <c r="L116" i="7"/>
  <c r="M143" i="14" s="1"/>
  <c r="L118" i="7"/>
  <c r="M145" i="14" s="1"/>
  <c r="L123" i="7"/>
  <c r="M148" i="14" s="1"/>
  <c r="L125" i="7"/>
  <c r="M150" i="14" s="1"/>
  <c r="L127" i="7"/>
  <c r="M152" i="14" s="1"/>
  <c r="L129" i="7"/>
  <c r="M154" i="14" s="1"/>
  <c r="L131" i="7"/>
  <c r="M156" i="14" s="1"/>
  <c r="M158" i="14"/>
  <c r="F51" i="2"/>
  <c r="K17" i="2"/>
  <c r="L12" i="14" s="1"/>
  <c r="K20" i="2"/>
  <c r="L15" i="14" s="1"/>
  <c r="K16" i="2"/>
  <c r="L11" i="14" s="1"/>
  <c r="K9" i="2" l="1"/>
  <c r="L4" i="14" s="1"/>
  <c r="L31" i="8"/>
  <c r="P21" i="5"/>
  <c r="P38" i="5"/>
  <c r="L27" i="5"/>
  <c r="M35" i="14"/>
  <c r="L28" i="8"/>
  <c r="L8" i="8"/>
  <c r="K11" i="8"/>
  <c r="K44" i="8"/>
  <c r="L50" i="8"/>
  <c r="L26" i="8"/>
  <c r="L29" i="8"/>
  <c r="L39" i="8"/>
  <c r="L78" i="8"/>
  <c r="L68" i="8"/>
  <c r="L83" i="8"/>
  <c r="L42" i="5"/>
  <c r="L25" i="5"/>
  <c r="K38" i="8"/>
  <c r="L66" i="8"/>
  <c r="L17" i="8"/>
  <c r="L10" i="8"/>
  <c r="K52" i="8"/>
  <c r="K19" i="8"/>
  <c r="L22" i="8"/>
  <c r="M22" i="8" s="1"/>
  <c r="L11" i="5"/>
  <c r="N11" i="5" s="1"/>
  <c r="L40" i="5"/>
  <c r="K34" i="5"/>
  <c r="L34" i="8"/>
  <c r="L46" i="8"/>
  <c r="L64" i="8"/>
  <c r="L80" i="8"/>
  <c r="K66" i="8"/>
  <c r="L32" i="2"/>
  <c r="M21" i="14" s="1"/>
  <c r="L44" i="2"/>
  <c r="M33" i="14" s="1"/>
  <c r="L34" i="2"/>
  <c r="M23" i="14" s="1"/>
  <c r="K38" i="2"/>
  <c r="L27" i="14" s="1"/>
  <c r="J34" i="14"/>
  <c r="K19" i="2"/>
  <c r="L14" i="14" s="1"/>
  <c r="K14" i="2"/>
  <c r="L9" i="14" s="1"/>
  <c r="K18" i="2"/>
  <c r="L13" i="14" s="1"/>
  <c r="K22" i="2"/>
  <c r="L17" i="14" s="1"/>
  <c r="K10" i="2"/>
  <c r="L5" i="14" s="1"/>
  <c r="K21" i="2"/>
  <c r="L16" i="14" s="1"/>
  <c r="L34" i="5"/>
  <c r="L36" i="5"/>
  <c r="L21" i="5"/>
  <c r="L23" i="5"/>
  <c r="L29" i="5"/>
  <c r="L31" i="5"/>
  <c r="L12" i="8"/>
  <c r="L37" i="8"/>
  <c r="L42" i="8"/>
  <c r="L48" i="8"/>
  <c r="L56" i="8"/>
  <c r="L71" i="8"/>
  <c r="L11" i="8"/>
  <c r="L14" i="8"/>
  <c r="L21" i="8"/>
  <c r="L24" i="8"/>
  <c r="L35" i="8"/>
  <c r="L38" i="8"/>
  <c r="L40" i="8"/>
  <c r="L43" i="8"/>
  <c r="L47" i="8"/>
  <c r="L49" i="8"/>
  <c r="L53" i="8"/>
  <c r="L62" i="8"/>
  <c r="L70" i="8"/>
  <c r="L73" i="8"/>
  <c r="L7" i="8"/>
  <c r="L9" i="8"/>
  <c r="L13" i="8"/>
  <c r="L16" i="8"/>
  <c r="L23" i="8"/>
  <c r="L25" i="8"/>
  <c r="L27" i="8"/>
  <c r="L33" i="8"/>
  <c r="L52" i="8"/>
  <c r="M52" i="8" s="1"/>
  <c r="L54" i="8"/>
  <c r="L59" i="8"/>
  <c r="L63" i="8"/>
  <c r="L65" i="8"/>
  <c r="L67" i="8"/>
  <c r="L72" i="8"/>
  <c r="L75" i="8"/>
  <c r="L79" i="8"/>
  <c r="L15" i="5"/>
  <c r="M15" i="5" s="1"/>
  <c r="L7" i="5"/>
  <c r="K29" i="5"/>
  <c r="K23" i="5"/>
  <c r="K31" i="5"/>
  <c r="M31" i="5" s="1"/>
  <c r="K19" i="5"/>
  <c r="K7" i="8"/>
  <c r="K15" i="8"/>
  <c r="K40" i="8"/>
  <c r="K46" i="8"/>
  <c r="K64" i="8"/>
  <c r="K72" i="8"/>
  <c r="N72" i="8" s="1"/>
  <c r="Q72" i="8" s="1"/>
  <c r="K36" i="8"/>
  <c r="K26" i="8"/>
  <c r="N26" i="8" s="1"/>
  <c r="Q26" i="8" s="1"/>
  <c r="K9" i="8"/>
  <c r="M9" i="8" s="1"/>
  <c r="K13" i="8"/>
  <c r="M13" i="8" s="1"/>
  <c r="K48" i="8"/>
  <c r="M48" i="8" s="1"/>
  <c r="K60" i="8"/>
  <c r="K78" i="8"/>
  <c r="N78" i="8" s="1"/>
  <c r="Q78" i="8" s="1"/>
  <c r="K84" i="8"/>
  <c r="N84" i="8" s="1"/>
  <c r="Q84" i="8" s="1"/>
  <c r="K68" i="8"/>
  <c r="K76" i="8"/>
  <c r="K17" i="5"/>
  <c r="M17" i="5" s="1"/>
  <c r="K43" i="2"/>
  <c r="L32" i="14" s="1"/>
  <c r="K50" i="2"/>
  <c r="L39" i="14" s="1"/>
  <c r="K46" i="2"/>
  <c r="L35" i="14" s="1"/>
  <c r="K32" i="2"/>
  <c r="L21" i="14" s="1"/>
  <c r="L30" i="2"/>
  <c r="M19" i="14" s="1"/>
  <c r="L47" i="2"/>
  <c r="M36" i="14" s="1"/>
  <c r="K42" i="2"/>
  <c r="L31" i="14" s="1"/>
  <c r="K39" i="2"/>
  <c r="L28" i="14" s="1"/>
  <c r="L31" i="2"/>
  <c r="M20" i="14" s="1"/>
  <c r="K45" i="2"/>
  <c r="L34" i="14" s="1"/>
  <c r="K48" i="2"/>
  <c r="L37" i="14" s="1"/>
  <c r="K40" i="2"/>
  <c r="L29" i="14" s="1"/>
  <c r="K34" i="2"/>
  <c r="L23" i="14" s="1"/>
  <c r="L38" i="2"/>
  <c r="M27" i="14" s="1"/>
  <c r="K15" i="2"/>
  <c r="L10" i="14" s="1"/>
  <c r="K8" i="2"/>
  <c r="L3" i="14" s="1"/>
  <c r="L15" i="2"/>
  <c r="M10" i="14" s="1"/>
  <c r="L19" i="2"/>
  <c r="M14" i="14" s="1"/>
  <c r="L8" i="2"/>
  <c r="M3" i="14" s="1"/>
  <c r="L9" i="2"/>
  <c r="M4" i="14" s="1"/>
  <c r="L14" i="2"/>
  <c r="M9" i="14" s="1"/>
  <c r="L16" i="2"/>
  <c r="M11" i="14" s="1"/>
  <c r="L18" i="2"/>
  <c r="M13" i="14" s="1"/>
  <c r="L20" i="2"/>
  <c r="M15" i="14" s="1"/>
  <c r="M17" i="14"/>
  <c r="L10" i="2"/>
  <c r="M5" i="14" s="1"/>
  <c r="L17" i="2"/>
  <c r="M12" i="14" s="1"/>
  <c r="L21" i="2"/>
  <c r="M16" i="14" s="1"/>
  <c r="K58" i="8"/>
  <c r="L44" i="8"/>
  <c r="L51" i="8"/>
  <c r="L38" i="5"/>
  <c r="K42" i="5"/>
  <c r="N42" i="5" s="1"/>
  <c r="Q42" i="5" s="1"/>
  <c r="K43" i="5"/>
  <c r="L37" i="5"/>
  <c r="K37" i="5"/>
  <c r="L26" i="5"/>
  <c r="K8" i="5"/>
  <c r="L16" i="5"/>
  <c r="K38" i="5"/>
  <c r="M38" i="5" s="1"/>
  <c r="K29" i="8"/>
  <c r="K77" i="8"/>
  <c r="K45" i="8"/>
  <c r="K63" i="8"/>
  <c r="K27" i="8"/>
  <c r="N27" i="8" s="1"/>
  <c r="Q27" i="8" s="1"/>
  <c r="K79" i="8"/>
  <c r="K39" i="8"/>
  <c r="M39" i="8" s="1"/>
  <c r="K32" i="8"/>
  <c r="K24" i="8"/>
  <c r="K17" i="8"/>
  <c r="K28" i="8"/>
  <c r="K42" i="8"/>
  <c r="K50" i="8"/>
  <c r="K62" i="8"/>
  <c r="M62" i="8" s="1"/>
  <c r="K70" i="8"/>
  <c r="M70" i="8" s="1"/>
  <c r="K80" i="8"/>
  <c r="N80" i="8" s="1"/>
  <c r="Q80" i="8" s="1"/>
  <c r="M27" i="8"/>
  <c r="M63" i="8"/>
  <c r="K25" i="8"/>
  <c r="K71" i="8"/>
  <c r="M71" i="8" s="1"/>
  <c r="K65" i="8"/>
  <c r="M65" i="8" s="1"/>
  <c r="K41" i="8"/>
  <c r="K67" i="8"/>
  <c r="K12" i="8"/>
  <c r="K30" i="2"/>
  <c r="L19" i="14" s="1"/>
  <c r="K23" i="2"/>
  <c r="L18" i="14" s="1"/>
  <c r="L7" i="2"/>
  <c r="M2" i="14" s="1"/>
  <c r="L23" i="2"/>
  <c r="M18" i="14" s="1"/>
  <c r="K33" i="5"/>
  <c r="K39" i="5"/>
  <c r="K13" i="5"/>
  <c r="M13" i="5" s="1"/>
  <c r="L18" i="8"/>
  <c r="L35" i="5"/>
  <c r="L28" i="5"/>
  <c r="K51" i="8"/>
  <c r="M51" i="8" s="1"/>
  <c r="K6" i="5"/>
  <c r="L74" i="8"/>
  <c r="K31" i="8"/>
  <c r="F27" i="1"/>
  <c r="G27" i="1" s="1"/>
  <c r="J27" i="1" s="1"/>
  <c r="H103" i="3"/>
  <c r="I252" i="14"/>
  <c r="F9" i="1"/>
  <c r="G9" i="1" s="1"/>
  <c r="I53" i="14"/>
  <c r="H21" i="7"/>
  <c r="F26" i="1"/>
  <c r="I172" i="14"/>
  <c r="H21" i="3"/>
  <c r="K54" i="8"/>
  <c r="M54" i="8" s="1"/>
  <c r="K36" i="5"/>
  <c r="L60" i="8"/>
  <c r="K34" i="8"/>
  <c r="M34" i="8" s="1"/>
  <c r="K7" i="5"/>
  <c r="K74" i="8"/>
  <c r="N74" i="8" s="1"/>
  <c r="Q74" i="8" s="1"/>
  <c r="K21" i="5"/>
  <c r="L15" i="8"/>
  <c r="L19" i="8"/>
  <c r="M19" i="8" s="1"/>
  <c r="L32" i="8"/>
  <c r="L36" i="8"/>
  <c r="N36" i="8" s="1"/>
  <c r="Q36" i="8" s="1"/>
  <c r="L57" i="8"/>
  <c r="L61" i="8"/>
  <c r="L69" i="8"/>
  <c r="L77" i="8"/>
  <c r="E6" i="8"/>
  <c r="F6" i="8" s="1"/>
  <c r="L49" i="2"/>
  <c r="M38" i="14" s="1"/>
  <c r="M31" i="14"/>
  <c r="L36" i="2"/>
  <c r="M25" i="14" s="1"/>
  <c r="P8" i="5"/>
  <c r="L7" i="3"/>
  <c r="M160" i="14" s="1"/>
  <c r="J160" i="14"/>
  <c r="K7" i="3"/>
  <c r="L160" i="14" s="1"/>
  <c r="K16" i="8"/>
  <c r="K41" i="5"/>
  <c r="K83" i="8"/>
  <c r="K49" i="8"/>
  <c r="M49" i="8" s="1"/>
  <c r="K33" i="8"/>
  <c r="J47" i="14"/>
  <c r="K13" i="7"/>
  <c r="L47" i="14" s="1"/>
  <c r="L13" i="7"/>
  <c r="M47" i="14" s="1"/>
  <c r="L22" i="5"/>
  <c r="L33" i="2"/>
  <c r="M22" i="14" s="1"/>
  <c r="J22" i="14"/>
  <c r="L76" i="8"/>
  <c r="P11" i="5"/>
  <c r="K7" i="2"/>
  <c r="L2" i="14" s="1"/>
  <c r="K25" i="5"/>
  <c r="L41" i="8"/>
  <c r="M41" i="8" s="1"/>
  <c r="L45" i="8"/>
  <c r="L58" i="8"/>
  <c r="K44" i="2"/>
  <c r="L33" i="14" s="1"/>
  <c r="G136" i="7"/>
  <c r="L47" i="7"/>
  <c r="M78" i="14" s="1"/>
  <c r="J78" i="14"/>
  <c r="K47" i="7"/>
  <c r="K21" i="8"/>
  <c r="L33" i="5"/>
  <c r="M33" i="5" s="1"/>
  <c r="L8" i="5"/>
  <c r="K43" i="8"/>
  <c r="L43" i="5"/>
  <c r="K35" i="5"/>
  <c r="K61" i="8"/>
  <c r="N61" i="8" s="1"/>
  <c r="Q61" i="8" s="1"/>
  <c r="K37" i="8"/>
  <c r="L41" i="5"/>
  <c r="K75" i="8"/>
  <c r="L39" i="5"/>
  <c r="N39" i="5" s="1"/>
  <c r="Q39" i="5" s="1"/>
  <c r="L47" i="3"/>
  <c r="M197" i="14" s="1"/>
  <c r="J197" i="14"/>
  <c r="K47" i="3"/>
  <c r="K14" i="8"/>
  <c r="M14" i="8" s="1"/>
  <c r="L6" i="8"/>
  <c r="K47" i="8"/>
  <c r="J133" i="14"/>
  <c r="K103" i="7"/>
  <c r="L133" i="14" s="1"/>
  <c r="L103" i="7"/>
  <c r="M133" i="14" s="1"/>
  <c r="K16" i="5"/>
  <c r="K23" i="8"/>
  <c r="M23" i="8" s="1"/>
  <c r="M24" i="14"/>
  <c r="J24" i="14"/>
  <c r="L37" i="2"/>
  <c r="M26" i="14" s="1"/>
  <c r="J26" i="14"/>
  <c r="K55" i="8"/>
  <c r="K40" i="5"/>
  <c r="M40" i="5" s="1"/>
  <c r="K56" i="8"/>
  <c r="K73" i="8"/>
  <c r="K18" i="8"/>
  <c r="M18" i="8" s="1"/>
  <c r="K10" i="8"/>
  <c r="K53" i="8"/>
  <c r="K59" i="8"/>
  <c r="M59" i="8" s="1"/>
  <c r="L30" i="5"/>
  <c r="K35" i="8"/>
  <c r="M35" i="8" s="1"/>
  <c r="K30" i="5"/>
  <c r="K28" i="5"/>
  <c r="K27" i="5"/>
  <c r="N27" i="5" s="1"/>
  <c r="Q27" i="5" s="1"/>
  <c r="K26" i="5"/>
  <c r="K22" i="5"/>
  <c r="K8" i="8"/>
  <c r="K69" i="8"/>
  <c r="J54" i="14"/>
  <c r="K23" i="7"/>
  <c r="L54" i="14" s="1"/>
  <c r="L55" i="8"/>
  <c r="L24" i="5"/>
  <c r="L258" i="14"/>
  <c r="K24" i="5"/>
  <c r="N24" i="5" s="1"/>
  <c r="Q24" i="5" s="1"/>
  <c r="L139" i="14"/>
  <c r="K57" i="8"/>
  <c r="L19" i="5"/>
  <c r="M24" i="5"/>
  <c r="I7" i="1"/>
  <c r="I10" i="1"/>
  <c r="J10" i="1"/>
  <c r="F19" i="1"/>
  <c r="G24" i="1"/>
  <c r="I24" i="1" s="1"/>
  <c r="P6" i="5"/>
  <c r="P8" i="8"/>
  <c r="P12" i="8"/>
  <c r="P21" i="8"/>
  <c r="P25" i="8"/>
  <c r="P29" i="8"/>
  <c r="P33" i="8"/>
  <c r="P37" i="8"/>
  <c r="P41" i="8"/>
  <c r="P45" i="8"/>
  <c r="P49" i="8"/>
  <c r="P53" i="8"/>
  <c r="P57" i="8"/>
  <c r="P61" i="8"/>
  <c r="P65" i="8"/>
  <c r="P69" i="8"/>
  <c r="P73" i="8"/>
  <c r="P77" i="8"/>
  <c r="P83" i="8"/>
  <c r="P9" i="8"/>
  <c r="P13" i="8"/>
  <c r="P17" i="8"/>
  <c r="P22" i="8"/>
  <c r="P26" i="8"/>
  <c r="P30" i="8"/>
  <c r="P34" i="8"/>
  <c r="P38" i="8"/>
  <c r="P42" i="8"/>
  <c r="P46" i="8"/>
  <c r="P50" i="8"/>
  <c r="P54" i="8"/>
  <c r="P58" i="8"/>
  <c r="P62" i="8"/>
  <c r="P66" i="8"/>
  <c r="P70" i="8"/>
  <c r="P74" i="8"/>
  <c r="P78" i="8"/>
  <c r="P84" i="8"/>
  <c r="P10" i="8"/>
  <c r="P14" i="8"/>
  <c r="P18" i="8"/>
  <c r="P23" i="8"/>
  <c r="P27" i="8"/>
  <c r="P31" i="8"/>
  <c r="P35" i="8"/>
  <c r="P39" i="8"/>
  <c r="P43" i="8"/>
  <c r="P47" i="8"/>
  <c r="P51" i="8"/>
  <c r="P55" i="8"/>
  <c r="P59" i="8"/>
  <c r="P63" i="8"/>
  <c r="P67" i="8"/>
  <c r="P71" i="8"/>
  <c r="P75" i="8"/>
  <c r="P79" i="8"/>
  <c r="P7" i="8"/>
  <c r="P11" i="8"/>
  <c r="P15" i="8"/>
  <c r="P19" i="8"/>
  <c r="P24" i="8"/>
  <c r="P28" i="8"/>
  <c r="P32" i="8"/>
  <c r="P36" i="8"/>
  <c r="P40" i="8"/>
  <c r="P44" i="8"/>
  <c r="P48" i="8"/>
  <c r="P52" i="8"/>
  <c r="P56" i="8"/>
  <c r="P60" i="8"/>
  <c r="P64" i="8"/>
  <c r="P68" i="8"/>
  <c r="P72" i="8"/>
  <c r="P76" i="8"/>
  <c r="P80" i="8"/>
  <c r="E19" i="1"/>
  <c r="E32" i="1"/>
  <c r="I51" i="2"/>
  <c r="J40" i="14" s="1"/>
  <c r="J15" i="1"/>
  <c r="I15" i="1"/>
  <c r="M31" i="8" l="1"/>
  <c r="N13" i="8"/>
  <c r="Q13" i="8" s="1"/>
  <c r="M8" i="8"/>
  <c r="N50" i="8"/>
  <c r="Q50" i="8" s="1"/>
  <c r="M28" i="8"/>
  <c r="M11" i="8"/>
  <c r="M44" i="8"/>
  <c r="N11" i="8"/>
  <c r="Q11" i="8" s="1"/>
  <c r="M68" i="8"/>
  <c r="L6" i="5"/>
  <c r="M29" i="8"/>
  <c r="M80" i="8"/>
  <c r="M11" i="5"/>
  <c r="M83" i="8"/>
  <c r="N25" i="5"/>
  <c r="Q25" i="5" s="1"/>
  <c r="M25" i="5"/>
  <c r="N31" i="5"/>
  <c r="Q31" i="5" s="1"/>
  <c r="N38" i="8"/>
  <c r="Q38" i="8" s="1"/>
  <c r="N31" i="8"/>
  <c r="Q31" i="8" s="1"/>
  <c r="M10" i="8"/>
  <c r="N36" i="5"/>
  <c r="Q36" i="5" s="1"/>
  <c r="N66" i="8"/>
  <c r="Q66" i="8" s="1"/>
  <c r="N17" i="8"/>
  <c r="Q17" i="8" s="1"/>
  <c r="M42" i="5"/>
  <c r="N71" i="8"/>
  <c r="Q71" i="8" s="1"/>
  <c r="N22" i="8"/>
  <c r="Q22" i="8" s="1"/>
  <c r="N53" i="8"/>
  <c r="Q53" i="8" s="1"/>
  <c r="N7" i="5"/>
  <c r="N64" i="8"/>
  <c r="Q64" i="8" s="1"/>
  <c r="N34" i="5"/>
  <c r="Q34" i="5" s="1"/>
  <c r="M66" i="8"/>
  <c r="N35" i="8"/>
  <c r="Q35" i="8" s="1"/>
  <c r="M72" i="8"/>
  <c r="N52" i="8"/>
  <c r="Q52" i="8" s="1"/>
  <c r="N34" i="8"/>
  <c r="Q34" i="8" s="1"/>
  <c r="M64" i="8"/>
  <c r="M40" i="8"/>
  <c r="N7" i="8"/>
  <c r="Q7" i="8" s="1"/>
  <c r="M17" i="8"/>
  <c r="M32" i="8"/>
  <c r="N46" i="8"/>
  <c r="Q46" i="8" s="1"/>
  <c r="M78" i="8"/>
  <c r="N68" i="8"/>
  <c r="Q68" i="8" s="1"/>
  <c r="N48" i="8"/>
  <c r="Q48" i="8" s="1"/>
  <c r="M29" i="5"/>
  <c r="M23" i="5"/>
  <c r="N29" i="5"/>
  <c r="Q29" i="5" s="1"/>
  <c r="M27" i="5"/>
  <c r="N17" i="5"/>
  <c r="Q17" i="5" s="1"/>
  <c r="M34" i="5"/>
  <c r="N21" i="5"/>
  <c r="Q21" i="5" s="1"/>
  <c r="M15" i="8"/>
  <c r="M7" i="8"/>
  <c r="N40" i="8"/>
  <c r="Q40" i="8" s="1"/>
  <c r="N42" i="8"/>
  <c r="Q42" i="8" s="1"/>
  <c r="N19" i="5"/>
  <c r="Q19" i="5" s="1"/>
  <c r="J24" i="1"/>
  <c r="M46" i="8"/>
  <c r="M84" i="8"/>
  <c r="N10" i="8"/>
  <c r="Q10" i="8" s="1"/>
  <c r="N65" i="8"/>
  <c r="Q65" i="8" s="1"/>
  <c r="N51" i="8"/>
  <c r="Q51" i="8" s="1"/>
  <c r="N70" i="8"/>
  <c r="Q70" i="8" s="1"/>
  <c r="M57" i="8"/>
  <c r="M69" i="8"/>
  <c r="M53" i="8"/>
  <c r="M56" i="8"/>
  <c r="N55" i="8"/>
  <c r="Q55" i="8" s="1"/>
  <c r="M47" i="8"/>
  <c r="M21" i="8"/>
  <c r="M76" i="8"/>
  <c r="N60" i="8"/>
  <c r="Q60" i="8" s="1"/>
  <c r="M12" i="8"/>
  <c r="M42" i="8"/>
  <c r="M79" i="8"/>
  <c r="M37" i="5"/>
  <c r="N75" i="8"/>
  <c r="Q75" i="8" s="1"/>
  <c r="N63" i="8"/>
  <c r="Q63" i="8" s="1"/>
  <c r="N54" i="8"/>
  <c r="Q54" i="8" s="1"/>
  <c r="N33" i="8"/>
  <c r="Q33" i="8" s="1"/>
  <c r="N9" i="8"/>
  <c r="Q9" i="8" s="1"/>
  <c r="N62" i="8"/>
  <c r="Q62" i="8" s="1"/>
  <c r="M24" i="8"/>
  <c r="N41" i="8"/>
  <c r="Q41" i="8" s="1"/>
  <c r="M38" i="8"/>
  <c r="M37" i="8"/>
  <c r="N44" i="8"/>
  <c r="Q44" i="8" s="1"/>
  <c r="N19" i="8"/>
  <c r="Q19" i="8" s="1"/>
  <c r="M73" i="8"/>
  <c r="M43" i="8"/>
  <c r="N24" i="8"/>
  <c r="Q24" i="8" s="1"/>
  <c r="N77" i="8"/>
  <c r="Q77" i="8" s="1"/>
  <c r="M36" i="8"/>
  <c r="M75" i="8"/>
  <c r="M33" i="8"/>
  <c r="M16" i="8"/>
  <c r="M67" i="8"/>
  <c r="M25" i="8"/>
  <c r="N58" i="8"/>
  <c r="Q58" i="8" s="1"/>
  <c r="N76" i="8"/>
  <c r="Q76" i="8" s="1"/>
  <c r="M60" i="8"/>
  <c r="N15" i="8"/>
  <c r="Q15" i="8" s="1"/>
  <c r="N15" i="5"/>
  <c r="Q15" i="5" s="1"/>
  <c r="M7" i="5"/>
  <c r="M36" i="5"/>
  <c r="N43" i="5"/>
  <c r="M21" i="5"/>
  <c r="N23" i="5"/>
  <c r="Q23" i="5" s="1"/>
  <c r="M19" i="5"/>
  <c r="M26" i="8"/>
  <c r="N23" i="8"/>
  <c r="Q23" i="8" s="1"/>
  <c r="N37" i="8"/>
  <c r="Q37" i="8" s="1"/>
  <c r="N25" i="8"/>
  <c r="Q25" i="8" s="1"/>
  <c r="N43" i="8"/>
  <c r="Q43" i="8" s="1"/>
  <c r="N59" i="8"/>
  <c r="Q59" i="8" s="1"/>
  <c r="N79" i="8"/>
  <c r="Q79" i="8" s="1"/>
  <c r="M58" i="8"/>
  <c r="M77" i="8"/>
  <c r="M50" i="8"/>
  <c r="N49" i="8"/>
  <c r="Q49" i="8" s="1"/>
  <c r="N56" i="8"/>
  <c r="Q56" i="8" s="1"/>
  <c r="N28" i="8"/>
  <c r="Q28" i="8" s="1"/>
  <c r="N12" i="8"/>
  <c r="Q12" i="8" s="1"/>
  <c r="N57" i="8"/>
  <c r="Q57" i="8" s="1"/>
  <c r="N69" i="8"/>
  <c r="Q69" i="8" s="1"/>
  <c r="N83" i="8"/>
  <c r="Q83" i="8" s="1"/>
  <c r="N21" i="8"/>
  <c r="Q21" i="8" s="1"/>
  <c r="N29" i="8"/>
  <c r="Q29" i="8" s="1"/>
  <c r="N39" i="8"/>
  <c r="Q39" i="8" s="1"/>
  <c r="N47" i="8"/>
  <c r="Q47" i="8" s="1"/>
  <c r="N67" i="8"/>
  <c r="Q67" i="8" s="1"/>
  <c r="M45" i="8"/>
  <c r="N13" i="5"/>
  <c r="Q13" i="5" s="1"/>
  <c r="M6" i="5"/>
  <c r="N45" i="8"/>
  <c r="Q45" i="8" s="1"/>
  <c r="N18" i="8"/>
  <c r="Q18" i="8" s="1"/>
  <c r="I27" i="1"/>
  <c r="N37" i="5"/>
  <c r="Q37" i="5" s="1"/>
  <c r="N38" i="5"/>
  <c r="Q38" i="5" s="1"/>
  <c r="M55" i="8"/>
  <c r="N40" i="5"/>
  <c r="Q40" i="5" s="1"/>
  <c r="M74" i="8"/>
  <c r="J252" i="14"/>
  <c r="L103" i="3"/>
  <c r="M252" i="14" s="1"/>
  <c r="K103" i="3"/>
  <c r="L252" i="14" s="1"/>
  <c r="N16" i="8"/>
  <c r="Q16" i="8" s="1"/>
  <c r="P6" i="8"/>
  <c r="N32" i="8"/>
  <c r="Q32" i="8" s="1"/>
  <c r="L197" i="14"/>
  <c r="L30" i="8"/>
  <c r="N35" i="5"/>
  <c r="Q35" i="5" s="1"/>
  <c r="M35" i="5"/>
  <c r="M61" i="8"/>
  <c r="J172" i="14"/>
  <c r="K21" i="3"/>
  <c r="L172" i="14" s="1"/>
  <c r="L21" i="3"/>
  <c r="M172" i="14" s="1"/>
  <c r="M43" i="5"/>
  <c r="M39" i="5"/>
  <c r="J53" i="14"/>
  <c r="K21" i="7"/>
  <c r="L53" i="14" s="1"/>
  <c r="L21" i="7"/>
  <c r="M53" i="14" s="1"/>
  <c r="N73" i="8"/>
  <c r="Q73" i="8" s="1"/>
  <c r="N14" i="8"/>
  <c r="Q14" i="8" s="1"/>
  <c r="M16" i="5"/>
  <c r="N16" i="5"/>
  <c r="Q16" i="5" s="1"/>
  <c r="J9" i="1"/>
  <c r="I9" i="1"/>
  <c r="N8" i="5"/>
  <c r="Q8" i="5" s="1"/>
  <c r="M8" i="5"/>
  <c r="L78" i="14"/>
  <c r="K30" i="8"/>
  <c r="M41" i="5"/>
  <c r="N41" i="5"/>
  <c r="Q41" i="5" s="1"/>
  <c r="G26" i="1"/>
  <c r="F36" i="1"/>
  <c r="N33" i="5"/>
  <c r="Q33" i="5" s="1"/>
  <c r="M30" i="5"/>
  <c r="N30" i="5"/>
  <c r="Q30" i="5" s="1"/>
  <c r="N28" i="5"/>
  <c r="Q28" i="5" s="1"/>
  <c r="M28" i="5"/>
  <c r="N26" i="5"/>
  <c r="Q26" i="5" s="1"/>
  <c r="M26" i="5"/>
  <c r="N22" i="5"/>
  <c r="Q22" i="5" s="1"/>
  <c r="M22" i="5"/>
  <c r="N8" i="8"/>
  <c r="Q8" i="8" s="1"/>
  <c r="K6" i="8"/>
  <c r="G19" i="1"/>
  <c r="I19" i="1" s="1"/>
  <c r="N6" i="5"/>
  <c r="Q6" i="5" s="1"/>
  <c r="R11" i="5"/>
  <c r="Q11" i="5"/>
  <c r="G32" i="1"/>
  <c r="E36" i="1"/>
  <c r="L51" i="2"/>
  <c r="M40" i="14" s="1"/>
  <c r="K51" i="2"/>
  <c r="L40" i="14" s="1"/>
  <c r="G36" i="1" l="1"/>
  <c r="I36" i="1" s="1"/>
  <c r="J26" i="1"/>
  <c r="I26" i="1"/>
  <c r="N30" i="8"/>
  <c r="Q30" i="8" s="1"/>
  <c r="M30" i="8"/>
  <c r="J19" i="1"/>
  <c r="N6" i="8"/>
  <c r="Q6" i="8" s="1"/>
  <c r="M6" i="8"/>
  <c r="J32" i="1"/>
  <c r="I32" i="1"/>
  <c r="J36" i="1" l="1"/>
</calcChain>
</file>

<file path=xl/comments1.xml><?xml version="1.0" encoding="utf-8"?>
<comments xmlns="http://schemas.openxmlformats.org/spreadsheetml/2006/main">
  <authors>
    <author>PEREZ SALGADO, NICOLAS RODRIGO</author>
  </authors>
  <commentList>
    <comment ref="F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1078-20 Cede -1169 ton hacia Cuota Sardina comun IX Region.
Res 1158-20 Cede -219,451 ton hacia Cuota Residual Sardina comun V Region.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  <author>.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N°243-19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773-20 Mod Res 4014-19 LTP B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914-20 Cede -203 ton hacia Emb VIII.
Res 915-20 Cede -2030 ton hacia Emb VIII.
Res 935-20 Cede -2476 ton hacia Emb VIII.
Res 958-20 Cede -756 ton hacia Emb VIII.
Res 990-20 Cede -743 ton hacia Emb VIII.
Res 1221-20 Cede -140 ton hacia Emb VIII.
Res 1336-20 Cede -274 ton hacia Emb VIII.
Res 1465-20 Cede -323 ton hacia Emb VIII.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852-20 Cede -624 ton hacia Emb VIII.
Res 853-20 Cede -200 ton hacia Emb IX.
Res 1080-20 Cede -2268 ton hacia Emb XIV.
Res 1137-20 Cede -740 ton hacia Emb VIII.
Res 1138-20 Cede -150 ton hacia Emb VIII.
Res 1223-20 Cede -550 ton hacia Emb VIII.
Res 1247-20 Cede -964 ton hacia Emb VIII.
Res 1252-20 Cede -380 ton hacia Emb IX.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920-20 Cede -2732 ton hacia Emb VIII.
Res 1351-20 Cede -1209 ton hacia Emb VIII.
Res 1486-20 Cede -116 ton hacia Emb XIV.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424-20
Res 425-20
Res 426-20
Res 427-20
Res 428-20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730-20 Cede -701,661 ton hacia Emb XIV.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435-20
Res 436-20
Res 437-20
Res 438-20</t>
        </r>
      </text>
    </comment>
    <comment ref="H1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732-20 Cede -701.660 ton hacia emb XIV.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429-20
Res 430-20
Res 431-20
Res 432-20
Res 433-20
Res 434-20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855-20 Cede -350,83 ton hacia Emb VIII.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527-20 Cede -53,677 ton hacia Emb VIII.
Res 530-20 Cede -299,960 ton hacia Emb VIII.</t>
        </r>
      </text>
    </comment>
    <comment ref="H15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1541-20 Cede -182.432 ton hacia Emb VIII.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646-20 Cede -958 ton hacia Emb VIII.
Res 854-20 Cede -108 ton hacia Emb VIII.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989-20 Cede -231 ton hacia Emb VIII.
Res 1248-20 Cede -664 ton hacia Emb VIII.
Res 1352-20 Cede -1315 ton hacia Emb VIII.
Res 1485-20 Cede -101 ton hacia Emb VIII.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1253-20 Cede -450 ton hacia Emb VIII.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GARCIA HERRERA, ROCIO:</t>
        </r>
        <r>
          <rPr>
            <sz val="9"/>
            <color indexed="81"/>
            <rFont val="Tahoma"/>
            <family val="2"/>
          </rPr>
          <t xml:space="preserve">
Res 733-20 Cede -1124 ton hacia Emb VIII.
Res 1444-20 Cede -2850 ton hacia Emb VIII.
Res 1484-20 Cede -190 ton hacia Emb VIII.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532-20 Cede -251 ton hacia Emb VIII.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N°243-19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N°4012-19 LTP Clase A
Res N°4014-19 LTP Clase B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914-20 Cede -147 ton hacia Emb VIII.
Res 915-20 Cede -1677 ton hacia Emb VIII.
Res 935-20 Cede -1724 ton hacia Emb VIII.
Res 958-20 Cede -544 ton hacia Emb VIII.
Res 990-20 Cede -869 ton hacia Emb VIII.
Res 1221-20 Cede -110 ton hacia Emb VIII.
Res 1336-20 Cede -176 ton hacia Emb VIII.
Res 1465-20 Cede -477 ton hacia Emb VIII.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852-20 Cede -1550 ton hacia Emb VIII
Res 853-20 Cede -1100 ton hacia Emb IX
Res 1080-20 Cede -4810 ton hacia Emb XIV
Res 1137-20 Cede -1500 ton hacia Emb VIII
Res 1138-20 Cede -350 ton hacia Emb VIII.
Res 1223-20 Cede -1503 ton hacia Emb VIII.
Res 1247-20 Cede -1966 ton hacia Emb VIII.
Res 1252-20 Cede -800 ton hacia Emb IX.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920-20 Cede -6690 ton hacia Emb VIII.
Res 1351-20 Cede -2941 ton hacia Emb VIII.
Res 1486-20 Cede -248 ton hacia Emb XIV.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527-20 Cede -1446,907 ton hacia Emb VIII.
Res 530-20 Cede -2700,375 ton Hacia Emb VIII.</t>
        </r>
      </text>
    </comment>
    <comment ref="H34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charset val="1"/>
          </rPr>
          <t xml:space="preserve">
Res 1541-20 Cede -393.249 ton hacia Emb VIII.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646-20 Cede -1254 ton hacia Emb VIII.
Res 854-20 Cede -142 ton hacia Emb VIII.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989-20 Cede -569 ton hacia Emb VIII.
Res 1248-20 Cede -1636 ton hacia Emb VIII.
Res 1352-20 Cede -3235 ton hacia Emb VIII.
Res 1485-20 Cede -249 ton hacia Emb VIII.</t>
        </r>
      </text>
    </comment>
    <comment ref="H3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1253-20 Cede -2190 ton hacia Emb VIII.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GARCIA HERRERA, ROCIO:</t>
        </r>
        <r>
          <rPr>
            <sz val="9"/>
            <color indexed="81"/>
            <rFont val="Tahoma"/>
            <family val="2"/>
          </rPr>
          <t xml:space="preserve">
Res 733-20 Cede -2123 ton hacia Emb VIII.
Res 1444-20 Cede -4593 ton hacia Emb VIII.
Res 1484-20 Cede -310 ton hacia Emb VIII.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673-20 Cede -571,182 ton hacia Emb VIII.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731-20 Cede -934,659 ton hacia Emb XIV.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647-20 Cede -934,662 ton hacia Emb XIV.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526-20 Cede -623,108 ton hacia Emb XIV.</t>
        </r>
      </text>
    </comment>
    <comment ref="H4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1222-20 Cede -155.777 ton hacia Emb XIV.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988-20 Cede -1914,320 ton hacia Emb VIII.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532-20 Cede -298 ton hacia Emb VIII.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  <author>.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565-20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790-20 Cede -4600 ton hacia Emb VIII.
Res 1188-20 Cede -2642 ton hacia Org (13) VIII y Emb VIII.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232-20
Apertura Res 235-20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1187-20 Cede -89.586 ton hacia Emb VIII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233-20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209-20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PEREZ SALGADO, NICOLAS RODRIGO
</t>
        </r>
        <r>
          <rPr>
            <sz val="9"/>
            <color indexed="81"/>
            <rFont val="Tahoma"/>
            <family val="2"/>
          </rPr>
          <t>Res N°3883-19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4034-19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674-20 Cede -261,93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373-20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14-20 Cede -72 ton hacia Emb VIII.
Res 15-20 Cede -110,6 ton hacia Emb VIII.
Res 37-20 Cede -5 ton hacia Org (35) VIII.
Res 61-20 Cede -5 ton hacia Emb VIII.</t>
        </r>
      </text>
    </comment>
    <comment ref="G24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79-20 Cede -58.2 ton hacia Emb VIII.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11-20 Cede -182,7 ton hacia Emb VIII.
Res 36-20 Cede -420,1 ton hacia Org (17) VIII.
Res 66-20 Cede -35 ton hacia Emb VIII.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13-20 Cede -50 ton hacia Org (17) VIII.
</t>
        </r>
        <r>
          <rPr>
            <i/>
            <sz val="9"/>
            <color indexed="81"/>
            <rFont val="Tahoma"/>
            <family val="2"/>
          </rPr>
          <t>Res 25-20 Cede -492 ton hacia Org (23) VIII</t>
        </r>
        <r>
          <rPr>
            <sz val="9"/>
            <color indexed="81"/>
            <rFont val="Tahoma"/>
            <family val="2"/>
          </rPr>
          <t>.
Res 42-20 Deja sin efecto Res 25-20.
Res 35-20 Cede -130 ton hacia Org (13) VIII.
Res 46-20 Cede -84 ton hacia Org (13) VIII.
Res 49-20 Cede -100 ton hacia Emb VIII.
Res 54-20 Cede -100 ton hacia Org (72) VIII.
Res 56-20 Cede -100 ton hacia Org (35) VIII.
Res 77-20 Cede -145 ton hacia Org (13) VIII.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30-20 Cede -15 ton hacia Emb VIII.
Res 84-20 Cede -80 ton hacia Emb VIII.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788-20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Res 67-20 Cede -50 ton hacia Emb VIII.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Incremento de 10 ton desde Org (5) X.
Res 55-20 Cede -2 ton hacia Emb VIII.
Res 59-20 Cede -2 ton hacia Emb VIII.
Res 63-20 Cede -1 ton hacia Emb VIII.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705-20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35-20 Incremento de 130 ton desde Org (5) VIII.
Res 46-20 Incremento de 84 ton desde Org (5) VIII.
Res 917-20 Incremento de 100 ton desde Org (2) X.
Res 1188-20 Incremento de 942 ton desde Org A.G. Puerto de San Antonio 2510 V.
Res 77-20 Incremento de 145 ton desde Org (5) VIII.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07-20 Incremento de 597 ton desde Org (43) VIII.
Res 12-20 Incremento de 10 ton desde Org (63) VIII.
Res 13-20 Incremento de 50 ton desde Org (5) VIII.
Res 17-20 Incremento de 140,9 ton desde Org (51) VIII.
Res 734-20 Incremento de 190 ton desde Org (1) X
Res 794-20 Incremento de 150 ton desde Org (4) X
Res 36-20 Incremento de 420,1 ton desde Org (3) VIII.
Res 959-20 Incremento de 100 ton desde Org (2) X.
</t>
        </r>
      </text>
    </comment>
    <comment ref="G40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87-20 Cede -20 ton hacia Emb VIII.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1251-20 Incremento de 194 ton desde Org (6) X.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Res 25-20 Incremento 492 ton desde Org (5) VIII.</t>
        </r>
        <r>
          <rPr>
            <sz val="9"/>
            <color indexed="81"/>
            <rFont val="Tahoma"/>
            <family val="2"/>
          </rPr>
          <t xml:space="preserve">
Res 42-20 Deja sin efecto Res 25-20.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Incremento de 5 ton desde Org (75) VIII.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38-20 Cede -5,9 t on hacia Org (57) VIII.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22-20 Cede -127,1 ton hacia Emb VIII.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Cede -45,7 ton hacia Org (56) VIII.
Res 03-20 Cede -104 ton hacia Emb VIII.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Incremento 182,7 ton desde Org (58) VIII.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44-20 Incremento de 270 ton desde Org (47) VIII.
Res 45-20 Incremento de 74 ton desde Org (71) VIII.
Res 50-20 Incremento de 200 ton desde Org (47) VIII.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08-20 Cede -5 ton hacia Org (56) VIII.
Res 09-20 Cede -5 ton hacia Org (57) VIII.
Res 41-20 Cede -1 ton hacia Org (57)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73-20 Cede -10 ton hacia Org (73) VIII.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18-20 Cede -1 ton hacia Emb VIII.
Res 19-20 Cede -11 ton hacia Emb VIII.
Res 20-20 Cede -99 ton hacia Emb VIII.
Res 23-20 Incremento de 468 ton desde Org (48) VIII.
Res 72-20 Incremento de 127 ton desde Org (48) VIII.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37-20 Incremento de 5 ton desde Org (1) VIII.
Res 39-20 Incremento de 127,1 ton desde Org (51) VIII.
Res 56-20 Incremento de 100 ton desde Org (5) VIII.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28-20 Cede -95 ton hacia Emb VIII.
Res 69-20 Cede -122 ton hacia Emb VIII.</t>
        </r>
      </text>
    </comment>
    <comment ref="G62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83-20 Cede -70 ton hacia Emb VIII.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Incremento de 107 ton desde Org (7) X.
Res 918-20 Cede -15 ton hacia Org (9) X.
Res 57-20 Cede -9 ton hacia Emb VIII.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04-20 Cede -299 ton hacia Org (56) VIII.
Res 05-20 Cede -298 ton hacia Org (57) VIII
Res 06-20 Cede -597 ton hacia Emb VIII.
Res 07-20 Cede -597 ton hacia Org (17) VIII. 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43-20 Cede -120 ton hacia Emb VIII.
Res 44-20 Cede -270 ton hacia Org (30) VIII.
Res 47-20 Cede -123 ton hacia Emb VIII.
Res 50-20 Cede -200 ton hacia Org (30) VIII.
Res 51-20 Cede -200 ton hacia Org (60) VIII.
Res 53-20 Cede -100 ton hacia Emb VIII.
Res 65-20 Cede -250 ton hacia Org (73) VIII.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23-20 Cede -468 ton hacia Org (34) VIII.
Res 70-20 Cede -95 ton hacia Org (66) VIII.
Res 71-20 Cede -89.5 ton hacia Org (66) VIII.
Res 72-20 Cede -127 ton hacia Org (34) VIII.
Res 1543-20 Cede -60 ton hacia Emb IX.</t>
        </r>
      </text>
    </comment>
    <comment ref="G72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80-20 Cede -132 ton hacia Emb VIII.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G73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1446-20 Incremento de 150 ton desde Org (2) X.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17-20 Cede -140,9 ton hacia Org (17) VIII.
Res 39-20 Cede -127,1 ton hacia Org (35) VIII.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641-20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Incremento de 307,785 ton desde Org (8) X.
Res 1003-20 Incremento de 332,103 ton desde Org (8) X.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624-20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33-20 Cede -110 ton hacia Emb VIII.
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Imcremento de 45,7 ton desde Org (28) VIII.
Res 04-20 Incremento de 299 ton desde Org (43) VIII.
Res 08-20 Incremento de 5 ton desde Org (32) VIII.
Res 89-20 Incremento de 80 ton desde Org (77) VIII.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05-20 Incremento de 298 ton desde Org (43) VIII.
Res 09-20 Incremento de 5 ton desde Org (32) VIII.
Res 21-20 Incremento de 76 ton desde Org (64) VIII.
Res 38-20 Incremento de 5,9 ton desde Org (26) VIII.
Res 41-20 Incremento de 1 ton desde Org (32) VIII.
Res 90-20 Incremento de 80 ton desde Org (77) VIII.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Cede -182,7 ton hacia Org (29) VIII.</t>
        </r>
      </text>
    </comment>
    <comment ref="G83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Res 51-20 Incremento de 200 ton desde Org (47) VIII.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Incremento de 100 ton desde Org (63) VIII.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Cede -100 ton hacia Org (61) VIII.
Res 10-20 Cede -190 ton hacia Emb VIII.
Res 12-20 Cede -10 ton hacia Org (17) VIII.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21-20 Cede -76 ton hacia Org (57) VIII.
Res 48-20 Cede -10 ton hacia Emb VIII.</t>
        </r>
      </text>
    </comment>
    <comment ref="G8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70-20 Incremento de 95 ton desde Org (48) VIII.
Res 71-20 Incremento de 89.5 ton desde Org (48) VIII.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64-20 Cede -8 ton hacia Emb VIII.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578-20 Incremento de 64 ton desde Org (7) X.
Res 31-20 Cede -8 ton hacia Emb VIII.
Res 45-20 Cede -74 ton hacia Org (30) VIII.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54-20 Incremento de 100 ton desde Org (5) VIII.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65-20 Incremento de 250 ton desde Org (47) VIII.
Res 73-20 Incremento de 10 ton desde Org (33) VIII.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52-20 Cede -4 ton hacia Emb VIII.
Res 60-20 Cede -2 ton hacia Emb VIII.
Res 62-20 Cede -1 ton hacia Emb VIII.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670-20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Cede -5 ton hacia Org (24) 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68-20 Cede -2 ton hacia Emb VIII.
Res 1238-20 Incremento de 51 ton desde Org (10) XIV.
Res 76-20 Cede -100 ton hacia Emb VIII.
Res 89-20 Cede -80 ton hacia Org (56) VIII.
Res 90-20 Cede -80 ton hacia Org (57) VIII.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M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621-20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03-20 Incremento de 104 ton desde Org (28) VIII.
Res 06-20 Incremento de 597 ton desde Org (43) VIII.
Res 10-20 Incremento de 190 ton desde Org (63) VIII.
Res 11-20 Incremento de 182,7 ton desde Org (3) VIII.
Res 527-20 Incremento de 53,677 ton desde LTP Novamar.
Res 530-20 Incremento de 299,960 ton desde LTP Novamar.
Res 532-20 Incremento de 251 ton desde LTP Pedro Irigoyen.
Res 14-20 Incremento de 72 ton desde Org (1) VIII.
Res 15-20 Incremento de 110,6 ton desde Org (1) VIII.
Res 607-20 Incremento de 150 ton desde Org (4) X.
Res 958-20 Incremento de 958 ton desde LTP Foodcorp.
Res 18-20 Incremento de 1 ton desde Org (34) VIII.
Res 19-20 Incremento de 11 ton desde Org (34) VIII.
Res 672-20 Incremento de 105 ton desde Org (3) X.
Res 674-20 Incremento de 261,93 ton desde Org SIPARCON VII.
Res 20-20 Incremento de 99 ton desde Org (34) VIII.
Res 22-20 Incremento de 127,1 ton desde Org (27) VIII.
Res 733-20 Incremento de 1124 ton desde LTP Orizon. 
Res 735-20 Incremento de 100 ton desde Org (1) X.
Res 28-20 Incremento de 95 ton desde Org (36) VIII.
Res 30-20 Incremento de 15 ton desde Org (10) VIII.
Res 31-20 Incremento de 8 ton desde Org (71) VIII.
Res 790-20 Incremento de 4600 ton desde Org AG Puerto San Antonio 2510 V.
Res 795-20 Incremento de 50 ton desde Org (4) X.
Res 33-20 Incremento de 110 ton desde Org (55) VIII.
Res 852-20 Incremento de 624 ton desde LTP Blumar.
Res 854-20 Incremento de 108 ton desde LTP Foodcorp.
Res 855-20 Incremento de 350,83 ton desde LTP Gabriela Monsalve.
Res 857-20 Incremento de 20 ton desde Org (5) X.
Res 43-20 Incremento de 120 ton desde Org (47) VIII.
Res 47-20 Incremento de 123 ton desde Org (47) VIII.
Res 48-20 Incremento de 10 ton desde Org (64) VIII.
Res 935-20 Incremento de 2476 ton desde LTP Alimentos Marinos.
Res 49-20 Incremento de 100 ton desde Org (5) VIII.
Res 958-20 Incremento de 756 ton desde LTP Alimentos Marinos.
Res 52-20 Incremento de 4 ton desde Org (74) VIII.
Res 53-20 Incremento de 100 ton desde Org (47) VIII.
Res 55-20 Incremento de 2 ton desde Org (12) VIII.
Res 920-20 Incremento de 2732 ton desde LTP Camanchaca Pesca Sur.
Res 989-20 Incremento de 231 ton desde LTP Sociedad Pesquera Landes.
Res 990-20 Incremento de 743 ton desde LTP Alimentos Marinos S.A.
Res 57-20 Incremento de 9 ton desde Org (42) VIII.
Res 59-20 Incremento de 2 ton desde Org (12) VIII.
Res 60-20 Incremento de 2 ton desde Org (74) VIII.
Res 61-20 Incremento de 5 ton desde Org (1) VIII.
Res 62-20 Incremento de 1 ton desde Org (74) VIII.
Res 63-20 Incremento de 1 ton desde Org (12) VIII.
Res 64-20 Incremento de 8 ton desde Org (70) VIII.
Res 1137-20 Incremento de 740 ton desde LTP Blumar S.A.
Res 1138-20 Incremento de 150 ton desde LTP Blumar S.A.
Res 66-20 Incremento de 35 ton desde Org (3) VIII.
Res 915-20 Incremento de 2030 ton desde LTP Alimentos Marinos S.A.
Res 1187-20 Incremento de 89.586 ton desde Org A.G. Agrapes V.
Res 1188-20 Incremento de 1700 ton desde Org A.G.  Puerto San Antonio 2510 V.
Res 67-20 Incremento de 50 ton desde Org (11) VIII.
Res 68-20 Incremento de 2 ton desde Org (77) VIII.
Res 914-20 Incremento de 203 ton desde LTP Alimentos Marinos S.A.
Res 1217-20 Incremento de 50 ton desde Org (5) X.
Res 69-20 Incremento de 122 ton desde Org (36) VIII.
Res 1221-20 Incremento de 140 ton desde LTP Alimentos Marinos S.A.
Res 1223-20 Incremento de 550 ton desde LTP Blumar S.A.
Res 76-20 Incremento de 100 ton desde Org (77) VIII.
Res 79-20 Incremento de 58.2 ton desde Org (2) VIII.
Res 80-20 Incremento de 132 ton desde Org (49) VIII.
Res 1336-20 Incremento de 274 ton desde LTP Alimentos Marinos S.A.
Res 83-20 Incremento de 70 ton desde Org (39) VIII.
Res 84-20 Incremento de 80 ton desde Org (10) VIII.
Res 1247-20 Incremento de 964 ton desde LTP Blumar S.A.
Res 1248-20 Incremento de 664 ton desde LTP Sociedad Pesquera Landes.
Res 1253-20 Incremento de 450 ton desde LTP Lota Protein S.A.
Res 87-20 Incremento de 20 ton desde Org (18) VIII.
Res 1444-20 Incremento de 2850 ton desde LTP Orizon S.A.
Res 1465-20 Incremento de 323 ton desde LTP Alimentos Marinos S.A.
Res 1484-20 Incremento de 190 ton desde LTP Orizon S.A.
Res 1485-20 Incremento de 101 ton desde LTP Sociedad Pesquera Landes.
Res 1351-20 Incremento de 1209 ton desde LTP Camanchaca Pesca Sur.
Res 1352-20 Incremento de 1315 ton desde LTP Sociedad Pesquera Landes.
Res 1541-20 Incremento de 182.432 ton desde LTP Pesquera Litoral.
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N°3883-19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49-20
Apertura Res 71-20
Cierre Res 72-20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Incremento de 260 ton desde Org (3) X.
Res 853-20 Incremento de 200 ton desde LTP Blumar.
Res 1252-20 Incremento de 380 ton desde LTP Blumar.
Res 1543-20 Incremento de 60 ton desde Org (48) IX.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4035-19</t>
        </r>
      </text>
    </comment>
    <comment ref="G11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1237-20 Cede -44.64 ton hacia Emb XIV.
Res 1238-20 Cede -51 ton hacia Org (77) VIII.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730-20 Incremento de 701,661 ton desde LTP Cristian Lorca.
Res 732-20 Incremento de 701.660 ton desde LTP Cristian Tudela.
Res 1080-20 Incremento de 2268 ton desde LTP Blumar S.A.
Res 1237-20 Incremento de 44.64 ton desde Org (10) XIV.
Res 1486-20 Incremento de 116 ton desde LTP Camanchaca Pesca Sur.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N°4051-19</t>
        </r>
      </text>
    </comment>
    <comment ref="G123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734-20 Cede -190 ton hacia Org (17) VIII.
Res 735-20 Cede -100 ton hacia Emb VIII.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917-20 Cede -100 ton hacia Org (13) VIII.
Res 959-20 Cede -100 ton hacia Org (17) VIII.
Res 1446-20 Cede -150 ton hacia Org (50) VIII.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Cede -260 ton hacia Emb IX.
Res 672-20 Cede -105 ton hacia Emb VIII.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607-20 Cede -150 ton hacia Emb VIII.
Res 794-20 Cede -150 ton hacia Org (17) VIII.
Res 795-20 Cede -50 ton hacia Emb VIII.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Cede -10 ton hacia Org (12) VIII.
Res 1217-20 Cede -50 ton hacia Emb VIII.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1327-19 Por proceso sancionatorio se le descontaron -12,93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857-20 Cede -20 ton hacia Emb VIII.
Res 1251-20 Cede -194 ton hacia Org (19) VIII.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Cede - 107 ton hacia Org (42) VIII.
Res 578-20 Cede -64 ton hacia Org (71) VIII.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Cede -307,785 ton hacia Org (52) VIII.
Res 1003-20 Cede -332,103 ton hacia Org (52) VIII.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918-20 Incremento de 15 ton desde Org (42) VIII.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.</author>
    <author>Rocio Garcia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565-20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790-20 Cede -1500 ton hacia Emb VIII.
Res 1188-20 Cede -1078 ton hacia Org (13) VIII y Emb VIII.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232-20
Apertura Res 235-20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Res 1187-20 Cede -180.905 ton hacia Emb VIII.
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233-20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1158-20 Incremento de 219,451 ton desde cuota de imprevistos.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209-20
Apertura Res 226-20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N°3883-19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4034-19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674-20 Cede -398,92 ton hacia Emb VIII.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373-20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14-20 Cede -137 ton hacia Emb VIII.
Res 15-20 Cede -180,5 ton hacia Emb VIII.
Res 37-20 Cede -35 ton hacia Org (35) VIII.
Res 61-20 Cede -25 ton hacia Emb VIII.</t>
        </r>
      </text>
    </comment>
    <comment ref="G24" authorId="1" shapeId="0">
      <text>
        <r>
          <rPr>
            <b/>
            <sz val="9"/>
            <color indexed="81"/>
            <rFont val="Tahoma"/>
            <charset val="1"/>
          </rPr>
          <t xml:space="preserve">NICO:
</t>
        </r>
        <r>
          <rPr>
            <sz val="9"/>
            <color indexed="81"/>
            <rFont val="Tahoma"/>
            <family val="2"/>
          </rPr>
          <t>Res 79-20 Cede -40 ton hacia Emb VIII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11-20 Cede -361,8 ton hacia Emb VIII.
Res 36-20 Cede -832 ton hacia Org (17) VIII.
Res 66-20 Cede -70 ton hacia Emb VIII.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13-20 Cede -400 ton hacia Org (17) VIII.
</t>
        </r>
        <r>
          <rPr>
            <i/>
            <sz val="9"/>
            <color indexed="81"/>
            <rFont val="Tahoma"/>
            <family val="2"/>
          </rPr>
          <t>Res 25-20 Cede -975 ton hacia Org (23) VIII.</t>
        </r>
        <r>
          <rPr>
            <sz val="9"/>
            <color indexed="81"/>
            <rFont val="Tahoma"/>
            <family val="2"/>
          </rPr>
          <t xml:space="preserve">
Res 42-20 Deja sin efecto Res 25-20.
Res 35-20 Cede -470 ton hacia Org (13) VIII.
Res 46-20 Cede -450 ton hacia Org (13) VIII.
Res 49-20 Cede -233 ton hacia Emb VIII.
Res 54-20 Cede -233 ton hacia Org (72) VIII.
Res 56-20 Cede -234 ton hacia Org (35) VIII.
Res 77-20 Cede -145 ton hacia Org (13) VIII.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30-20 Cede -30 ton hacia Emb VIII.
Res 84-20 Cede -3 ton hacia Emb VIII.</t>
        </r>
      </text>
    </comment>
    <comment ref="M3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788-20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67-20 Cede -100 ton hacia Emb VIII.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Incremento de 240 ton desde Org (5) X.
Res 55-20 Cede -70 ton hacia Emb VIII.
Res 59-20 Cede -68 ton hacia Emb VIII.
Res 63-20 Cede -67 ton hacia Emb VIII.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705-20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35-20 Incremento de 470 ton desde Org (5) VIII.
Res 46-20 Incremento de 450 ton desde Org (5) VIII.
Res 917-20 Incremento de 400 ton desde Org (2) X.
Res 1188-20 Incremento de 348 ton desde Org A.G. Puerto de San Antonio 2510 V.
Res 74-20 Incremento de 150 ton desde Org (55) VIII.
Res 75-20 Incremento de 9,7 ton desde Org (55) VIII.
Res 77-20 Incremento de 145 ton desde Org (5) VIII.
Res 88-20 Incremento de 277 ton desde Org (55) VIII.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07-20 Incremento de 1303 ton desde Org (43) VIII.
Res 12-20 Incremento de 190 ton desde Org (63) VIII.
Res 13-20 Incremento de 400 ton desde Org (5) VIII.
Res 17-20 Incremento de 279,2 ton desde Org (51) VIII.
Res 734-20 Incremento de 430 ton desde Org (1) X
Res 794-20 Incremento de 350 ton desde Org (4) X
Res 36-20 Incremento de 832 ton desde Org (3) VIII.
Res 959-20 Incremento de 900 ton desde Org (2) X.</t>
        </r>
      </text>
    </comment>
    <comment ref="G4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charset val="1"/>
          </rPr>
          <t xml:space="preserve">
Res 87-20 Cede -80 ton hacia Emb VIII.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1251-20 Incremento de 356 ton desde Org (6) X.</t>
        </r>
      </text>
    </comment>
    <comment ref="G42" authorId="2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736-20  Incremento de 200 ton desde Org (3) X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Res 25-20 Incremento 975 ton desde Org (5) VIII.</t>
        </r>
        <r>
          <rPr>
            <sz val="9"/>
            <color indexed="81"/>
            <rFont val="Tahoma"/>
            <family val="2"/>
          </rPr>
          <t xml:space="preserve">
Res 42-20 Deja sin efecto Res 25-20.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Incremento de 5 ton desde Org (75) VIII.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38-20 Cede -11,8 ton hacia Org (57) VIII.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22-20 Cede -251,7 ton hacia Emb VIII.
Res 34-20 Cede -70 ton hacia Emb VIII.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Cede -90,6 ton hacia Org (56) VIII.
Res 03-20 Cede -206 ton hacia Emb VIII.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Incremento 361,8 ton desde Org (58) VIII.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44-20 Incremento de 500 ton desde Org (47) VIII.
Res 45-20 Incremento de 37 ton desde Org (71) VIII.
Res 50-20 Incremento de 400 ton desde Org (47) VIII.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08-20 Cede -245 ton hacia Org (56) VIII.
Res 09-20 Cede -245 ton Hacia Org (57) VIII.
Res 41-20 Cede -68 ton hacia Org (57) VIII.</t>
        </r>
      </text>
    </comment>
    <comment ref="G56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73-20 Cede -290 ton hacia Org (73) VIII.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18-20 Cede -449 ton hacia Emb VIII.
Res 19-20 Cede -11 ton hacia Emb VIII.
Res 20-20 Cede -1 ton hacia Emb VIII.
Res 23-20 Incremento 928 ton desde Org (48) VIII.
Res 72-20 Incremento de 251 ton desde Org (48) VIII.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37-20 Incremento de 35 ton desde Org (1) VIII.
Res 39-20 Incremento de 251,7 ton desde Org (51) VIII.
Res 56-20 Incremento de 234 ton desde Org (5) VIII.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28-20 Cede -188 ton hacia Emb VIII.
Res 69-20 Cede -30 ton hacia Emb VIII.</t>
        </r>
      </text>
    </comment>
    <comment ref="G62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83-20 Cede -142 ton hacia Emb VIII.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Incremento de 336 ton desde Org (7) X.
Res 884-20 Incremento de 315 ton desde Org (9) X.
Res 57-20 Cede -18 ton hacia Emb VIII.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04-20 Cede -500 ton hacia Org (56) VIII.
Res 05-20 Cede -403 ton hacia Org (57) VIII.
Res 06-20 Cede -1333 ton hacia Emb VIII.
Res 07-20 Cede -1303 ton hacia Org (17) VIII.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43-20 Cede -250 ton hacia Emb VIII.
Res 44-20 Cede -500 ton hacia Org (30) VIII.
Res 47-20 Cede -247 ton hacia Emb VIII.
Res 50-20 Cede -400 ton hacia Org (30) VIII.
Res 51-20 Cede -500 ton hacia Org (60) VIII.
Res 53-20 Cede -300 ton hacia Emb VIII.
Res 65-20 Cede -550 ton hacia Org (73) VIII.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23-20 Cede -928 ton hacia Org (34) VIII.
Res 70-20 Cede -190 ton hacia Org (66) VIII.
Res 71-20 Cede -74.5 ton hacia Org (66) VIII.
Res 72-20 Cede -251 ton hacia Org (34) VIII.
Res 1543-20 Cede -140 ton hacia Emb IX.</t>
        </r>
      </text>
    </comment>
    <comment ref="G72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charset val="1"/>
          </rPr>
          <t xml:space="preserve">
Res 80-20 Cede -245 ton hacia Emb VIII.
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G73" authorId="1" shapeId="0">
      <text>
        <r>
          <rPr>
            <b/>
            <sz val="9"/>
            <color indexed="81"/>
            <rFont val="Tahoma"/>
            <charset val="1"/>
          </rPr>
          <t xml:space="preserve">NICO:
</t>
        </r>
        <r>
          <rPr>
            <sz val="9"/>
            <color indexed="81"/>
            <rFont val="Tahoma"/>
            <family val="2"/>
          </rPr>
          <t>Res 1446-20 Incremento de 350 ton desde Org (2) X.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17-20 Cede -279,2 ton hacia Org (17) VIII.
Res 39-20 Cede -251,7 ton hacia Org (35) VIII.</t>
        </r>
      </text>
    </comment>
    <comment ref="M7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641-20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Incremento de 1534,656 ton desde Org (8) X.
Res 1003-20 Incremento de 704,611 ton desde Org (8) X.
Res 1023-20 Incremento de 800 ton desde Org (2) X.</t>
        </r>
      </text>
    </comment>
    <comment ref="M7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624-20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33-20 Cede -90 ton hacia Emb VIII
Res 74-20 Cede -150 ton hacia Org (13) VIII.
Res 75-20 Cede -9,7 ton hacia Org (13) VIII.
Res 88-20 Cede -277 ton hacia Org (13) VIII.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01-20 Incremento de 90,6 ton desde Org (28) VIII.
Res 04-20 Incremento de 500 ton desde Org (43) VIII.
Res 08-20 Incremento de 245 ton desde Otg (32) VIII.
Res 89-20 Incremento de 20 ton desde Org (77) VIII.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05-20 Incremento de 403 ton desde Org (43) VIII.
Res 09-20 Incremento de 245 ton desde Org (32) VIII.
Res 21-20 Incremento de 157 ton desde Org (64) VIII.
Res 38-20 Incremento de 11,8 ton desde Org (26) VIII.
Res 41-20 Incremento de 68 ton desde Org (32) VIII.
Res 90-20 Incremento de 20 ton desde Org (77) VIII.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27-20 Cede -361,8 ton hacia Org (29) VIII</t>
        </r>
      </text>
    </comment>
    <comment ref="G83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 xml:space="preserve">Res 51-20 Incremento de 500 ton desde Org (47) VIII.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Incremento de 700 ton desde Org (63) VIII.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02-20 Cede -700 ton hacia Org (61) VIII.
Res 10-20 Cede -500 ton hacia Emb VIII.
Res 12-20 Cede -190 ton hacia Org (17) VIII.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21-20 Cede -157 ton hacia Org (57) VIII.
Res 48-20 Cede -20 ton hacia Emb VIII.</t>
        </r>
      </text>
    </comment>
    <comment ref="G89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70-20 Incremento de 190 ton desde Org (48) VIII.
Res 71-20 Incremento de 74.5 ton desde Org (48) VIII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58-20 Cede -200 ton hacia Emb VIII.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64-20 Cede -16 ton hacia Emb VIII.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578-20 Incremento de 150 desde Org (7) X.
Res 31-20 Cede -16 ton hacia Emb VIII.
Res 45-20 Cede -37 ton hacia Org (30) VIII.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54-20 Incremento de 233 ton desde Org (5) VIII.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65-20 Incremento de 550 ton desde Org (47) VIII.
Res 73-20 Incremento de 290 ton desde Org (33) VIII.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 xml:space="preserve">NICO:
</t>
        </r>
        <r>
          <rPr>
            <sz val="9"/>
            <color indexed="81"/>
            <rFont val="Tahoma"/>
            <family val="2"/>
          </rPr>
          <t>Res 52-20 Cede -66 ton hacia Emb VIII.
Res 60-20 Cede -70 ton hacia Emb VIII.
Res 62-20 Cede -67 ton hacia Emb VIII.</t>
        </r>
      </text>
    </comment>
    <comment ref="M9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670-20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40-20 Cede -5 ton hacia Org (24)  VIII.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68-20 Cede -28 ton hacia Emb VIII.
Res 1238-20 Incremento de 155 ton desde Org (10) XIV.
Res 76-20 Cede -50 ton hacia Emb VIII.
Res 89-20 Cede -20 ton hacia Org (56) VIII.
Res 90-20 Cede -20 ton hacia Org (57) VIII.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945-20 Rect Res 373-20 Modifica Cuota</t>
        </r>
      </text>
    </comment>
    <comment ref="M10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621-20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03-20 Incremento de 206 ton desde Org (28) VIII.
Res 06-20 Incremento de 1333 ton desde Org (43) VIII.
Res 10-20 Incremento de 500 ton desde Org (63) VIII.
Res 11-20 Incremento de 361,8 ton desde Org (3) VIII.
Res 527-20 Incremento de 1446,907 ton desde LTP Novamar.
Res 530-20 Incremento de 2700,375 ton desde LTP Novamar.
Res 532-20 Incremento de 298 ton desde LTP Pedro Irigoyen.
Res 14-20 Incremento de 137 ton desde Org (1) VIII.
Res 15-20 Incremento de 180,5 ton desde Org (1) VIII.
Res 607-20 Incremento de 500 ton desde Org (4) X.
Res 646-20 Incremento de 1254 ton desde LTP Foodcorp.
Res 18-20 Incremento de 449 ton desde Org (34) VIII.
Res 19-20 Incremento de 11 ton desde Org (34) VIII.
Res 672-20 Incremento de 145 ton desde Org (3) X.
Res 673-20 Incremento de 571,182 ton desde LTP Inversiones Tridente.
Res 674-20 Incremento de 398,92 ton desde Org SIPARCON VII.
Res 20-20 Incremento de 1 ton desde Org (34) VIII.
Res 22-20 Incremento de 251,7 ton desde Org (27) VIII.
Res 733-20 Incremento de 2123 ton desde LTP Orizon.
Res 735-20 Incremento de 300 ton desde Org (1) X.
Res 28-20 Incremento de 188 ton desde Org (36) VIII.
Res 30-20 Incremento de 30 ton desde Org (10) VIII.
Res 31-20 Incremento de 16 ton desde Org (71) VIII.
Res 790-20 Incremento de 1500 ton desde Org AG Puerto San Antonio 2510 V.
Res 795-20 Incremento de 50 ton desde Org (4) X.
Res 33-20 Incremento de 90 ton desde Org (55) VIII.
Res 34-20 Incremento de 70 ton desde Org (27) VIII.
Res 852-20 Incremento de 1550 ton desde LTP Blumar.
Res 854-20 Incremento de 142 ton desde LTP Foodcorp.
Res 857-20 Incremento de 180 ton desde Org (5) X.
Res 43-20 Incremento de 250 ton desde Org (47) VIII.
Res 47-20 Incremento de 247 ton desde Org (47) VIII.
Res 48-20 Incremento de 20 ton desde Org (64) VIII.
Res 916-20 Incremento de 53 ton desde Org (9) X.
Res 935-20 Incremento de 1724 ton desde LTP Alimentos Marinos.
Res 49-20 Incremento de 233 ton desde Org (5) VIII.
Res 958-20 Incremento de 544 ton desde LTP Alimentos Marinos.
Res 52-20 Incremento de 66 ton desde Org (74) VIII.
Res 53-20 Incremento de 300 ton desde Org (47) VIII.
Res 55-20 Incremento de 70 ton desde Org (12) VIII.
Res 920-20 Incremento de 6690 ton desde LTP Camanchaca Pesca Sur.
Res 988-20 Incremento de 1914,320 ton desde LTP Pesquera Lepe Limitada.
Res 989-20 Incremento de 569 ton desde LTP Sociedad Pesquera Landes.
Res 990-20 Incremento de 869 ton desde LTP Alimentos Marinos S.A.
Res 57-20 Incremento de 18 ton desde Org (42) VIII.
Res 58-20 Incremento de 200 ton desde Org (68) VIII.
Res 59-20 Incremento de 68 ton desde Org (12) VIII.
Res 60-20 Incremento de 70 ton desde Org (74) VIII.
Res 61-20 Incremento de 25 ton desde Org (1) VIII.
Res 62-20 Incremento de 67 ton desde Org (74) VIII.
Res 63-20 Incremento de 67 ton desde Org (12) VIII.
Res 64-20 Incremento de 16 ton desde Org (70) VIII.
Res 1137-20 Incremento de 1500 ton desde LTP Blumar S.A.
Res 1138-20 Incremento de 350 ton desde LTP Blumar S.A.
Res 66-20 Incremento de 70 ton desde Org (3) VIII.
Res 915-20 Incremento de 1677 ton desde LTP Alimentos Marinos S.A.
Res 1187-20 Incremento de 180.905 ton desde Org A.G. Agrapes V.
Res 1188-20 Incremento de 730 ton desde Org A.G.  Puerto San Antonio 2510 V.
Res 67-20 Incremento de 100 ton desde Org (11) VIII.
Res 68-20 Incremento de 28 ton desde Org (77) VIII.
Res 914-20 Incremento de 147 ton desde LTP Alimentos Marinos S.A.
Res 1217-20 Incremento de 200 ton desde Org (5) X.
Res 69-20 Incremento de 30 ton desde Org (36) VIII.
Res 1221-20 Incremento de 110 ton desde LTP Alimentos Marinos S.A.
Res 1223-20 Incremento de 1503 ton desde LTP Blumar S.A.
Res 76-20 Incremento de 50 ton desde Org (77) VIII.
Res 79-20 Incremento de 40 ton desde Org (2) VIII.
Res 80-20 Incremento de 245 ton desde Org (49) VIII.
Res 1336-20 Incremento de 176 ton desde LTP Alimentos Marinos S.A.
Res 83-20 Incremento de 142 ton desde Org (39) VIII.
Res 84-20 Incremento de 3 ton desde Org (10) VIII.
Res 1247-20 Incremento de 1966 ton desde LTP Blumar S.A.
Res 1248-20 Incremento de 1636 ton desde LTP Sociedad Pesquera Landes.
Res 1253-20 Incremento de 2190 ton desde LTP Lota Protein S.A.
Res 87-20 Incremento de 80 ton desde Org (18) VIII.
Res 1444-20 Incremento de 4593 ton desde LTP Orizon S.A.
Res 1465-20 Incremento de 477 ton desde LTP Alimentos Marinos S.A.
Res 1484-20 Incremento de 310 ton desde LTP Orizon S.A.
Res 1485-20 Incremento de 249 ton desde LTP Sociedad Pesquera Landes.
Res 1351-20 Incremento de 2941 ton desde LTP Camanchaca Pesca Sur.
Res 1352-20 Incremento de 3235 ton desde LTP Sociedad Pesquera Landes.
Res 1541-20 Incremento de 393.249 ton desde LTP Pesquera Litoral.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N°3883-19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1078-20 Incremento de 1169 ton desde Cuota de Imprevistos.</t>
        </r>
      </text>
    </comment>
    <comment ref="M10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Cierre Res 49-20
Apertura Res 71-20
Cierre Res 72-20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Incremento de 1925 ton desde Org (3) X.
Res 853-20 Incremento de 1100 ton desde LTP Blumar.
Res 1252-20 Incremento de 800 ton desde LTP Blumar.
Res 1543-20 Incremento de 140 ton desde Org (48) IX.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4035-19</t>
        </r>
      </text>
    </comment>
    <comment ref="G109" authorId="1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01-20 Cede -450 ton hacia Emb XIV.</t>
        </r>
      </text>
    </comment>
    <comment ref="G11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1237-20 Cede -135.06 ton hacia Emb XIV.
Res 1238-20 Cede -155 ton hacia Org (77) VIII.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526-20 Incremento de 623,108 ton desde LTP Gonzalo Galdamez.
Res 647-20 Incremento de 934,662 ton desde LTP Cristian Silva Lorca.
Res 731-20 Incremento de 934,659 ton desde LTP Mehuin Rey.
Res 1080-20 Incremento de 4810 ton desde LTP Blumar S.A.
Res 1222-20 Incremento de 155.777 ton desde LTP Susan Monsalve Salas.
Res 1237-20 Incremento de 135.06 ton desde Org (10) XIV.
Res 01-20 Incremento de 450 ton desde Org (1) XIV.
Res 1486-20 Incremento de 248 ton desde LTP Camanchaca Pesca Sur.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N°4051-19</t>
        </r>
      </text>
    </comment>
    <comment ref="G123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734-20 Cede -430 ton hacia Org (17) VIII.
Res 735-20 Cede -300 ton hacia Emb VIII.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917-20 Cede -400 ton hacia Org (13) VIII.
Res 959-20 Cede -900 ton hacia Org (17) VIII.
Res 1023-20 Cede -800 ton hacia Org (52) VIII.
Res 1446-20 Cede -350 ton hacia Org (50) VIII.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668-20 Cede -1925 ton hacia Emb IX.
Res 672-20 Cede -145 ton hacia Emb VIII.
Res 736-20 Cede -200 ton hacia Org (20) VIII.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N°4413-18 descuento por proceso sancionatorio de 5,04 toneladas 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607-20 Cede -500 ton hacia Emb VIII.
Res 794-20 Cede -350 ton hacia Org (17) VIII.
Res 795-20 Cede -50 ton hacia Emb VIII.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843-20 Cede -240 ton hacia Org (12) VIII.
Res 1217-20 Cede -200 ton hacia Emb VIII.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857-20 Cede -180 ton hacia Emb VIII.
Res 1251-20 Cede -356 ton hacia Org (19) VIII.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577-20 Cede -336 ton hacia Org (42) VIII.
Res 578-20 Cede -150 ton hacia Org (71) VIII.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579-20 Cede -1534,656 ton hacia Org (52) VIII.
Res 1003-20 Cede -704,611 ton hacia Org (52) VIII.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884-20 Cede -315 ton hacia Org (42) VIII.
Res 916-20 Cede -53 ton hacia Emb VIII.</t>
        </r>
      </text>
    </comment>
  </commentList>
</comments>
</file>

<file path=xl/comments5.xml><?xml version="1.0" encoding="utf-8"?>
<comments xmlns="http://schemas.openxmlformats.org/spreadsheetml/2006/main">
  <authors>
    <author>PEREZ SALGADO, NICOLAS RODRIGO</author>
    <author>.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281-20
282-20
283-20
284-20
294-20
295-20
296-20
297-20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264-20
265-20
266-20
267-20
268-20
269-20
270-20
271-20
294-20
295-20
296-20
297-20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272-20
273-20
274-20
285-20
286-20
287-20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776-20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261-20
262-20
263-20
285-20
286-20
287-20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275-20
276-20
277-20
278-20
279-20
280-20
288-20
289-20
290-20
291-20
292-20
293-20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288-20
289-20
290-20
291-20
292-20
293-20
</t>
        </r>
      </text>
    </comment>
  </commentList>
</comments>
</file>

<file path=xl/comments6.xml><?xml version="1.0" encoding="utf-8"?>
<comments xmlns="http://schemas.openxmlformats.org/spreadsheetml/2006/main">
  <authors>
    <author>.</author>
    <author>dcatalan</author>
  </authors>
  <commentList>
    <comment ref="H199" authorId="0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RPA modificado por res 1246-20</t>
        </r>
      </text>
    </comment>
    <comment ref="H200" authorId="0" shapeId="0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RPA modificado por res 1246-20</t>
        </r>
      </text>
    </comment>
    <comment ref="D109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6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7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8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099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00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01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02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03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04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05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  <comment ref="D1106" authorId="1" shapeId="0">
      <text>
        <r>
          <rPr>
            <b/>
            <sz val="9"/>
            <color indexed="81"/>
            <rFont val="Tahoma"/>
            <family val="2"/>
          </rPr>
          <t>dcatalan:</t>
        </r>
        <r>
          <rPr>
            <sz val="9"/>
            <color indexed="81"/>
            <rFont val="Tahoma"/>
            <family val="2"/>
          </rPr>
          <t xml:space="preserve">
Modificada por Res N° 165-19</t>
        </r>
      </text>
    </comment>
  </commentList>
</comments>
</file>

<file path=xl/sharedStrings.xml><?xml version="1.0" encoding="utf-8"?>
<sst xmlns="http://schemas.openxmlformats.org/spreadsheetml/2006/main" count="8225" uniqueCount="625">
  <si>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</si>
  <si>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</si>
  <si>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</si>
  <si>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</si>
  <si>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</si>
  <si>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</si>
  <si>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</si>
  <si>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</si>
  <si>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</si>
  <si>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</si>
  <si>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CAMANCHACA S.A.CIA PESQ.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</si>
  <si>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</si>
  <si>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</si>
  <si>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</si>
  <si>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</si>
  <si>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</si>
  <si>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</si>
  <si>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</si>
  <si>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</si>
  <si>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</si>
  <si>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</si>
  <si>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</si>
  <si>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</si>
  <si>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</si>
  <si>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</si>
  <si>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</si>
  <si>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</si>
  <si>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</si>
  <si>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</si>
  <si>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</si>
  <si>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</si>
  <si>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</si>
  <si>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</si>
  <si>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</si>
  <si>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</si>
  <si>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</si>
  <si>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</si>
  <si>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</si>
  <si>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</si>
  <si>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</si>
  <si>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</si>
  <si>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</si>
  <si>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</si>
  <si>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</si>
  <si>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</si>
  <si>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</si>
  <si>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</si>
  <si>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</si>
  <si>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 xml:space="preserve"> Agrupación de Armadores y Pescadores Artesanales Pelágicos Puerto Sur Isla Santa María. Personalidad Jurídica N° 1728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</si>
  <si>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</si>
  <si>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</si>
  <si>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</si>
  <si>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</si>
  <si>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</si>
  <si>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</si>
  <si>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</si>
  <si>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</si>
  <si>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</si>
  <si>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 xml:space="preserve"> ASOCIACION GREMIAL DE ARMADORES, PESCADORES ARTESANALES Y ACTIVIDADES AFINES ARMAPESCA A.G.(RAG 635-8)</t>
  </si>
  <si>
    <t xml:space="preserve"> Asociación Gremial de Armadores, Pescadores Artesanales y Actividades Afines de Lota, Octava región, Registro de Asociaciones Gremiales 577-8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</si>
  <si>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</si>
  <si>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</si>
  <si>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</si>
  <si>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</si>
  <si>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</si>
  <si>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</si>
  <si>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</si>
  <si>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 xml:space="preserve"> Asociación Gremial de Pescadores y Armadores Artesanales Pelágicos Región Bío Bío A.G. ALTAMAR, Registro de Asociaciones Gremiales  555-8</t>
  </si>
  <si>
    <t>Asociación Gremial de Productores Pelágicos Artesanales de las Caletas de Talcahuano y San Vicente de la VIII Región GEMAR A.G., Registro de Asociaciones Gremiales 464-8</t>
  </si>
  <si>
    <t>Asociación Gremial Productores Pelágicos, Armadores Artesanales de la Comuna de Coronel, VIII Región, ARPESCA A.G., Registro de Asociaciones Gremiales 447-8</t>
  </si>
  <si>
    <t>Cooperativa de Pescadores Sol de Israel Limitada "COOPES LTDA". Rol 5483</t>
  </si>
  <si>
    <t>Cooperativa de Pescadores y Armadores Artesanales de Lota "GEVIMAR". Registro de Cooperativa Rol 4465</t>
  </si>
  <si>
    <t xml:space="preserve"> Cooperativa Pesquera Artesanal de Coronel Limitada. ROL 5472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</si>
  <si>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</si>
  <si>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</si>
  <si>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</si>
  <si>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</si>
  <si>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</si>
  <si>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</si>
  <si>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</si>
  <si>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</si>
  <si>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</si>
  <si>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</si>
  <si>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</si>
  <si>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</si>
  <si>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</si>
  <si>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</si>
  <si>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</si>
  <si>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</si>
  <si>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</si>
  <si>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</si>
  <si>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</si>
  <si>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</si>
  <si>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</si>
  <si>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</si>
  <si>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</si>
  <si>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 xml:space="preserve"> Sindicato de Trabajadores Independientes Pescadores Artesanales, Armadores y Actividades Conexas de la Caleta Coliumo, Registro Sindical Único 08.06.0150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</si>
  <si>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</si>
  <si>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</si>
  <si>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 xml:space="preserve"> Sindicato de Trabajadores Independientes Pescadores Artesanales, Lancheros, Acuicultores y Actividades Conexas de Caleta Lota Bajo "SIPESCA", Registro Sindical Único 08.07.0106</t>
  </si>
  <si>
    <t>Sindicato de Trabajadores Independientes Pescadores de la Caleta Cocholgüe, Registro Sindical Único 08.06.0023</t>
  </si>
  <si>
    <t xml:space="preserve"> Sindicato de Trabajadores Independientes Pescadores de la Caleta Coliumo, Registro Sindical Único 08.06.0027</t>
  </si>
  <si>
    <t xml:space="preserve"> Sindicato de Trabajadores Independientes Pescadores y Armadores y Ramos Afines de la Pesca Artesanal, "EPES LOTA"Registro Sindical Único N°08.07.0510</t>
  </si>
  <si>
    <t>Sindicato de Trabajadores Independientes Pescadores y Armadores y Ramos Afines de la Pesca Artesanal, "LOTA PESCA", Registro Sindical Único 08.07.0495</t>
  </si>
  <si>
    <t xml:space="preserve"> Sindicato de Trabajadores Independientes Pescadores,  Armadores y  Buzos Mariscadores  y Actividades conexas de Talcahuano "SIPARBUM". Registro Sindical Único 08.05.0424</t>
  </si>
  <si>
    <t xml:space="preserve"> Sindicato de Trabajadores Independientes Pescadores, Armadores  y ramas afines de la Pesca Artesanal "JUANOVOAARCE-LOTA" Registro Sindical Unico 08.07.0485</t>
  </si>
  <si>
    <t xml:space="preserve"> Sindicato de Trabajadores Independientes Pescadores, Armadores Artesanales, Buzos, Acuicultores y Ramos Afines de la Pesca Artesanal, Comuna de Talcahuano "SIPEARTAL". Registro Sindical Único 08.05.0487.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</si>
  <si>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</si>
  <si>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</si>
  <si>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</si>
  <si>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</si>
  <si>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</si>
  <si>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</si>
  <si>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</si>
  <si>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</si>
  <si>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 xml:space="preserve"> Sindicato de Trabajadores Independientes, Pescadores Artesanales, Armadores Artesanales, "Rio Maipo" de la Caleta de San Vicente de la Comuna de Talcahuano; Registro Sindical Único 08.05.0488.</t>
  </si>
  <si>
    <t xml:space="preserve"> Sindicato de Trabajadores Independientes, Pescadores Artesanales, Armadores Artesanales, Buzos Mariscadores y Recolectores de Orilla Isla Santa Maria Puerto Sur, Registro Sindical Único 08.07.0364.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</si>
  <si>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</si>
  <si>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</si>
  <si>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</si>
  <si>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Sindicato Independiente de Pequeños Armadores Artesanales de Cerco y otras actividades Afines de Coronel y Lota, Registro Sindical Único 08.07.0373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</si>
  <si>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</si>
  <si>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</si>
  <si>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</si>
  <si>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</si>
  <si>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</si>
  <si>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</si>
  <si>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</si>
  <si>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</si>
  <si>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</si>
  <si>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</si>
  <si>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</si>
  <si>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</si>
  <si>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STI ESTRELLA SUR DE CALBUCO. RSU 10.01.0571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</si>
  <si>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</si>
  <si>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</si>
  <si>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</si>
  <si>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</si>
  <si>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</si>
  <si>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</si>
  <si>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</si>
  <si>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</si>
  <si>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</si>
  <si>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</si>
  <si>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</si>
  <si>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</si>
  <si>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</si>
  <si>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</si>
  <si>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</si>
  <si>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</si>
  <si>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</si>
  <si>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</si>
  <si>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</si>
  <si>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</si>
  <si>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</si>
  <si>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</si>
  <si>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</si>
  <si>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Cuota Asignada 2019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</si>
  <si>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</si>
  <si>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</si>
  <si>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</si>
  <si>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</si>
  <si>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</si>
  <si>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</si>
  <si>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</si>
  <si>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</si>
  <si>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</si>
  <si>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</si>
  <si>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</si>
  <si>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</si>
  <si>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</si>
  <si>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</si>
  <si>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</si>
  <si>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</si>
  <si>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</si>
  <si>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</si>
  <si>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IC 40%</t>
  </si>
  <si>
    <t>Captura Anchoveta</t>
  </si>
  <si>
    <t>Captura Sardina comun</t>
  </si>
  <si>
    <t>Captura Mixta</t>
  </si>
  <si>
    <t>Cargos por exceso</t>
  </si>
  <si>
    <t>Saldo Sardina común</t>
  </si>
  <si>
    <t>Saldo Mixto</t>
  </si>
  <si>
    <t>Imputación Mixta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</si>
  <si>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</si>
  <si>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</si>
  <si>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</si>
  <si>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</si>
  <si>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</si>
  <si>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</si>
  <si>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</si>
  <si>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</si>
  <si>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</si>
  <si>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</si>
  <si>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Cooperativa Pesquera Artesanal de Coronel Limitada. ROL 5472</t>
  </si>
  <si>
    <t>ASOCIACION GREMIAL DE ARMADORES, PESCADORES ARTESANALES Y ACTIVIDADES AFINES ARMAPESCA A.G.(RAG 635-8)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</si>
  <si>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</si>
  <si>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</si>
  <si>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</si>
  <si>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</si>
  <si>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 y Armadores y Ramos Afines de la Pesca Artesanal, "EPES LOTA"Registro Sindical Único N°08.07.0510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</si>
  <si>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</si>
  <si>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</si>
  <si>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</si>
  <si>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</si>
  <si>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</si>
  <si>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</si>
  <si>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</si>
  <si>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</si>
  <si>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</si>
  <si>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>Cargos por excesos mixtos</t>
  </si>
  <si>
    <t xml:space="preserve">Adjudicatario </t>
  </si>
  <si>
    <t>Incomar</t>
  </si>
  <si>
    <t>Lota Seafood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</si>
  <si>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</si>
  <si>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</si>
  <si>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</si>
  <si>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</si>
  <si>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</si>
  <si>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</si>
  <si>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</si>
  <si>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</si>
  <si>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</si>
  <si>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</si>
  <si>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</si>
  <si>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</si>
  <si>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</si>
  <si>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</si>
  <si>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</si>
  <si>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</si>
  <si>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</si>
  <si>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</si>
  <si>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</si>
  <si>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</si>
  <si>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</si>
  <si>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>Sindicato Independiente de Pequeños Armadores Artesanales de Cerco y otras actividades Afines de Coronel y Lota, "SIPAC" Registro Sindical Único 08.07.0373</t>
  </si>
  <si>
    <t xml:space="preserve">ID de la Org. Cedente/Nombre del Cedente </t>
  </si>
  <si>
    <t>Region nave cesionaria</t>
  </si>
  <si>
    <t>XIV</t>
  </si>
  <si>
    <t>IX</t>
  </si>
  <si>
    <t>Exceso Ton IC</t>
  </si>
  <si>
    <t>INVERSIONES PESQUERA PEDRO IRIGOYEN LIMITADA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</si>
  <si>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</si>
  <si>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</si>
  <si>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</si>
  <si>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</si>
  <si>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</si>
  <si>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</si>
  <si>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</si>
  <si>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</si>
  <si>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</si>
  <si>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</si>
  <si>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</si>
  <si>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</si>
  <si>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</si>
  <si>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</si>
  <si>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</si>
  <si>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</si>
  <si>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</si>
  <si>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</si>
  <si>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</si>
  <si>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</si>
  <si>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</si>
  <si>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</si>
  <si>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</si>
  <si>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</si>
  <si>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</si>
  <si>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</si>
  <si>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</si>
  <si>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</si>
  <si>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</si>
  <si>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</si>
  <si>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</si>
  <si>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</si>
  <si>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</si>
  <si>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</si>
  <si>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</si>
  <si>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</si>
  <si>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</si>
  <si>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</si>
  <si>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</si>
  <si>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</si>
  <si>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</si>
  <si>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</si>
  <si>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RESUMEN CONTROL DE CUOTA ANCHOVETA Y SARDINA COMÚN V-X 2020</t>
  </si>
  <si>
    <t>CONTROL DE CUOTAS CONSUMO HUMANO AÑO 2020</t>
  </si>
  <si>
    <t>IMPUTACION CONJUNTA CUOTA ANCHOVETA Y SARDINA COMÚN AÑO 2020</t>
  </si>
  <si>
    <t>IMPUTACIÓN CONJUNTA CUOTA ANCHOVETA Y SARDINA COMÚN VIII REGIÓN AÑO 2020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</si>
  <si>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</si>
  <si>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</si>
  <si>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</si>
  <si>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</si>
  <si>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Sindicato Independiente de Pescadores Artesanales, Tripulantes Artesanales de Cerco y Ramos Conexos. RSU 8070220</t>
  </si>
  <si>
    <t>Sociedad Cooperativa Benesino Limitada ROL 5871</t>
  </si>
  <si>
    <t>CONTROL DE CUOTAS PESCA DE INVESTIGACIÓN AÑO 2020</t>
  </si>
  <si>
    <t>Turimar III</t>
  </si>
  <si>
    <t>El Chile</t>
  </si>
  <si>
    <t>Anselmo I</t>
  </si>
  <si>
    <t>Don Luis Alberto</t>
  </si>
  <si>
    <t>XVI</t>
  </si>
  <si>
    <t>Sardina comun</t>
  </si>
  <si>
    <t>CONTROL DE CUOTAS ANCHOVETA ARTESANAL V-X 2020</t>
  </si>
  <si>
    <t>Información Preliminar</t>
  </si>
  <si>
    <t>CONTROL DE CUOTAS SARDINA COMUN ARTESANAL V-X 2020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</si>
  <si>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</si>
  <si>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</si>
  <si>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GABRIELA MONSALVE CISTERNAS</t>
  </si>
  <si>
    <t>CRISTIAN SILVA TUDELA</t>
  </si>
  <si>
    <t>28 (VIII)</t>
  </si>
  <si>
    <t>Colectiva</t>
  </si>
  <si>
    <t>DZP VIII</t>
  </si>
  <si>
    <t>Art-Art</t>
  </si>
  <si>
    <t>Ignacio S</t>
  </si>
  <si>
    <t>Jean Carlos</t>
  </si>
  <si>
    <t>-</t>
  </si>
  <si>
    <t>43 (VIII)</t>
  </si>
  <si>
    <t>Paulina M</t>
  </si>
  <si>
    <t>Susana II</t>
  </si>
  <si>
    <t>Gaviota I</t>
  </si>
  <si>
    <t>63 (VIII)</t>
  </si>
  <si>
    <t>13 (VIII)</t>
  </si>
  <si>
    <t>Gonzalo Galdamez Santibañez</t>
  </si>
  <si>
    <t>GONZALO GALDAMEZ SANTIBAÑEZ</t>
  </si>
  <si>
    <t>Individual</t>
  </si>
  <si>
    <t>SSP</t>
  </si>
  <si>
    <t>Ind-Art</t>
  </si>
  <si>
    <t>Margot Maria IV</t>
  </si>
  <si>
    <t>Novamar</t>
  </si>
  <si>
    <t>Niña Ximena</t>
  </si>
  <si>
    <t>Inversiones Pesqueras Pedro Irigoyen Limitada</t>
  </si>
  <si>
    <t>1 (VIII)</t>
  </si>
  <si>
    <t>4 (X)</t>
  </si>
  <si>
    <t>Don Juan C</t>
  </si>
  <si>
    <t>Foodcorp</t>
  </si>
  <si>
    <t>Don Tato</t>
  </si>
  <si>
    <t>Matilda</t>
  </si>
  <si>
    <t>Eben Ezer III</t>
  </si>
  <si>
    <t>Odiseo II</t>
  </si>
  <si>
    <t>Jairo Eli</t>
  </si>
  <si>
    <t>Don Dionisio II</t>
  </si>
  <si>
    <t>Doña Flor</t>
  </si>
  <si>
    <t>Matias R</t>
  </si>
  <si>
    <t>Josefa I</t>
  </si>
  <si>
    <t>Agustin Ignacio</t>
  </si>
  <si>
    <t>Matias</t>
  </si>
  <si>
    <t>Cristian Silva Lorca</t>
  </si>
  <si>
    <t>Claudio I</t>
  </si>
  <si>
    <t>34 (VIII)</t>
  </si>
  <si>
    <t>Joaquin Isaac</t>
  </si>
  <si>
    <t>Don Pedro I</t>
  </si>
  <si>
    <t>AGARMAR.  RAG 156-10</t>
  </si>
  <si>
    <t>3 (IX)</t>
  </si>
  <si>
    <t>Palmi II</t>
  </si>
  <si>
    <t>Don Sebastian</t>
  </si>
  <si>
    <t>Osframa</t>
  </si>
  <si>
    <t>3 (X)</t>
  </si>
  <si>
    <t>Inversiones Tridente</t>
  </si>
  <si>
    <t>Gianfranco</t>
  </si>
  <si>
    <t>Gianluca</t>
  </si>
  <si>
    <t>SIPARCON (VII)</t>
  </si>
  <si>
    <t>Don Anselmo II</t>
  </si>
  <si>
    <t>Rueli</t>
  </si>
  <si>
    <t>27 (VIII)</t>
  </si>
  <si>
    <t>Chumingo</t>
  </si>
  <si>
    <t>Soc. Pesq Mehuin Rey</t>
  </si>
  <si>
    <t>Aguila Real</t>
  </si>
  <si>
    <t>Cristian Silva Tudela</t>
  </si>
  <si>
    <t>Orizon S.A.</t>
  </si>
  <si>
    <t>DON MAÑE</t>
  </si>
  <si>
    <t>SERGIO III</t>
  </si>
  <si>
    <t>JUANITA</t>
  </si>
  <si>
    <t>DON COQUERA</t>
  </si>
  <si>
    <t>DON MANUEL R</t>
  </si>
  <si>
    <t>DON MATI I</t>
  </si>
  <si>
    <t>LA CONSUELITO</t>
  </si>
  <si>
    <t>DOÑA SOFIA I</t>
  </si>
  <si>
    <t>SERGIO JAVIER</t>
  </si>
  <si>
    <t>LAUCA</t>
  </si>
  <si>
    <t>SEBASTIAN II</t>
  </si>
  <si>
    <t>ERNESTO II</t>
  </si>
  <si>
    <t>AIDA ROSA</t>
  </si>
  <si>
    <t>ALEXANDER II</t>
  </si>
  <si>
    <t>MARIELA III</t>
  </si>
  <si>
    <t>PAULINA M II</t>
  </si>
  <si>
    <t>CAMILA DAVID</t>
  </si>
  <si>
    <t>HALCON I</t>
  </si>
  <si>
    <t>ABRAHAM</t>
  </si>
  <si>
    <t>MASTER I</t>
  </si>
  <si>
    <t>1 (X)</t>
  </si>
  <si>
    <t>36 (VIII)</t>
  </si>
  <si>
    <t>10 (VIII)</t>
  </si>
  <si>
    <t>71 (VIII)</t>
  </si>
  <si>
    <t>ALONSO</t>
  </si>
  <si>
    <t>AG Puerto San Antonio 2510 (V)</t>
  </si>
  <si>
    <t>Don Demetrio III</t>
  </si>
  <si>
    <t>Rio Jordan X</t>
  </si>
  <si>
    <t>Rio Jordan IV</t>
  </si>
  <si>
    <t>Galeon II</t>
  </si>
  <si>
    <t>Estrella de David</t>
  </si>
  <si>
    <t>Don Mateo</t>
  </si>
  <si>
    <t>Don Guillermo I</t>
  </si>
  <si>
    <t>Yeya I</t>
  </si>
  <si>
    <t>Sotileza</t>
  </si>
  <si>
    <t>EL Niego I</t>
  </si>
  <si>
    <t>Mama Edith</t>
  </si>
  <si>
    <t>El Linco I</t>
  </si>
  <si>
    <t>Patrick Joaquin</t>
  </si>
  <si>
    <t>Jacob-Israel</t>
  </si>
  <si>
    <t>Don Jorge Luis M</t>
  </si>
  <si>
    <t>Abraham Antonio</t>
  </si>
  <si>
    <t>Don Beto IV</t>
  </si>
  <si>
    <t>55 (VIII)</t>
  </si>
  <si>
    <t>DON JUAN M</t>
  </si>
  <si>
    <t>DON JOSELI</t>
  </si>
  <si>
    <t>Blumar S.A</t>
  </si>
  <si>
    <t>Titan Del Mar</t>
  </si>
  <si>
    <t>Cristina</t>
  </si>
  <si>
    <t>Teresita II</t>
  </si>
  <si>
    <t>Marwejuan</t>
  </si>
  <si>
    <t>Doña Isabel I</t>
  </si>
  <si>
    <t>Martin Renato</t>
  </si>
  <si>
    <t>Don Rodrigo B</t>
  </si>
  <si>
    <t>Don Jose L I</t>
  </si>
  <si>
    <t>Lerito</t>
  </si>
  <si>
    <t>Bendicion II</t>
  </si>
  <si>
    <t>Don Pedrito</t>
  </si>
  <si>
    <t>Don Daniel I</t>
  </si>
  <si>
    <t>Don Norma</t>
  </si>
  <si>
    <t>Rio Tolten I</t>
  </si>
  <si>
    <t>Rio Queule I</t>
  </si>
  <si>
    <t>Quimera</t>
  </si>
  <si>
    <t>Gabriela Monsalve Cisterna</t>
  </si>
  <si>
    <t>Raul M</t>
  </si>
  <si>
    <t>Marvento</t>
  </si>
  <si>
    <t>Doña Margarita C</t>
  </si>
  <si>
    <t>5 (X)</t>
  </si>
  <si>
    <t>Maria Bristela</t>
  </si>
  <si>
    <t>47 (VIII)</t>
  </si>
  <si>
    <t>Mar Primero</t>
  </si>
  <si>
    <t>64 (VIII)</t>
  </si>
  <si>
    <t>9 (X)</t>
  </si>
  <si>
    <t>Alimentos Marinos S.A.</t>
  </si>
  <si>
    <t>Eloisa II</t>
  </si>
  <si>
    <t>Angela Valentina</t>
  </si>
  <si>
    <t>Marina Bristela</t>
  </si>
  <si>
    <t>Don Valentin</t>
  </si>
  <si>
    <t>Don Angel</t>
  </si>
  <si>
    <t>Isaac</t>
  </si>
  <si>
    <t>Emelinda</t>
  </si>
  <si>
    <t>Don Robert</t>
  </si>
  <si>
    <t>Raul Cesar</t>
  </si>
  <si>
    <t>Matias Nicolas</t>
  </si>
  <si>
    <t>Don Samuel II</t>
  </si>
  <si>
    <t>5 (VIII)</t>
  </si>
  <si>
    <t>Don Tito R</t>
  </si>
  <si>
    <t>Andrea C</t>
  </si>
  <si>
    <t>Diego Esteban</t>
  </si>
  <si>
    <t>Tsunami S</t>
  </si>
  <si>
    <t>74 (VIII)</t>
  </si>
  <si>
    <t>Don Ricardo</t>
  </si>
  <si>
    <t>12 (VIII)</t>
  </si>
  <si>
    <t>Mateo Abdon</t>
  </si>
  <si>
    <t>Camanchaca Pesca Sur S.A.</t>
  </si>
  <si>
    <t>Don Adolfo II</t>
  </si>
  <si>
    <t>Julieta Ignacia</t>
  </si>
  <si>
    <t>Don Goyo</t>
  </si>
  <si>
    <t>Habacuc</t>
  </si>
  <si>
    <t>Ana Belen I</t>
  </si>
  <si>
    <t>Doña Gladys II</t>
  </si>
  <si>
    <t>Nubia Herlibet</t>
  </si>
  <si>
    <t>Cristian Guillermo</t>
  </si>
  <si>
    <t>Mar De Bering</t>
  </si>
  <si>
    <t>Delia Rosa</t>
  </si>
  <si>
    <t>Domenica</t>
  </si>
  <si>
    <t>Ventisquero</t>
  </si>
  <si>
    <t>Don Sixto</t>
  </si>
  <si>
    <t>Eden I</t>
  </si>
  <si>
    <t>Sixto Abraham I</t>
  </si>
  <si>
    <t>Pesquera Lepe Limitada</t>
  </si>
  <si>
    <t>Don Kako</t>
  </si>
  <si>
    <t>Doña Leticia</t>
  </si>
  <si>
    <t>Don Benja</t>
  </si>
  <si>
    <t>Pedro L</t>
  </si>
  <si>
    <t>Sociedad Pesquera Landes S.A.</t>
  </si>
  <si>
    <t>Misionera III</t>
  </si>
  <si>
    <t>Adriana V</t>
  </si>
  <si>
    <t>Armando S</t>
  </si>
  <si>
    <t>Florencia</t>
  </si>
  <si>
    <t>42 (VIII)</t>
  </si>
  <si>
    <t xml:space="preserve"> 68 (VIII)</t>
  </si>
  <si>
    <t>Del Sur</t>
  </si>
  <si>
    <t>70 (VIII)</t>
  </si>
  <si>
    <t>Feidipides</t>
  </si>
  <si>
    <t>Isaac II</t>
  </si>
  <si>
    <t>Don Cholito</t>
  </si>
  <si>
    <t>Don Ulmes</t>
  </si>
  <si>
    <t>Samaritano</t>
  </si>
  <si>
    <t>Ebenezer II</t>
  </si>
  <si>
    <t>Don Joaquin</t>
  </si>
  <si>
    <t>Orka</t>
  </si>
  <si>
    <t>Rolando</t>
  </si>
  <si>
    <t>Nicolas</t>
  </si>
  <si>
    <t>Benjamin</t>
  </si>
  <si>
    <t>Samaritano I</t>
  </si>
  <si>
    <t>Punta Brava</t>
  </si>
  <si>
    <t>Alberto M</t>
  </si>
  <si>
    <t>Feros II</t>
  </si>
  <si>
    <t>Maria Isabel</t>
  </si>
  <si>
    <t>Lonquimay</t>
  </si>
  <si>
    <t>Isaac M</t>
  </si>
  <si>
    <t>Marco Polo</t>
  </si>
  <si>
    <t>Brenda Esmeralda</t>
  </si>
  <si>
    <t>Don Jaime</t>
  </si>
  <si>
    <t>Sadan</t>
  </si>
  <si>
    <t>Don Julian</t>
  </si>
  <si>
    <t>Carla Agustin</t>
  </si>
  <si>
    <t>Don Juan I</t>
  </si>
  <si>
    <t>Don Joaquin II</t>
  </si>
  <si>
    <t>Lago Ranco</t>
  </si>
  <si>
    <t>3 (VIII)</t>
  </si>
  <si>
    <t>Aylen</t>
  </si>
  <si>
    <t>Sandrita I</t>
  </si>
  <si>
    <t>Soraya I</t>
  </si>
  <si>
    <t>Cecilia III</t>
  </si>
  <si>
    <t>A. G. Agrapesca (V)</t>
  </si>
  <si>
    <t>Lealtad I</t>
  </si>
  <si>
    <t>11 (VIII)</t>
  </si>
  <si>
    <t>77 (VIII)</t>
  </si>
  <si>
    <t>Johana II</t>
  </si>
  <si>
    <t>Mar De Liguria</t>
  </si>
  <si>
    <t>Susan Monsalve Salas</t>
  </si>
  <si>
    <t>Doña Violeta</t>
  </si>
  <si>
    <t>Rodrigo I</t>
  </si>
  <si>
    <t>Adriana X</t>
  </si>
  <si>
    <t>Don Chelo II</t>
  </si>
  <si>
    <t>Josue Segundo</t>
  </si>
  <si>
    <t>Canaan</t>
  </si>
  <si>
    <t>Maria Trinidad</t>
  </si>
  <si>
    <t>Victor Guillermo</t>
  </si>
  <si>
    <t>10 (XIV)</t>
  </si>
  <si>
    <t>L/M Alberto M</t>
  </si>
  <si>
    <t>2 (VIII)</t>
  </si>
  <si>
    <t>49 (VIII)</t>
  </si>
  <si>
    <t>Azariel</t>
  </si>
  <si>
    <t>Lidia C</t>
  </si>
  <si>
    <t>39 (VIII)</t>
  </si>
  <si>
    <t>Don Luis D</t>
  </si>
  <si>
    <t>Ximena I</t>
  </si>
  <si>
    <t>Adriana</t>
  </si>
  <si>
    <t>Toconao</t>
  </si>
  <si>
    <t>Yenny</t>
  </si>
  <si>
    <t>Kimy II</t>
  </si>
  <si>
    <t>Adriana IX</t>
  </si>
  <si>
    <t>Nebraska</t>
  </si>
  <si>
    <t>Candelaria</t>
  </si>
  <si>
    <t>Mar Segundo</t>
  </si>
  <si>
    <t>Kippernes</t>
  </si>
  <si>
    <t>Sofia-A</t>
  </si>
  <si>
    <t>Lota Protein S.A.</t>
  </si>
  <si>
    <t>Rodrigo</t>
  </si>
  <si>
    <t>Nazareth II</t>
  </si>
  <si>
    <t>Relampago</t>
  </si>
  <si>
    <t>Don Agustin</t>
  </si>
  <si>
    <t>El Niego I</t>
  </si>
  <si>
    <t>Constanza M I</t>
  </si>
  <si>
    <t>18 (VIII)</t>
  </si>
  <si>
    <t>1 (XIV)</t>
  </si>
  <si>
    <t>DZP IX-XIV</t>
  </si>
  <si>
    <t>Jorge Hernan M</t>
  </si>
  <si>
    <t>Don Lolo</t>
  </si>
  <si>
    <t>Bio Bio</t>
  </si>
  <si>
    <t>Don Armando</t>
  </si>
  <si>
    <t>Maricia</t>
  </si>
  <si>
    <t>Don Arnaldo</t>
  </si>
  <si>
    <t>La Victoria</t>
  </si>
  <si>
    <t>Chango</t>
  </si>
  <si>
    <t>Herminia I</t>
  </si>
  <si>
    <t>Don Emilio</t>
  </si>
  <si>
    <t>Carmen Loreto</t>
  </si>
  <si>
    <t>Lauca</t>
  </si>
  <si>
    <t>Ovnis</t>
  </si>
  <si>
    <t>Don Bruno</t>
  </si>
  <si>
    <t>Doña Jova 2DA</t>
  </si>
  <si>
    <t>Antares V</t>
  </si>
  <si>
    <t>Doña Coca</t>
  </si>
  <si>
    <t>Tamarugal</t>
  </si>
  <si>
    <t>Esturion</t>
  </si>
  <si>
    <t>Rimalfredan II</t>
  </si>
  <si>
    <t>Don Hugo</t>
  </si>
  <si>
    <t>Juan Marcelo</t>
  </si>
  <si>
    <t>Huracan I</t>
  </si>
  <si>
    <t>Achernar</t>
  </si>
  <si>
    <t>Master I</t>
  </si>
  <si>
    <t>Ricardo Jesus</t>
  </si>
  <si>
    <t>Punta Verde I</t>
  </si>
  <si>
    <t>Carpintero</t>
  </si>
  <si>
    <t>Rio Valdivia</t>
  </si>
  <si>
    <t>Yolanda S</t>
  </si>
  <si>
    <t>Don Leonel</t>
  </si>
  <si>
    <t>Cayumanqui</t>
  </si>
  <si>
    <t>Poseidon II</t>
  </si>
  <si>
    <t>Mesana</t>
  </si>
  <si>
    <t>Tome II</t>
  </si>
  <si>
    <t>Marbella II</t>
  </si>
  <si>
    <t>Punta Maule II</t>
  </si>
  <si>
    <t>Sixto Abraham</t>
  </si>
  <si>
    <t>Don Juan M</t>
  </si>
  <si>
    <t>Juanita I</t>
  </si>
  <si>
    <t>Capello</t>
  </si>
  <si>
    <t>Nagasaki</t>
  </si>
  <si>
    <t>Don Patricio I</t>
  </si>
  <si>
    <t>Saray Esmeralda-M</t>
  </si>
  <si>
    <t>Tio Chito</t>
  </si>
  <si>
    <t>Shimane</t>
  </si>
  <si>
    <t>Puerto Ballarta</t>
  </si>
  <si>
    <t>Don Miguel</t>
  </si>
  <si>
    <t>Don Miguel II</t>
  </si>
  <si>
    <t>Socoroma II</t>
  </si>
  <si>
    <t>Turimar II</t>
  </si>
  <si>
    <t>Blanca Estela</t>
  </si>
  <si>
    <t>Lorenzo</t>
  </si>
  <si>
    <t>Pesquera Litoral SpA</t>
  </si>
  <si>
    <t>Don Claudio</t>
  </si>
  <si>
    <t>Don Luis Alberto II</t>
  </si>
  <si>
    <t>48 (IX)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</si>
</sst>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</numFmts>
  <fonts count="4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0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1728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</cellStyleXfs>
  <cellXfs count="283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6" fontId="0" fillId="0" borderId="1" xfId="0" applyNumberFormat="1" applyFill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9" fontId="0" fillId="3" borderId="1" xfId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0" fillId="30" borderId="0" xfId="0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3" xfId="1" applyFont="1" applyFill="1" applyBorder="1"/>
    <xf numFmtId="9" fontId="0" fillId="0" borderId="0" xfId="1" applyFont="1"/>
    <xf numFmtId="0" fontId="27" fillId="0" borderId="0" xfId="0" applyFont="1"/>
    <xf numFmtId="9" fontId="3" fillId="0" borderId="0" xfId="1" applyFont="1"/>
    <xf numFmtId="0" fontId="0" fillId="0" borderId="0" xfId="0" applyFont="1"/>
    <xf numFmtId="9" fontId="0" fillId="0" borderId="0" xfId="1" applyFont="1" applyAlignment="1">
      <alignment horizontal="center"/>
    </xf>
    <xf numFmtId="14" fontId="3" fillId="0" borderId="0" xfId="0" applyNumberFormat="1" applyFont="1"/>
    <xf numFmtId="14" fontId="0" fillId="0" borderId="0" xfId="1" applyNumberFormat="1" applyFont="1"/>
    <xf numFmtId="14" fontId="3" fillId="0" borderId="0" xfId="1" applyNumberFormat="1" applyFont="1"/>
    <xf numFmtId="0" fontId="0" fillId="0" borderId="0" xfId="0" applyFill="1"/>
    <xf numFmtId="0" fontId="3" fillId="29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0" fillId="0" borderId="0" xfId="0" applyNumberFormat="1" applyFill="1" applyBorder="1"/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0" fillId="3" borderId="1" xfId="0" applyFill="1" applyBorder="1" applyAlignment="1">
      <alignment horizontal="center"/>
    </xf>
    <xf numFmtId="168" fontId="0" fillId="0" borderId="1" xfId="0" applyNumberFormat="1" applyBorder="1"/>
    <xf numFmtId="0" fontId="3" fillId="33" borderId="1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6" fillId="33" borderId="0" xfId="0" applyFont="1" applyFill="1"/>
    <xf numFmtId="0" fontId="6" fillId="32" borderId="0" xfId="0" applyFont="1" applyFill="1"/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1" borderId="1" xfId="0" applyFill="1" applyBorder="1"/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14" fontId="0" fillId="0" borderId="0" xfId="1" applyNumberFormat="1" applyFont="1" applyFill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/>
    <xf numFmtId="0" fontId="3" fillId="3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Fill="1" applyBorder="1"/>
    <xf numFmtId="14" fontId="3" fillId="37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7" fillId="38" borderId="1" xfId="0" applyFont="1" applyFill="1" applyBorder="1" applyAlignment="1">
      <alignment horizontal="center" vertical="center" wrapText="1"/>
    </xf>
    <xf numFmtId="0" fontId="37" fillId="38" borderId="1" xfId="0" applyFont="1" applyFill="1" applyBorder="1" applyAlignment="1">
      <alignment horizontal="center" vertical="center"/>
    </xf>
    <xf numFmtId="14" fontId="37" fillId="38" borderId="1" xfId="0" applyNumberFormat="1" applyFont="1" applyFill="1" applyBorder="1" applyAlignment="1">
      <alignment horizontal="center" vertical="center"/>
    </xf>
    <xf numFmtId="9" fontId="37" fillId="38" borderId="1" xfId="1" applyFont="1" applyFill="1" applyBorder="1" applyAlignment="1">
      <alignment horizontal="center" vertical="center"/>
    </xf>
    <xf numFmtId="0" fontId="0" fillId="38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37" fillId="38" borderId="1" xfId="0" applyNumberFormat="1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7" fillId="3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39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39" fillId="37" borderId="1" xfId="0" applyNumberFormat="1" applyFont="1" applyFill="1" applyBorder="1"/>
    <xf numFmtId="14" fontId="4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4" fillId="28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Border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textRotation="90"/>
    </xf>
    <xf numFmtId="0" fontId="28" fillId="26" borderId="0" xfId="0" applyFont="1" applyFill="1" applyBorder="1" applyAlignment="1">
      <alignment horizontal="center" vertical="center" textRotation="90"/>
    </xf>
    <xf numFmtId="0" fontId="3" fillId="26" borderId="14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textRotation="90"/>
    </xf>
    <xf numFmtId="0" fontId="3" fillId="26" borderId="0" xfId="0" applyFont="1" applyFill="1" applyBorder="1" applyAlignment="1">
      <alignment horizontal="center" vertical="center" textRotation="90"/>
    </xf>
    <xf numFmtId="0" fontId="1" fillId="26" borderId="0" xfId="0" applyFont="1" applyFill="1" applyAlignment="1">
      <alignment horizontal="center"/>
    </xf>
    <xf numFmtId="0" fontId="3" fillId="26" borderId="15" xfId="0" applyFont="1" applyFill="1" applyBorder="1" applyAlignment="1">
      <alignment horizontal="center" wrapText="1"/>
    </xf>
    <xf numFmtId="0" fontId="3" fillId="26" borderId="16" xfId="0" applyFont="1" applyFill="1" applyBorder="1" applyAlignment="1">
      <alignment horizontal="center" wrapText="1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4" fontId="3" fillId="37" borderId="1" xfId="0" applyNumberFormat="1" applyFont="1" applyFill="1" applyBorder="1" applyAlignment="1">
      <alignment horizontal="center" vertical="center"/>
    </xf>
    <xf numFmtId="0" fontId="3" fillId="37" borderId="1" xfId="0" applyFont="1" applyFill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66" fontId="0" fillId="38" borderId="1" xfId="0" applyNumberFormat="1" applyFont="1" applyFill="1" applyBorder="1" applyAlignment="1">
      <alignment horizontal="center" vertical="center"/>
    </xf>
    <xf numFmtId="166" fontId="37" fillId="38" borderId="2" xfId="0" applyNumberFormat="1" applyFont="1" applyFill="1" applyBorder="1" applyAlignment="1">
      <alignment horizontal="center" vertical="center"/>
    </xf>
    <xf numFmtId="166" fontId="37" fillId="38" borderId="3" xfId="0" applyNumberFormat="1" applyFont="1" applyFill="1" applyBorder="1" applyAlignment="1">
      <alignment horizontal="center" vertical="center"/>
    </xf>
    <xf numFmtId="166" fontId="37" fillId="38" borderId="4" xfId="0" applyNumberFormat="1" applyFont="1" applyFill="1" applyBorder="1" applyAlignment="1">
      <alignment horizontal="center" vertical="center"/>
    </xf>
    <xf numFmtId="9" fontId="37" fillId="38" borderId="2" xfId="1" applyFont="1" applyFill="1" applyBorder="1" applyAlignment="1">
      <alignment horizontal="center" vertical="center"/>
    </xf>
    <xf numFmtId="9" fontId="37" fillId="38" borderId="3" xfId="1" applyFont="1" applyFill="1" applyBorder="1" applyAlignment="1">
      <alignment horizontal="center" vertical="center"/>
    </xf>
    <xf numFmtId="9" fontId="37" fillId="38" borderId="4" xfId="1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1728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" xfId="1" builtinId="5"/>
    <cellStyle name="Porcentaje 2" xfId="202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2" defaultPivotStyle="PivotStyleLight16"/>
  <colors>
    <mruColors>
      <color rgb="FF9933FF"/>
      <color rgb="FFFFFF99"/>
      <color rgb="FFCC66FF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J36"/>
  <sheetViews>
    <sheetView workbookViewId="0">
      <selection activeCell="K8" sqref="K8"/>
    </sheetView>
  </sheetViews>
  <sheetFormatPr baseColWidth="10" defaultRowHeight="15"/>
  <cols>
    <col min="4" max="4" width="41.28515625" bestFit="1" customWidth="1"/>
    <col min="5" max="5" width="11.5703125" bestFit="1" customWidth="1"/>
    <col min="6" max="6" width="13.85546875" customWidth="1"/>
  </cols>
  <sheetData>
    <row r="2" spans="2:10" s="11" customFormat="1" ht="18.75">
      <c r="B2" s="204" t="s">
        <v>284</v>
      </c>
      <c r="C2" s="204"/>
      <c r="D2" s="204"/>
      <c r="E2" s="204"/>
      <c r="F2" s="204"/>
      <c r="G2" s="204"/>
      <c r="H2" s="204"/>
      <c r="I2" s="204"/>
      <c r="J2" s="204"/>
    </row>
    <row r="3" spans="2:10" s="11" customFormat="1">
      <c r="B3" s="205">
        <v>44020</v>
      </c>
      <c r="C3" s="206"/>
      <c r="D3" s="206"/>
      <c r="E3" s="206"/>
      <c r="F3" s="206"/>
      <c r="G3" s="206"/>
      <c r="H3" s="206"/>
      <c r="I3" s="206"/>
      <c r="J3" s="206"/>
    </row>
    <row r="4" spans="2:10" s="11" customFormat="1">
      <c r="B4" s="210" t="s">
        <v>302</v>
      </c>
      <c r="C4" s="210"/>
      <c r="D4" s="210"/>
      <c r="E4" s="210"/>
      <c r="F4" s="210"/>
      <c r="G4" s="210"/>
      <c r="H4" s="210"/>
      <c r="I4" s="210"/>
      <c r="J4" s="210"/>
    </row>
    <row r="6" spans="2:10" ht="29.25" customHeight="1">
      <c r="B6" s="21" t="s">
        <v>172</v>
      </c>
      <c r="C6" s="21" t="s">
        <v>173</v>
      </c>
      <c r="D6" s="21" t="s">
        <v>171</v>
      </c>
      <c r="E6" s="22" t="s">
        <v>157</v>
      </c>
      <c r="F6" s="22" t="s">
        <v>158</v>
      </c>
      <c r="G6" s="22" t="s">
        <v>159</v>
      </c>
      <c r="H6" s="22" t="s">
        <v>160</v>
      </c>
      <c r="I6" s="22" t="s">
        <v>161</v>
      </c>
      <c r="J6" s="22" t="s">
        <v>162</v>
      </c>
    </row>
    <row r="7" spans="2:10" ht="15" customHeight="1">
      <c r="B7" s="207" t="s">
        <v>170</v>
      </c>
      <c r="C7" s="209" t="s">
        <v>163</v>
      </c>
      <c r="D7" s="20" t="s">
        <v>39</v>
      </c>
      <c r="E7" s="26">
        <f>SUM(Anchoveta!F7:F12)</f>
        <v>7729.9990000000007</v>
      </c>
      <c r="F7" s="1">
        <f>Anchoveta!G13</f>
        <v>-7331.5860000000002</v>
      </c>
      <c r="G7" s="1">
        <f>E7+F7</f>
        <v>398.41300000000047</v>
      </c>
      <c r="H7" s="1">
        <f>Anchoveta!I13+Anchoveta!J13</f>
        <v>276.76300000000003</v>
      </c>
      <c r="I7" s="1">
        <f>G7-H7</f>
        <v>121.65000000000043</v>
      </c>
      <c r="J7" s="6">
        <f>H7/G7</f>
        <v>0.69466357774470133</v>
      </c>
    </row>
    <row r="8" spans="2:10">
      <c r="B8" s="207"/>
      <c r="C8" s="209"/>
      <c r="D8" s="20" t="s">
        <v>152</v>
      </c>
      <c r="E8" s="26">
        <f>Anchoveta!F15</f>
        <v>50</v>
      </c>
      <c r="F8" s="1">
        <f>Anchoveta!G16</f>
        <v>0</v>
      </c>
      <c r="G8" s="1">
        <f t="shared" ref="G8:G19" si="0">E8+F8</f>
        <v>50</v>
      </c>
      <c r="H8" s="1">
        <f>Anchoveta!I16+Anchoveta!J16</f>
        <v>0</v>
      </c>
      <c r="I8" s="1">
        <f t="shared" ref="I8:I19" si="1">G8-H8</f>
        <v>50</v>
      </c>
      <c r="J8" s="6">
        <f t="shared" ref="J8:J19" si="2">H8/G8</f>
        <v>0</v>
      </c>
    </row>
    <row r="9" spans="2:10">
      <c r="B9" s="207"/>
      <c r="C9" s="209"/>
      <c r="D9" s="20" t="s">
        <v>153</v>
      </c>
      <c r="E9" s="26">
        <f>Anchoveta!F18+Anchoveta!F19+Anchoveta!F20</f>
        <v>826</v>
      </c>
      <c r="F9" s="1">
        <f>Anchoveta!G21</f>
        <v>-261.93</v>
      </c>
      <c r="G9" s="1">
        <f t="shared" si="0"/>
        <v>564.06999999999994</v>
      </c>
      <c r="H9" s="1">
        <f>Anchoveta!I21+Anchoveta!J21</f>
        <v>72.34</v>
      </c>
      <c r="I9" s="1">
        <f t="shared" si="1"/>
        <v>491.7299999999999</v>
      </c>
      <c r="J9" s="6">
        <f t="shared" si="2"/>
        <v>0.12824649422943962</v>
      </c>
    </row>
    <row r="10" spans="2:10">
      <c r="B10" s="207"/>
      <c r="C10" s="209"/>
      <c r="D10" s="20" t="s">
        <v>154</v>
      </c>
      <c r="E10" s="26">
        <f>SUM(Anchoveta!F23:F101)</f>
        <v>99054.969000000012</v>
      </c>
      <c r="F10" s="1">
        <f>Anchoveta!G103</f>
        <v>32792.303</v>
      </c>
      <c r="G10" s="1">
        <f t="shared" si="0"/>
        <v>131847.272</v>
      </c>
      <c r="H10" s="1">
        <f>Anchoveta!I103+Anchoveta!J103</f>
        <v>87730.27</v>
      </c>
      <c r="I10" s="1">
        <f t="shared" si="1"/>
        <v>44117.001999999993</v>
      </c>
      <c r="J10" s="6">
        <f t="shared" si="2"/>
        <v>0.66539313759938856</v>
      </c>
    </row>
    <row r="11" spans="2:10">
      <c r="B11" s="207"/>
      <c r="C11" s="209"/>
      <c r="D11" s="20" t="s">
        <v>155</v>
      </c>
      <c r="E11" s="26">
        <f>Anchoveta!F105</f>
        <v>1543</v>
      </c>
      <c r="F11" s="1">
        <f>Anchoveta!G107</f>
        <v>900</v>
      </c>
      <c r="G11" s="1">
        <f t="shared" si="0"/>
        <v>2443</v>
      </c>
      <c r="H11" s="1">
        <f>Anchoveta!I107+Anchoveta!J107</f>
        <v>964.32</v>
      </c>
      <c r="I11" s="1">
        <f t="shared" si="1"/>
        <v>1478.6799999999998</v>
      </c>
      <c r="J11" s="6">
        <f t="shared" si="2"/>
        <v>0.39472779369627509</v>
      </c>
    </row>
    <row r="12" spans="2:10">
      <c r="B12" s="207"/>
      <c r="C12" s="209"/>
      <c r="D12" s="20" t="s">
        <v>44</v>
      </c>
      <c r="E12" s="26">
        <f>Anchoveta!F109+Anchoveta!F110+Anchoveta!F111+Anchoveta!F112+Anchoveta!F113+Anchoveta!F114+Anchoveta!F115+Anchoveta!F116+Anchoveta!F117+Anchoveta!F118+Anchoveta!F119</f>
        <v>9300.9999999999982</v>
      </c>
      <c r="F12" s="1">
        <f>Anchoveta!G121</f>
        <v>3736.3209999999999</v>
      </c>
      <c r="G12" s="1">
        <f t="shared" si="0"/>
        <v>13037.320999999998</v>
      </c>
      <c r="H12" s="1">
        <f>Anchoveta!I121+Anchoveta!J121</f>
        <v>3734.2699999999995</v>
      </c>
      <c r="I12" s="1">
        <f t="shared" si="1"/>
        <v>9303.0509999999995</v>
      </c>
      <c r="J12" s="6">
        <f t="shared" si="2"/>
        <v>0.28642924416757093</v>
      </c>
    </row>
    <row r="13" spans="2:10">
      <c r="B13" s="207"/>
      <c r="C13" s="209"/>
      <c r="D13" s="20" t="s">
        <v>156</v>
      </c>
      <c r="E13" s="26">
        <f>Anchoveta!F123+Anchoveta!F124+Anchoveta!F125+Anchoveta!F126+Anchoveta!F127+Anchoveta!F128+Anchoveta!F129+Anchoveta!F130+Anchoveta!F131+Anchoveta!F132+Anchoveta!F133</f>
        <v>5717.0659999999998</v>
      </c>
      <c r="F13" s="1">
        <f>Anchoveta!G134</f>
        <v>-2424.8879999999999</v>
      </c>
      <c r="G13" s="1">
        <f t="shared" si="0"/>
        <v>3292.1779999999999</v>
      </c>
      <c r="H13" s="1">
        <f>Anchoveta!I134+Anchoveta!J134</f>
        <v>1688.1079999999999</v>
      </c>
      <c r="I13" s="1">
        <f t="shared" si="1"/>
        <v>1604.07</v>
      </c>
      <c r="J13" s="6">
        <f t="shared" si="2"/>
        <v>0.51276328315176156</v>
      </c>
    </row>
    <row r="14" spans="2:10">
      <c r="B14" s="207"/>
      <c r="C14" s="209"/>
      <c r="D14" s="20" t="s">
        <v>164</v>
      </c>
      <c r="E14" s="26">
        <v>150</v>
      </c>
      <c r="F14" s="1"/>
      <c r="G14" s="1">
        <f t="shared" si="0"/>
        <v>150</v>
      </c>
      <c r="H14" s="1"/>
      <c r="I14" s="1">
        <f t="shared" si="1"/>
        <v>150</v>
      </c>
      <c r="J14" s="6">
        <f t="shared" si="2"/>
        <v>0</v>
      </c>
    </row>
    <row r="15" spans="2:10">
      <c r="B15" s="207"/>
      <c r="C15" s="208" t="s">
        <v>165</v>
      </c>
      <c r="D15" s="208"/>
      <c r="E15" s="26">
        <f>'Anchov y SardC LTP'!G23</f>
        <v>35083.000000000007</v>
      </c>
      <c r="F15" s="1">
        <f>SUM('Anchov y SardC LTP'!H7:H22)</f>
        <v>-27410.22</v>
      </c>
      <c r="G15" s="1">
        <f t="shared" si="0"/>
        <v>7672.7800000000061</v>
      </c>
      <c r="H15" s="1">
        <f>'Anchov y SardC LTP'!J51</f>
        <v>51.098999999999997</v>
      </c>
      <c r="I15" s="1">
        <f t="shared" si="1"/>
        <v>7621.681000000006</v>
      </c>
      <c r="J15" s="6">
        <f t="shared" si="2"/>
        <v>6.6597765086448399E-3</v>
      </c>
    </row>
    <row r="16" spans="2:10">
      <c r="B16" s="207"/>
      <c r="C16" s="208" t="s">
        <v>166</v>
      </c>
      <c r="D16" s="208"/>
      <c r="E16" s="26">
        <v>150</v>
      </c>
      <c r="F16" s="1"/>
      <c r="G16" s="1">
        <f t="shared" si="0"/>
        <v>150</v>
      </c>
      <c r="H16" s="1"/>
      <c r="I16" s="1">
        <f t="shared" si="1"/>
        <v>150</v>
      </c>
      <c r="J16" s="6">
        <f t="shared" si="2"/>
        <v>0</v>
      </c>
    </row>
    <row r="17" spans="2:10">
      <c r="B17" s="207"/>
      <c r="C17" s="208" t="s">
        <v>168</v>
      </c>
      <c r="D17" s="208"/>
      <c r="E17" s="26">
        <v>1629</v>
      </c>
      <c r="F17" s="1"/>
      <c r="G17" s="1">
        <f t="shared" si="0"/>
        <v>1629</v>
      </c>
      <c r="H17" s="1">
        <f>'Consumo humano'!F6+'Consumo humano'!F8+'Consumo humano'!F10</f>
        <v>2786.9080000000004</v>
      </c>
      <c r="I17" s="1">
        <f t="shared" si="1"/>
        <v>-1157.9080000000004</v>
      </c>
      <c r="J17" s="6">
        <f t="shared" si="2"/>
        <v>1.7108090853284226</v>
      </c>
    </row>
    <row r="18" spans="2:10">
      <c r="B18" s="207"/>
      <c r="C18" s="208" t="s">
        <v>167</v>
      </c>
      <c r="D18" s="208"/>
      <c r="E18" s="26">
        <v>1629</v>
      </c>
      <c r="F18" s="1"/>
      <c r="G18" s="1">
        <f t="shared" si="0"/>
        <v>1629</v>
      </c>
      <c r="H18" s="1"/>
      <c r="I18" s="1">
        <f t="shared" si="1"/>
        <v>1629</v>
      </c>
      <c r="J18" s="6">
        <f t="shared" si="2"/>
        <v>0</v>
      </c>
    </row>
    <row r="19" spans="2:10">
      <c r="B19" s="207"/>
      <c r="C19" s="208" t="s">
        <v>169</v>
      </c>
      <c r="D19" s="208"/>
      <c r="E19" s="26">
        <f>SUM(E7:E18)</f>
        <v>162863.03400000001</v>
      </c>
      <c r="F19" s="1">
        <f>SUM(F7:F18)</f>
        <v>0</v>
      </c>
      <c r="G19" s="1">
        <f t="shared" si="0"/>
        <v>162863.03400000001</v>
      </c>
      <c r="H19" s="1">
        <f>SUM(H7:H18)</f>
        <v>97304.078000000009</v>
      </c>
      <c r="I19" s="1">
        <f t="shared" si="1"/>
        <v>65558.956000000006</v>
      </c>
      <c r="J19" s="6">
        <f t="shared" si="2"/>
        <v>0.59745956838799896</v>
      </c>
    </row>
    <row r="23" spans="2:10" ht="45">
      <c r="B23" s="12" t="s">
        <v>172</v>
      </c>
      <c r="C23" s="12" t="s">
        <v>173</v>
      </c>
      <c r="D23" s="12" t="s">
        <v>171</v>
      </c>
      <c r="E23" s="23" t="s">
        <v>157</v>
      </c>
      <c r="F23" s="23" t="s">
        <v>158</v>
      </c>
      <c r="G23" s="23" t="s">
        <v>159</v>
      </c>
      <c r="H23" s="23" t="s">
        <v>160</v>
      </c>
      <c r="I23" s="23" t="s">
        <v>161</v>
      </c>
      <c r="J23" s="23" t="s">
        <v>162</v>
      </c>
    </row>
    <row r="24" spans="2:10">
      <c r="B24" s="202" t="s">
        <v>174</v>
      </c>
      <c r="C24" s="203" t="s">
        <v>175</v>
      </c>
      <c r="D24" s="7" t="s">
        <v>39</v>
      </c>
      <c r="E24" s="27">
        <f>SUM('Sardina comun'!F7:F12)</f>
        <v>3478.9990000000003</v>
      </c>
      <c r="F24" s="1">
        <f>'Sardina comun'!G13</f>
        <v>-2539.4540000000002</v>
      </c>
      <c r="G24" s="27">
        <f>E24+F24</f>
        <v>939.54500000000007</v>
      </c>
      <c r="H24" s="1">
        <f>'Sardina comun'!I13+'Sardina comun'!J13</f>
        <v>404.47700000000003</v>
      </c>
      <c r="I24" s="27">
        <f>G24-H24</f>
        <v>535.06799999999998</v>
      </c>
      <c r="J24" s="6">
        <f>H24/G24</f>
        <v>0.43050306265266697</v>
      </c>
    </row>
    <row r="25" spans="2:10">
      <c r="B25" s="202"/>
      <c r="C25" s="203"/>
      <c r="D25" s="7" t="s">
        <v>152</v>
      </c>
      <c r="E25" s="27">
        <f>'Sardina comun'!F15</f>
        <v>82</v>
      </c>
      <c r="F25" s="1">
        <f>'Sardina comun'!G16</f>
        <v>0</v>
      </c>
      <c r="G25" s="27">
        <f t="shared" ref="G25:G36" si="3">E25+F25</f>
        <v>82</v>
      </c>
      <c r="H25" s="1">
        <f>'Sardina comun'!I16+'Sardina comun'!J16</f>
        <v>0</v>
      </c>
      <c r="I25" s="27">
        <f t="shared" ref="I25:I36" si="4">G25-H25</f>
        <v>82</v>
      </c>
      <c r="J25" s="6">
        <f t="shared" ref="J25:J36" si="5">H25/G25</f>
        <v>0</v>
      </c>
    </row>
    <row r="26" spans="2:10">
      <c r="B26" s="202"/>
      <c r="C26" s="203"/>
      <c r="D26" s="7" t="s">
        <v>153</v>
      </c>
      <c r="E26" s="27">
        <f>'Sardina comun'!F18+'Sardina comun'!F19+'Sardina comun'!F20</f>
        <v>1258.001</v>
      </c>
      <c r="F26" s="1">
        <f>'Sardina comun'!G21</f>
        <v>-398.92</v>
      </c>
      <c r="G26" s="27">
        <f t="shared" si="3"/>
        <v>859.0809999999999</v>
      </c>
      <c r="H26" s="1">
        <f>'Sardina comun'!I21+'Sardina comun'!J21</f>
        <v>105.934</v>
      </c>
      <c r="I26" s="27">
        <f t="shared" si="4"/>
        <v>753.14699999999993</v>
      </c>
      <c r="J26" s="6">
        <f t="shared" si="5"/>
        <v>0.12331084030493052</v>
      </c>
    </row>
    <row r="27" spans="2:10">
      <c r="B27" s="202"/>
      <c r="C27" s="203"/>
      <c r="D27" s="7" t="s">
        <v>154</v>
      </c>
      <c r="E27" s="27">
        <f>SUM('Sardina comun'!F23:F101)</f>
        <v>196184.02300000002</v>
      </c>
      <c r="F27" s="1">
        <f>'Sardina comun'!G103</f>
        <v>57516.125</v>
      </c>
      <c r="G27" s="27">
        <f t="shared" si="3"/>
        <v>253700.14800000002</v>
      </c>
      <c r="H27" s="1">
        <f>'Sardina comun'!I103+'Sardina comun'!J103</f>
        <v>130325.26499999996</v>
      </c>
      <c r="I27" s="27">
        <f t="shared" si="4"/>
        <v>123374.88300000006</v>
      </c>
      <c r="J27" s="6">
        <f t="shared" si="5"/>
        <v>0.51369802511900764</v>
      </c>
    </row>
    <row r="28" spans="2:10">
      <c r="B28" s="202"/>
      <c r="C28" s="203"/>
      <c r="D28" s="7" t="s">
        <v>155</v>
      </c>
      <c r="E28" s="27">
        <f>'Sardina comun'!F105</f>
        <v>2904</v>
      </c>
      <c r="F28" s="1">
        <f>'Sardina comun'!G107</f>
        <v>5134</v>
      </c>
      <c r="G28" s="27">
        <f t="shared" si="3"/>
        <v>8038</v>
      </c>
      <c r="H28" s="1">
        <f>'Sardina comun'!I107+'Sardina comun'!J107</f>
        <v>4891.9669999999996</v>
      </c>
      <c r="I28" s="27">
        <f t="shared" si="4"/>
        <v>3146.0330000000004</v>
      </c>
      <c r="J28" s="6">
        <f t="shared" si="5"/>
        <v>0.60860500124409056</v>
      </c>
    </row>
    <row r="29" spans="2:10">
      <c r="B29" s="202"/>
      <c r="C29" s="203"/>
      <c r="D29" s="7" t="s">
        <v>44</v>
      </c>
      <c r="E29" s="27">
        <f>'Sardina comun'!F109+'Sardina comun'!F110+'Sardina comun'!F111+'Sardina comun'!F112+'Sardina comun'!F113+'Sardina comun'!F114+'Sardina comun'!F115+'Sardina comun'!F116+'Sardina comun'!F117+'Sardina comun'!F118+'Sardina comun'!F119</f>
        <v>28107.999000000003</v>
      </c>
      <c r="F29" s="1">
        <f>'Sardina comun'!G121</f>
        <v>7551.2060000000001</v>
      </c>
      <c r="G29" s="27">
        <f t="shared" si="3"/>
        <v>35659.205000000002</v>
      </c>
      <c r="H29" s="1">
        <f>'Sardina comun'!I121+'Sardina comun'!J121</f>
        <v>23074.557000000004</v>
      </c>
      <c r="I29" s="27">
        <f t="shared" si="4"/>
        <v>12584.647999999997</v>
      </c>
      <c r="J29" s="6">
        <f t="shared" si="5"/>
        <v>0.64708557019148361</v>
      </c>
    </row>
    <row r="30" spans="2:10">
      <c r="B30" s="202"/>
      <c r="C30" s="203"/>
      <c r="D30" s="7" t="s">
        <v>156</v>
      </c>
      <c r="E30" s="27">
        <f>'Sardina comun'!F123+'Sardina comun'!F124+'Sardina comun'!F125+'Sardina comun'!F126+'Sardina comun'!F127+'Sardina comun'!F128+'Sardina comun'!F129+'Sardina comun'!F130+'Sardina comun'!F131+'Sardina comun'!F132+'Sardina comun'!F133</f>
        <v>13296.959000000001</v>
      </c>
      <c r="F30" s="1">
        <f>'Sardina comun'!G134</f>
        <v>-10419.267</v>
      </c>
      <c r="G30" s="27">
        <f t="shared" si="3"/>
        <v>2877.6920000000009</v>
      </c>
      <c r="H30" s="1">
        <f>'Sardina comun'!I134+'Sardina comun'!J134</f>
        <v>1255.559</v>
      </c>
      <c r="I30" s="27">
        <f t="shared" si="4"/>
        <v>1622.1330000000009</v>
      </c>
      <c r="J30" s="6">
        <f t="shared" si="5"/>
        <v>0.43630763820450541</v>
      </c>
    </row>
    <row r="31" spans="2:10">
      <c r="B31" s="202"/>
      <c r="C31" s="203"/>
      <c r="D31" s="7" t="s">
        <v>164</v>
      </c>
      <c r="E31" s="1">
        <v>150</v>
      </c>
      <c r="F31" s="1"/>
      <c r="G31" s="27">
        <f t="shared" si="3"/>
        <v>150</v>
      </c>
      <c r="H31" s="1"/>
      <c r="I31" s="27">
        <f t="shared" si="4"/>
        <v>150</v>
      </c>
      <c r="J31" s="6">
        <f t="shared" si="5"/>
        <v>0</v>
      </c>
    </row>
    <row r="32" spans="2:10">
      <c r="B32" s="202"/>
      <c r="C32" s="201" t="s">
        <v>165</v>
      </c>
      <c r="D32" s="201"/>
      <c r="E32" s="27">
        <f>'Anchov y SardC LTP'!G51</f>
        <v>67202.002870199998</v>
      </c>
      <c r="F32" s="1">
        <f>'Anchov y SardC LTP'!H51</f>
        <v>-55455.239000000001</v>
      </c>
      <c r="G32" s="27">
        <f t="shared" si="3"/>
        <v>11746.763870199997</v>
      </c>
      <c r="H32" s="1">
        <f>'Anchov y SardC LTP'!J51</f>
        <v>51.098999999999997</v>
      </c>
      <c r="I32" s="27">
        <f t="shared" si="4"/>
        <v>11695.664870199997</v>
      </c>
      <c r="J32" s="6">
        <f t="shared" si="5"/>
        <v>4.3500491339262789E-3</v>
      </c>
    </row>
    <row r="33" spans="2:10">
      <c r="B33" s="202"/>
      <c r="C33" s="201" t="s">
        <v>166</v>
      </c>
      <c r="D33" s="201"/>
      <c r="E33" s="1">
        <v>180</v>
      </c>
      <c r="F33" s="1"/>
      <c r="G33" s="27">
        <f t="shared" si="3"/>
        <v>180</v>
      </c>
      <c r="H33" s="1"/>
      <c r="I33" s="27">
        <f t="shared" si="4"/>
        <v>180</v>
      </c>
      <c r="J33" s="6">
        <f t="shared" si="5"/>
        <v>0</v>
      </c>
    </row>
    <row r="34" spans="2:10">
      <c r="B34" s="202"/>
      <c r="C34" s="201" t="s">
        <v>168</v>
      </c>
      <c r="D34" s="201"/>
      <c r="E34" s="1">
        <v>3213</v>
      </c>
      <c r="F34" s="1"/>
      <c r="G34" s="27">
        <f t="shared" si="3"/>
        <v>3213</v>
      </c>
      <c r="H34" s="1">
        <f>'Consumo humano'!F9+'Consumo humano'!F11</f>
        <v>743.80400000000009</v>
      </c>
      <c r="I34" s="27">
        <f t="shared" si="4"/>
        <v>2469.1959999999999</v>
      </c>
      <c r="J34" s="6">
        <f t="shared" si="5"/>
        <v>0.23149828820417059</v>
      </c>
    </row>
    <row r="35" spans="2:10">
      <c r="B35" s="202"/>
      <c r="C35" s="201" t="s">
        <v>167</v>
      </c>
      <c r="D35" s="201"/>
      <c r="E35" s="1">
        <v>3213</v>
      </c>
      <c r="F35" s="1">
        <f>-1169-219.451</f>
        <v>-1388.451</v>
      </c>
      <c r="G35" s="27">
        <f t="shared" si="3"/>
        <v>1824.549</v>
      </c>
      <c r="H35" s="1"/>
      <c r="I35" s="27">
        <f t="shared" si="4"/>
        <v>1824.549</v>
      </c>
      <c r="J35" s="6">
        <f t="shared" si="5"/>
        <v>0</v>
      </c>
    </row>
    <row r="36" spans="2:10">
      <c r="B36" s="202"/>
      <c r="C36" s="201" t="s">
        <v>169</v>
      </c>
      <c r="D36" s="201"/>
      <c r="E36" s="27">
        <f>SUM(E24:E35)</f>
        <v>319269.9838702</v>
      </c>
      <c r="F36" s="37">
        <f>SUM(F24:F35)</f>
        <v>-6.3664629124104977E-12</v>
      </c>
      <c r="G36" s="27">
        <f t="shared" si="3"/>
        <v>319269.9838702</v>
      </c>
      <c r="H36" s="1">
        <f>SUM(H24:H35)</f>
        <v>160852.66199999995</v>
      </c>
      <c r="I36" s="27">
        <f t="shared" si="4"/>
        <v>158417.32187020004</v>
      </c>
      <c r="J36" s="6">
        <f t="shared" si="5"/>
        <v>0.50381391964925526</v>
      </c>
    </row>
  </sheetData>
  <mergeCells count="17">
    <mergeCell ref="B2:J2"/>
    <mergeCell ref="B3:J3"/>
    <mergeCell ref="B7:B19"/>
    <mergeCell ref="C19:D19"/>
    <mergeCell ref="C32:D32"/>
    <mergeCell ref="C18:D18"/>
    <mergeCell ref="C17:D17"/>
    <mergeCell ref="C16:D16"/>
    <mergeCell ref="C15:D15"/>
    <mergeCell ref="C7:C14"/>
    <mergeCell ref="B4:J4"/>
    <mergeCell ref="C36:D36"/>
    <mergeCell ref="B24:B36"/>
    <mergeCell ref="C24:C31"/>
    <mergeCell ref="C33:D33"/>
    <mergeCell ref="C34:D34"/>
    <mergeCell ref="C35:D35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2"/>
  <sheetViews>
    <sheetView workbookViewId="0">
      <selection activeCell="I14" sqref="I14"/>
    </sheetView>
  </sheetViews>
  <sheetFormatPr baseColWidth="10" defaultRowHeight="15"/>
  <cols>
    <col min="2" max="2" width="13.5703125" customWidth="1"/>
    <col min="3" max="3" width="16.85546875" customWidth="1"/>
    <col min="4" max="4" width="16.42578125" customWidth="1"/>
    <col min="6" max="6" width="11.42578125" style="11"/>
    <col min="7" max="7" width="15.85546875" customWidth="1"/>
  </cols>
  <sheetData>
    <row r="2" spans="3:10">
      <c r="C2" s="88"/>
      <c r="D2" s="280" t="s">
        <v>294</v>
      </c>
      <c r="E2" s="280"/>
      <c r="F2" s="280"/>
      <c r="G2" s="280"/>
      <c r="H2" s="280"/>
      <c r="I2" s="280"/>
      <c r="J2" s="88"/>
    </row>
    <row r="3" spans="3:10">
      <c r="C3" s="88"/>
      <c r="D3" s="278">
        <f>RESUMEN!B3</f>
        <v>44020</v>
      </c>
      <c r="E3" s="279"/>
      <c r="F3" s="279"/>
      <c r="G3" s="279"/>
      <c r="H3" s="279"/>
      <c r="I3" s="279"/>
      <c r="J3" s="88"/>
    </row>
    <row r="4" spans="3:10">
      <c r="C4" s="89" t="s">
        <v>288</v>
      </c>
      <c r="D4" s="89" t="s">
        <v>289</v>
      </c>
      <c r="E4" s="89" t="s">
        <v>227</v>
      </c>
      <c r="F4" s="89" t="s">
        <v>46</v>
      </c>
      <c r="G4" s="89" t="s">
        <v>216</v>
      </c>
      <c r="H4" s="89" t="s">
        <v>290</v>
      </c>
      <c r="I4" s="89" t="s">
        <v>160</v>
      </c>
      <c r="J4" s="89" t="s">
        <v>161</v>
      </c>
    </row>
    <row r="5" spans="3:10">
      <c r="C5" s="38">
        <v>34</v>
      </c>
      <c r="D5" s="38" t="s">
        <v>295</v>
      </c>
      <c r="E5" s="38">
        <v>923223</v>
      </c>
      <c r="F5" s="38" t="s">
        <v>277</v>
      </c>
      <c r="G5" s="38" t="s">
        <v>217</v>
      </c>
      <c r="H5" s="281">
        <v>15</v>
      </c>
      <c r="I5" s="145">
        <v>9.8000000000000004E-2</v>
      </c>
      <c r="J5" s="255">
        <f>H5-(I5+I6+I7+I8)</f>
        <v>14.753</v>
      </c>
    </row>
    <row r="6" spans="3:10">
      <c r="C6" s="38">
        <v>34</v>
      </c>
      <c r="D6" s="38" t="s">
        <v>296</v>
      </c>
      <c r="E6" s="38">
        <v>956898</v>
      </c>
      <c r="F6" s="38" t="s">
        <v>281</v>
      </c>
      <c r="G6" s="38" t="s">
        <v>217</v>
      </c>
      <c r="H6" s="281"/>
      <c r="I6" s="145">
        <v>8.2000000000000003E-2</v>
      </c>
      <c r="J6" s="282"/>
    </row>
    <row r="7" spans="3:10">
      <c r="C7" s="38">
        <v>34</v>
      </c>
      <c r="D7" s="38" t="s">
        <v>297</v>
      </c>
      <c r="E7" s="38">
        <v>954552</v>
      </c>
      <c r="F7" s="38" t="s">
        <v>299</v>
      </c>
      <c r="G7" s="38" t="s">
        <v>217</v>
      </c>
      <c r="H7" s="281"/>
      <c r="I7" s="145">
        <v>5.1999999999999998E-2</v>
      </c>
      <c r="J7" s="282"/>
    </row>
    <row r="8" spans="3:10">
      <c r="C8" s="38">
        <v>34</v>
      </c>
      <c r="D8" s="38" t="s">
        <v>298</v>
      </c>
      <c r="E8" s="38">
        <v>956044</v>
      </c>
      <c r="F8" s="38" t="s">
        <v>277</v>
      </c>
      <c r="G8" s="38" t="s">
        <v>217</v>
      </c>
      <c r="H8" s="281"/>
      <c r="I8" s="145">
        <v>1.4999999999999999E-2</v>
      </c>
      <c r="J8" s="256"/>
    </row>
    <row r="9" spans="3:10">
      <c r="C9" s="38">
        <v>34</v>
      </c>
      <c r="D9" s="38" t="s">
        <v>295</v>
      </c>
      <c r="E9" s="38">
        <v>923223</v>
      </c>
      <c r="F9" s="38" t="s">
        <v>277</v>
      </c>
      <c r="G9" s="38" t="s">
        <v>300</v>
      </c>
      <c r="H9" s="281">
        <v>15</v>
      </c>
      <c r="I9" s="145">
        <v>0.05</v>
      </c>
      <c r="J9" s="255">
        <f>H9-(I9+I10+I11+I12)</f>
        <v>14.891</v>
      </c>
    </row>
    <row r="10" spans="3:10">
      <c r="C10" s="38">
        <v>34</v>
      </c>
      <c r="D10" s="38" t="s">
        <v>296</v>
      </c>
      <c r="E10" s="38">
        <v>956898</v>
      </c>
      <c r="F10" s="38" t="s">
        <v>281</v>
      </c>
      <c r="G10" s="38" t="s">
        <v>300</v>
      </c>
      <c r="H10" s="281"/>
      <c r="I10" s="145">
        <v>1.2999999999999999E-2</v>
      </c>
      <c r="J10" s="282"/>
    </row>
    <row r="11" spans="3:10">
      <c r="C11" s="38">
        <v>34</v>
      </c>
      <c r="D11" s="38" t="s">
        <v>297</v>
      </c>
      <c r="E11" s="38">
        <v>954552</v>
      </c>
      <c r="F11" s="38" t="s">
        <v>299</v>
      </c>
      <c r="G11" s="38" t="s">
        <v>300</v>
      </c>
      <c r="H11" s="281"/>
      <c r="I11" s="145">
        <v>8.9999999999999993E-3</v>
      </c>
      <c r="J11" s="282"/>
    </row>
    <row r="12" spans="3:10">
      <c r="C12" s="38">
        <v>34</v>
      </c>
      <c r="D12" s="38" t="s">
        <v>298</v>
      </c>
      <c r="E12" s="38">
        <v>956044</v>
      </c>
      <c r="F12" s="38" t="s">
        <v>277</v>
      </c>
      <c r="G12" s="38" t="s">
        <v>300</v>
      </c>
      <c r="H12" s="281"/>
      <c r="I12" s="145">
        <v>3.6999999999999998E-2</v>
      </c>
      <c r="J12" s="256"/>
    </row>
  </sheetData>
  <mergeCells count="6">
    <mergeCell ref="D3:I3"/>
    <mergeCell ref="D2:I2"/>
    <mergeCell ref="H5:H8"/>
    <mergeCell ref="H9:H12"/>
    <mergeCell ref="J5:J8"/>
    <mergeCell ref="J9:J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workbookViewId="0">
      <selection activeCell="N43" sqref="N43"/>
    </sheetView>
  </sheetViews>
  <sheetFormatPr baseColWidth="10" defaultRowHeight="15"/>
  <cols>
    <col min="1" max="1" width="17.7109375" customWidth="1"/>
    <col min="2" max="2" width="16.28515625" customWidth="1"/>
    <col min="4" max="4" width="19.42578125" customWidth="1"/>
    <col min="5" max="5" width="40.28515625" customWidth="1"/>
    <col min="6" max="6" width="17.7109375" customWidth="1"/>
    <col min="9" max="10" width="13.42578125" customWidth="1"/>
    <col min="11" max="11" width="12.5703125" customWidth="1"/>
    <col min="14" max="14" width="13.85546875" customWidth="1"/>
    <col min="15" max="15" width="12.5703125" customWidth="1"/>
  </cols>
  <sheetData>
    <row r="1" spans="1:17">
      <c r="A1" s="87" t="s">
        <v>242</v>
      </c>
      <c r="B1" s="87" t="s">
        <v>216</v>
      </c>
      <c r="C1" s="87" t="s">
        <v>243</v>
      </c>
      <c r="D1" s="87" t="s">
        <v>244</v>
      </c>
      <c r="E1" s="87" t="s">
        <v>245</v>
      </c>
      <c r="F1" s="87" t="s">
        <v>246</v>
      </c>
      <c r="G1" s="87" t="s">
        <v>247</v>
      </c>
      <c r="H1" s="87" t="s">
        <v>248</v>
      </c>
      <c r="I1" s="87" t="s">
        <v>249</v>
      </c>
      <c r="J1" s="87" t="s">
        <v>250</v>
      </c>
      <c r="K1" s="87" t="s">
        <v>160</v>
      </c>
      <c r="L1" s="87" t="s">
        <v>161</v>
      </c>
      <c r="M1" s="87" t="s">
        <v>251</v>
      </c>
      <c r="N1" s="87" t="s">
        <v>37</v>
      </c>
      <c r="O1" s="87" t="s">
        <v>252</v>
      </c>
      <c r="P1" s="87" t="s">
        <v>253</v>
      </c>
      <c r="Q1" s="87" t="s">
        <v>254</v>
      </c>
    </row>
    <row r="2" spans="1:17">
      <c r="A2" t="s">
        <v>255</v>
      </c>
      <c r="B2" t="s">
        <v>217</v>
      </c>
      <c r="C2" t="s">
        <v>257</v>
      </c>
      <c r="D2" t="s">
        <v>258</v>
      </c>
      <c r="E2" t="str">
        <f>'Anchov y SardC LTP'!D7</f>
        <v>ALIMENTOS MARINOS S.A.</v>
      </c>
      <c r="F2" t="s">
        <v>259</v>
      </c>
      <c r="G2" t="s">
        <v>260</v>
      </c>
      <c r="H2">
        <f>'Anchov y SardC LTP'!G7</f>
        <v>7408.1929377000006</v>
      </c>
      <c r="I2" s="11">
        <f>'Anchov y SardC LTP'!H7</f>
        <v>-6945</v>
      </c>
      <c r="J2" s="11">
        <f>'Anchov y SardC LTP'!I7</f>
        <v>463.19293770000058</v>
      </c>
      <c r="K2">
        <f>'Anchov y SardC LTP'!J7</f>
        <v>0</v>
      </c>
      <c r="L2">
        <f>'Anchov y SardC LTP'!K7</f>
        <v>463.19293770000058</v>
      </c>
      <c r="M2" s="42">
        <f>'Anchov y SardC LTP'!L7</f>
        <v>0</v>
      </c>
      <c r="N2" s="53" t="s">
        <v>282</v>
      </c>
      <c r="O2" s="34">
        <f>RESUMEN!$B$3</f>
        <v>44020</v>
      </c>
      <c r="P2">
        <v>2020</v>
      </c>
    </row>
    <row r="3" spans="1:17">
      <c r="A3" s="11" t="s">
        <v>255</v>
      </c>
      <c r="B3" s="11" t="s">
        <v>217</v>
      </c>
      <c r="C3" s="11" t="s">
        <v>257</v>
      </c>
      <c r="D3" s="11" t="s">
        <v>258</v>
      </c>
      <c r="E3" s="11" t="str">
        <f>'Anchov y SardC LTP'!D8</f>
        <v>BLUMAR S.A.</v>
      </c>
      <c r="F3" t="s">
        <v>259</v>
      </c>
      <c r="G3" t="s">
        <v>260</v>
      </c>
      <c r="H3" s="11">
        <f>'Anchov y SardC LTP'!G8</f>
        <v>7836.2932451999995</v>
      </c>
      <c r="I3" s="11">
        <f>'Anchov y SardC LTP'!H8</f>
        <v>-5876</v>
      </c>
      <c r="J3" s="11">
        <f>'Anchov y SardC LTP'!I8</f>
        <v>1960.2932451999995</v>
      </c>
      <c r="K3" s="11">
        <f>'Anchov y SardC LTP'!J8</f>
        <v>0</v>
      </c>
      <c r="L3" s="11">
        <f>'Anchov y SardC LTP'!K8</f>
        <v>1960.2932451999995</v>
      </c>
      <c r="M3" s="42">
        <f>'Anchov y SardC LTP'!L8</f>
        <v>0</v>
      </c>
      <c r="N3" s="53" t="s">
        <v>282</v>
      </c>
      <c r="O3" s="34">
        <f>RESUMEN!$B$3</f>
        <v>44020</v>
      </c>
      <c r="P3">
        <v>2020</v>
      </c>
    </row>
    <row r="4" spans="1:17">
      <c r="A4" s="11" t="s">
        <v>255</v>
      </c>
      <c r="B4" s="11" t="s">
        <v>217</v>
      </c>
      <c r="C4" s="11" t="s">
        <v>257</v>
      </c>
      <c r="D4" s="11" t="s">
        <v>258</v>
      </c>
      <c r="E4" s="11" t="str">
        <f>'Anchov y SardC LTP'!D9</f>
        <v>CAMANCHACA PESCA SUR S.A.</v>
      </c>
      <c r="F4" s="11" t="s">
        <v>259</v>
      </c>
      <c r="G4" s="11" t="s">
        <v>260</v>
      </c>
      <c r="H4" s="11">
        <f>'Anchov y SardC LTP'!G9</f>
        <v>5159.6427767999994</v>
      </c>
      <c r="I4" s="11">
        <f>'Anchov y SardC LTP'!H9</f>
        <v>-4057</v>
      </c>
      <c r="J4" s="11">
        <f>'Anchov y SardC LTP'!I9</f>
        <v>1102.6427767999994</v>
      </c>
      <c r="K4" s="11">
        <f>'Anchov y SardC LTP'!J9</f>
        <v>0</v>
      </c>
      <c r="L4" s="11">
        <f>'Anchov y SardC LTP'!K9</f>
        <v>1102.6427767999994</v>
      </c>
      <c r="M4" s="42">
        <f>'Anchov y SardC LTP'!L9</f>
        <v>0</v>
      </c>
      <c r="N4" s="53" t="s">
        <v>282</v>
      </c>
      <c r="O4" s="34">
        <f>RESUMEN!$B$3</f>
        <v>44020</v>
      </c>
      <c r="P4" s="11">
        <v>2020</v>
      </c>
    </row>
    <row r="5" spans="1:17">
      <c r="A5" s="11" t="s">
        <v>255</v>
      </c>
      <c r="B5" s="11" t="s">
        <v>217</v>
      </c>
      <c r="C5" s="11" t="s">
        <v>257</v>
      </c>
      <c r="D5" s="11" t="s">
        <v>258</v>
      </c>
      <c r="E5" s="11" t="str">
        <f>'Anchov y SardC LTP'!D10</f>
        <v>CAMANCHACA S.A.CIA PESQ.</v>
      </c>
      <c r="F5" s="11" t="s">
        <v>259</v>
      </c>
      <c r="G5" s="11" t="s">
        <v>260</v>
      </c>
      <c r="H5" s="11">
        <f>'Anchov y SardC LTP'!G10</f>
        <v>258.63187599999998</v>
      </c>
      <c r="I5" s="11">
        <f>'Anchov y SardC LTP'!H10</f>
        <v>0</v>
      </c>
      <c r="J5" s="11">
        <f>'Anchov y SardC LTP'!I10</f>
        <v>258.63187599999998</v>
      </c>
      <c r="K5" s="11">
        <f>'Anchov y SardC LTP'!J10</f>
        <v>0</v>
      </c>
      <c r="L5" s="11">
        <f>'Anchov y SardC LTP'!K10</f>
        <v>258.63187599999998</v>
      </c>
      <c r="M5" s="42">
        <f>'Anchov y SardC LTP'!L10</f>
        <v>0</v>
      </c>
      <c r="N5" s="53" t="s">
        <v>282</v>
      </c>
      <c r="O5" s="34">
        <f>RESUMEN!$B$3</f>
        <v>44020</v>
      </c>
      <c r="P5" s="11">
        <v>2020</v>
      </c>
    </row>
    <row r="6" spans="1:17" s="11" customFormat="1">
      <c r="A6" s="11" t="s">
        <v>255</v>
      </c>
      <c r="B6" s="11" t="s">
        <v>217</v>
      </c>
      <c r="C6" s="11" t="s">
        <v>257</v>
      </c>
      <c r="D6" s="11" t="s">
        <v>258</v>
      </c>
      <c r="E6" s="11" t="str">
        <f>'Anchov y SardC LTP'!D11</f>
        <v>CRISTIAN SILVA LORCA</v>
      </c>
      <c r="F6" s="11" t="s">
        <v>259</v>
      </c>
      <c r="G6" s="11" t="s">
        <v>260</v>
      </c>
      <c r="H6" s="11">
        <f>'Anchov y SardC LTP'!G11</f>
        <v>701.65999999999985</v>
      </c>
      <c r="I6" s="11">
        <f>'Anchov y SardC LTP'!H11</f>
        <v>-701.66099999999994</v>
      </c>
      <c r="J6" s="11">
        <f>'Anchov y SardC LTP'!I11</f>
        <v>-1.00000000009004E-3</v>
      </c>
      <c r="K6" s="11">
        <f>'Anchov y SardC LTP'!J11</f>
        <v>0</v>
      </c>
      <c r="L6" s="11">
        <f>'Anchov y SardC LTP'!K11</f>
        <v>-1.00000000009004E-3</v>
      </c>
      <c r="M6" s="42">
        <f>'Anchov y SardC LTP'!L11</f>
        <v>1</v>
      </c>
      <c r="N6" s="53" t="s">
        <v>282</v>
      </c>
      <c r="O6" s="34">
        <f>RESUMEN!$B$3</f>
        <v>44020</v>
      </c>
      <c r="P6" s="11">
        <v>2020</v>
      </c>
    </row>
    <row r="7" spans="1:17" s="11" customFormat="1">
      <c r="A7" s="11" t="s">
        <v>255</v>
      </c>
      <c r="B7" s="11" t="s">
        <v>217</v>
      </c>
      <c r="C7" s="11" t="s">
        <v>257</v>
      </c>
      <c r="D7" s="11" t="s">
        <v>258</v>
      </c>
      <c r="E7" s="11" t="str">
        <f>'Anchov y SardC LTP'!D12</f>
        <v>CRISTIAN SILVA TUDELA</v>
      </c>
      <c r="F7" s="11" t="s">
        <v>259</v>
      </c>
      <c r="G7" s="11" t="s">
        <v>260</v>
      </c>
      <c r="H7" s="11">
        <f>'Anchov y SardC LTP'!G12</f>
        <v>701.66</v>
      </c>
      <c r="I7" s="11">
        <f>'Anchov y SardC LTP'!H12</f>
        <v>-701.66</v>
      </c>
      <c r="J7" s="11">
        <f>'Anchov y SardC LTP'!I12</f>
        <v>0</v>
      </c>
      <c r="K7" s="11">
        <f>'Anchov y SardC LTP'!J12</f>
        <v>0</v>
      </c>
      <c r="L7" s="11">
        <f>'Anchov y SardC LTP'!K12</f>
        <v>0</v>
      </c>
      <c r="M7" s="42">
        <f>'Anchov y SardC LTP'!L12</f>
        <v>1</v>
      </c>
      <c r="N7" s="53" t="s">
        <v>282</v>
      </c>
      <c r="O7" s="34">
        <f>RESUMEN!$B$3</f>
        <v>44020</v>
      </c>
      <c r="P7" s="11">
        <v>2020</v>
      </c>
    </row>
    <row r="8" spans="1:17" s="11" customFormat="1">
      <c r="A8" s="11" t="s">
        <v>255</v>
      </c>
      <c r="B8" s="11" t="s">
        <v>217</v>
      </c>
      <c r="C8" s="11" t="s">
        <v>257</v>
      </c>
      <c r="D8" s="11" t="s">
        <v>258</v>
      </c>
      <c r="E8" s="11" t="str">
        <f>'Anchov y SardC LTP'!D13</f>
        <v>GABRIELA MONSALVE CISTERNAS</v>
      </c>
      <c r="F8" s="11" t="s">
        <v>259</v>
      </c>
      <c r="G8" s="11" t="s">
        <v>260</v>
      </c>
      <c r="H8" s="11">
        <f>'Anchov y SardC LTP'!G13</f>
        <v>350.83000000000004</v>
      </c>
      <c r="I8" s="11">
        <f>'Anchov y SardC LTP'!H13</f>
        <v>-350.83</v>
      </c>
      <c r="J8" s="11">
        <f>'Anchov y SardC LTP'!I13</f>
        <v>0</v>
      </c>
      <c r="K8" s="11">
        <f>'Anchov y SardC LTP'!J13</f>
        <v>0</v>
      </c>
      <c r="L8" s="11">
        <f>'Anchov y SardC LTP'!K13</f>
        <v>0</v>
      </c>
      <c r="M8" s="42">
        <f>'Anchov y SardC LTP'!L13</f>
        <v>1</v>
      </c>
      <c r="N8" s="53" t="s">
        <v>282</v>
      </c>
      <c r="O8" s="34">
        <f>RESUMEN!$B$3</f>
        <v>44020</v>
      </c>
      <c r="P8" s="11">
        <v>2020</v>
      </c>
    </row>
    <row r="9" spans="1:17">
      <c r="A9" s="11" t="s">
        <v>255</v>
      </c>
      <c r="B9" s="11" t="s">
        <v>217</v>
      </c>
      <c r="C9" s="11" t="s">
        <v>257</v>
      </c>
      <c r="D9" s="11" t="s">
        <v>258</v>
      </c>
      <c r="E9" s="11" t="str">
        <f>'Anchov y SardC LTP'!D14</f>
        <v>NOVAMAR SpA</v>
      </c>
      <c r="F9" s="11" t="s">
        <v>259</v>
      </c>
      <c r="G9" s="11" t="s">
        <v>260</v>
      </c>
      <c r="H9" s="11">
        <f>'Anchov y SardC LTP'!G14</f>
        <v>488.59392439999999</v>
      </c>
      <c r="I9" s="11">
        <f>'Anchov y SardC LTP'!H14</f>
        <v>-353.637</v>
      </c>
      <c r="J9" s="11">
        <f>'Anchov y SardC LTP'!I14</f>
        <v>134.95692439999999</v>
      </c>
      <c r="K9" s="11">
        <f>'Anchov y SardC LTP'!J14</f>
        <v>0</v>
      </c>
      <c r="L9" s="11">
        <f>'Anchov y SardC LTP'!K14</f>
        <v>134.95692439999999</v>
      </c>
      <c r="M9" s="42">
        <f>'Anchov y SardC LTP'!L14</f>
        <v>0</v>
      </c>
      <c r="N9" s="53" t="s">
        <v>282</v>
      </c>
      <c r="O9" s="34">
        <f>RESUMEN!$B$3</f>
        <v>44020</v>
      </c>
      <c r="P9" s="11">
        <v>2020</v>
      </c>
    </row>
    <row r="10" spans="1:17">
      <c r="A10" s="11" t="s">
        <v>255</v>
      </c>
      <c r="B10" s="11" t="s">
        <v>217</v>
      </c>
      <c r="C10" s="11" t="s">
        <v>257</v>
      </c>
      <c r="D10" s="11" t="s">
        <v>258</v>
      </c>
      <c r="E10" s="11" t="str">
        <f>'Anchov y SardC LTP'!D15</f>
        <v>LITORAL SpA PESQ.</v>
      </c>
      <c r="F10" s="11" t="s">
        <v>259</v>
      </c>
      <c r="G10" s="11" t="s">
        <v>260</v>
      </c>
      <c r="H10" s="11">
        <f>'Anchov y SardC LTP'!G15</f>
        <v>872.2440709</v>
      </c>
      <c r="I10" s="11">
        <f>'Anchov y SardC LTP'!H15</f>
        <v>-182.43199999999999</v>
      </c>
      <c r="J10" s="11">
        <f>'Anchov y SardC LTP'!I15</f>
        <v>689.81207089999998</v>
      </c>
      <c r="K10" s="11">
        <f>'Anchov y SardC LTP'!J15</f>
        <v>0</v>
      </c>
      <c r="L10" s="11">
        <f>'Anchov y SardC LTP'!K15</f>
        <v>689.81207089999998</v>
      </c>
      <c r="M10" s="42">
        <f>'Anchov y SardC LTP'!L15</f>
        <v>0</v>
      </c>
      <c r="N10" s="53" t="s">
        <v>282</v>
      </c>
      <c r="O10" s="34">
        <f>RESUMEN!$B$3</f>
        <v>44020</v>
      </c>
      <c r="P10" s="11">
        <v>2020</v>
      </c>
    </row>
    <row r="11" spans="1:17">
      <c r="A11" s="11" t="s">
        <v>255</v>
      </c>
      <c r="B11" s="11" t="s">
        <v>217</v>
      </c>
      <c r="C11" s="11" t="s">
        <v>257</v>
      </c>
      <c r="D11" s="11" t="s">
        <v>258</v>
      </c>
      <c r="E11" s="11" t="str">
        <f>'Anchov y SardC LTP'!D16</f>
        <v>FOODCORP CHILE S.A.</v>
      </c>
      <c r="F11" s="11" t="s">
        <v>259</v>
      </c>
      <c r="G11" s="11" t="s">
        <v>260</v>
      </c>
      <c r="H11" s="11">
        <f>'Anchov y SardC LTP'!G16</f>
        <v>1074.1958520999999</v>
      </c>
      <c r="I11" s="11">
        <f>'Anchov y SardC LTP'!H16</f>
        <v>-1066</v>
      </c>
      <c r="J11" s="11">
        <f>'Anchov y SardC LTP'!I16</f>
        <v>8.1958520999999109</v>
      </c>
      <c r="K11" s="11">
        <f>'Anchov y SardC LTP'!J16</f>
        <v>0</v>
      </c>
      <c r="L11" s="11">
        <f>'Anchov y SardC LTP'!K16</f>
        <v>8.1958520999999109</v>
      </c>
      <c r="M11" s="42">
        <f>'Anchov y SardC LTP'!L16</f>
        <v>0</v>
      </c>
      <c r="N11" s="53" t="s">
        <v>282</v>
      </c>
      <c r="O11" s="34">
        <f>RESUMEN!$B$3</f>
        <v>44020</v>
      </c>
      <c r="P11" s="11">
        <v>2020</v>
      </c>
    </row>
    <row r="12" spans="1:17">
      <c r="A12" s="11" t="s">
        <v>255</v>
      </c>
      <c r="B12" s="11" t="s">
        <v>217</v>
      </c>
      <c r="C12" s="11" t="s">
        <v>257</v>
      </c>
      <c r="D12" s="11" t="s">
        <v>258</v>
      </c>
      <c r="E12" s="11" t="str">
        <f>'Anchov y SardC LTP'!D17</f>
        <v>ISLA QUIHUA S.A. PESQ</v>
      </c>
      <c r="F12" s="11" t="s">
        <v>259</v>
      </c>
      <c r="G12" s="11" t="s">
        <v>260</v>
      </c>
      <c r="H12" s="11">
        <f>'Anchov y SardC LTP'!G17</f>
        <v>0.5332616</v>
      </c>
      <c r="I12" s="11">
        <f>'Anchov y SardC LTP'!H17</f>
        <v>0</v>
      </c>
      <c r="J12" s="11">
        <f>'Anchov y SardC LTP'!I17</f>
        <v>0.5332616</v>
      </c>
      <c r="K12" s="11">
        <f>'Anchov y SardC LTP'!J17</f>
        <v>0</v>
      </c>
      <c r="L12" s="11">
        <f>'Anchov y SardC LTP'!K17</f>
        <v>0.5332616</v>
      </c>
      <c r="M12" s="42">
        <f>'Anchov y SardC LTP'!L17</f>
        <v>0</v>
      </c>
      <c r="N12" s="53" t="s">
        <v>282</v>
      </c>
      <c r="O12" s="34">
        <f>RESUMEN!$B$3</f>
        <v>44020</v>
      </c>
      <c r="P12" s="11">
        <v>2020</v>
      </c>
    </row>
    <row r="13" spans="1:17">
      <c r="A13" s="11" t="s">
        <v>255</v>
      </c>
      <c r="B13" s="11" t="s">
        <v>217</v>
      </c>
      <c r="C13" s="11" t="s">
        <v>257</v>
      </c>
      <c r="D13" s="11" t="s">
        <v>258</v>
      </c>
      <c r="E13" s="11" t="str">
        <f>'Anchov y SardC LTP'!D18</f>
        <v>LANDES S.A. SOC PESQ.</v>
      </c>
      <c r="F13" s="11" t="s">
        <v>259</v>
      </c>
      <c r="G13" s="11" t="s">
        <v>260</v>
      </c>
      <c r="H13" s="11">
        <f>'Anchov y SardC LTP'!G18</f>
        <v>2333.7351931999997</v>
      </c>
      <c r="I13" s="11">
        <f>'Anchov y SardC LTP'!H18</f>
        <v>-2311</v>
      </c>
      <c r="J13" s="11">
        <f>'Anchov y SardC LTP'!I18</f>
        <v>22.735193199999685</v>
      </c>
      <c r="K13" s="11">
        <f>'Anchov y SardC LTP'!J18</f>
        <v>0</v>
      </c>
      <c r="L13" s="11">
        <f>'Anchov y SardC LTP'!K18</f>
        <v>22.735193199999685</v>
      </c>
      <c r="M13" s="42">
        <f>'Anchov y SardC LTP'!L18</f>
        <v>0</v>
      </c>
      <c r="N13" s="53" t="s">
        <v>282</v>
      </c>
      <c r="O13" s="34">
        <f>RESUMEN!$B$3</f>
        <v>44020</v>
      </c>
      <c r="P13" s="11">
        <v>2020</v>
      </c>
    </row>
    <row r="14" spans="1:17">
      <c r="A14" s="11" t="s">
        <v>255</v>
      </c>
      <c r="B14" s="11" t="s">
        <v>217</v>
      </c>
      <c r="C14" s="11" t="s">
        <v>257</v>
      </c>
      <c r="D14" s="11" t="s">
        <v>258</v>
      </c>
      <c r="E14" s="11" t="str">
        <f>'Anchov y SardC LTP'!D19</f>
        <v>LOTA PROTEIN S.A.</v>
      </c>
      <c r="F14" s="11" t="s">
        <v>259</v>
      </c>
      <c r="G14" s="11" t="s">
        <v>260</v>
      </c>
      <c r="H14" s="11">
        <f>'Anchov y SardC LTP'!G19</f>
        <v>543.52337749999992</v>
      </c>
      <c r="I14" s="11">
        <f>'Anchov y SardC LTP'!H19</f>
        <v>-450</v>
      </c>
      <c r="J14" s="11">
        <f>'Anchov y SardC LTP'!I19</f>
        <v>93.523377499999924</v>
      </c>
      <c r="K14" s="11">
        <f>'Anchov y SardC LTP'!J19</f>
        <v>0</v>
      </c>
      <c r="L14" s="11">
        <f>'Anchov y SardC LTP'!K19</f>
        <v>93.523377499999924</v>
      </c>
      <c r="M14" s="42">
        <f>'Anchov y SardC LTP'!L19</f>
        <v>0</v>
      </c>
      <c r="N14" s="53" t="s">
        <v>282</v>
      </c>
      <c r="O14" s="34">
        <f>RESUMEN!$B$3</f>
        <v>44020</v>
      </c>
      <c r="P14" s="11">
        <v>2020</v>
      </c>
    </row>
    <row r="15" spans="1:17">
      <c r="A15" s="11" t="s">
        <v>255</v>
      </c>
      <c r="B15" s="11" t="s">
        <v>217</v>
      </c>
      <c r="C15" s="11" t="s">
        <v>257</v>
      </c>
      <c r="D15" s="11" t="s">
        <v>258</v>
      </c>
      <c r="E15" s="11" t="str">
        <f>'Anchov y SardC LTP'!D20</f>
        <v>ORIZON S.A.</v>
      </c>
      <c r="F15" s="11" t="s">
        <v>259</v>
      </c>
      <c r="G15" s="11" t="s">
        <v>260</v>
      </c>
      <c r="H15" s="11">
        <f>'Anchov y SardC LTP'!G20</f>
        <v>7099.2625646000006</v>
      </c>
      <c r="I15" s="11">
        <f>'Anchov y SardC LTP'!H20</f>
        <v>-4164</v>
      </c>
      <c r="J15" s="11">
        <f>'Anchov y SardC LTP'!I20</f>
        <v>2935.2625646000006</v>
      </c>
      <c r="K15" s="11">
        <f>'Anchov y SardC LTP'!J20</f>
        <v>5.0410000000000004</v>
      </c>
      <c r="L15" s="11">
        <f>'Anchov y SardC LTP'!K20</f>
        <v>2930.2215646000004</v>
      </c>
      <c r="M15" s="42">
        <f>'Anchov y SardC LTP'!L20</f>
        <v>1.7173932106775451E-3</v>
      </c>
      <c r="N15" s="53" t="s">
        <v>282</v>
      </c>
      <c r="O15" s="34">
        <f>RESUMEN!$B$3</f>
        <v>44020</v>
      </c>
      <c r="P15" s="11">
        <v>2020</v>
      </c>
    </row>
    <row r="16" spans="1:17">
      <c r="A16" s="11" t="s">
        <v>255</v>
      </c>
      <c r="B16" s="11" t="s">
        <v>217</v>
      </c>
      <c r="C16" s="11" t="s">
        <v>257</v>
      </c>
      <c r="D16" s="11" t="s">
        <v>258</v>
      </c>
      <c r="E16" s="11" t="str">
        <f>'Anchov y SardC LTP'!D21</f>
        <v>SAN LAZARO LTDA.COM. Y CONS</v>
      </c>
      <c r="F16" s="11" t="s">
        <v>259</v>
      </c>
      <c r="G16" s="11" t="s">
        <v>260</v>
      </c>
      <c r="H16" s="11">
        <f>'Anchov y SardC LTP'!G21</f>
        <v>2.9995965</v>
      </c>
      <c r="I16" s="11">
        <f>'Anchov y SardC LTP'!H21</f>
        <v>0</v>
      </c>
      <c r="J16" s="11">
        <f>'Anchov y SardC LTP'!I21</f>
        <v>2.9995965</v>
      </c>
      <c r="K16" s="11">
        <f>'Anchov y SardC LTP'!J21</f>
        <v>0</v>
      </c>
      <c r="L16" s="11">
        <f>'Anchov y SardC LTP'!K21</f>
        <v>2.9995965</v>
      </c>
      <c r="M16" s="42">
        <f>'Anchov y SardC LTP'!L21</f>
        <v>0</v>
      </c>
      <c r="N16" s="53" t="s">
        <v>282</v>
      </c>
      <c r="O16" s="34">
        <f>RESUMEN!$B$3</f>
        <v>44020</v>
      </c>
      <c r="P16" s="11">
        <v>2020</v>
      </c>
    </row>
    <row r="17" spans="1:16">
      <c r="A17" s="11" t="s">
        <v>255</v>
      </c>
      <c r="B17" s="11" t="s">
        <v>217</v>
      </c>
      <c r="C17" s="11" t="s">
        <v>257</v>
      </c>
      <c r="D17" s="11" t="s">
        <v>258</v>
      </c>
      <c r="E17" s="11" t="str">
        <f>'Anchov y SardC LTP'!D22</f>
        <v>INVERSIONES PESQUERA PEDRO IRIGOYEN LIMITADA</v>
      </c>
      <c r="F17" s="11" t="s">
        <v>259</v>
      </c>
      <c r="G17" s="11" t="s">
        <v>260</v>
      </c>
      <c r="H17" s="11">
        <f>'Anchov y SardC LTP'!G22</f>
        <v>251.00132350000001</v>
      </c>
      <c r="I17" s="11">
        <f>'Anchov y SardC LTP'!H22</f>
        <v>-251</v>
      </c>
      <c r="J17" s="11">
        <f>'Anchov y SardC LTP'!I22</f>
        <v>1.3235000000122454E-3</v>
      </c>
      <c r="K17" s="11">
        <f>'Anchov y SardC LTP'!J22</f>
        <v>0</v>
      </c>
      <c r="L17" s="11">
        <f>'Anchov y SardC LTP'!K22</f>
        <v>1.3235000000122454E-3</v>
      </c>
      <c r="M17" s="42">
        <f>'Anchov y SardC LTP'!L22</f>
        <v>1</v>
      </c>
      <c r="N17" s="53" t="s">
        <v>282</v>
      </c>
      <c r="O17" s="34">
        <f>RESUMEN!$B$3</f>
        <v>44020</v>
      </c>
      <c r="P17" s="11">
        <v>2020</v>
      </c>
    </row>
    <row r="18" spans="1:16">
      <c r="A18" s="43" t="s">
        <v>255</v>
      </c>
      <c r="B18" s="43" t="s">
        <v>217</v>
      </c>
      <c r="C18" s="43" t="s">
        <v>257</v>
      </c>
      <c r="D18" s="43" t="s">
        <v>258</v>
      </c>
      <c r="E18" s="43" t="str">
        <f>'Anchov y SardC LTP'!D23</f>
        <v>TOTAL ASIGNATARIOS LTP</v>
      </c>
      <c r="F18" s="43" t="s">
        <v>259</v>
      </c>
      <c r="G18" s="43" t="s">
        <v>260</v>
      </c>
      <c r="H18" s="43">
        <f>'Anchov y SardC LTP'!G23</f>
        <v>35083.000000000007</v>
      </c>
      <c r="I18" s="43">
        <f>'Anchov y SardC LTP'!H23</f>
        <v>-27410.22</v>
      </c>
      <c r="J18" s="43">
        <f>'Anchov y SardC LTP'!I23</f>
        <v>7672.7800000000061</v>
      </c>
      <c r="K18" s="43">
        <f>'Anchov y SardC LTP'!J23</f>
        <v>5.0410000000000004</v>
      </c>
      <c r="L18" s="43">
        <f>'Anchov y SardC LTP'!K23</f>
        <v>7667.7390000000059</v>
      </c>
      <c r="M18" s="44">
        <f>'Anchov y SardC LTP'!L23</f>
        <v>6.5699785475407827E-4</v>
      </c>
      <c r="N18" s="53" t="s">
        <v>282</v>
      </c>
      <c r="O18" s="34">
        <f>RESUMEN!$B$3</f>
        <v>44020</v>
      </c>
      <c r="P18" s="11">
        <v>2020</v>
      </c>
    </row>
    <row r="19" spans="1:16">
      <c r="A19" t="s">
        <v>174</v>
      </c>
      <c r="B19" t="s">
        <v>218</v>
      </c>
      <c r="C19" t="s">
        <v>257</v>
      </c>
      <c r="D19" t="s">
        <v>258</v>
      </c>
      <c r="E19" t="str">
        <f>'Anchov y SardC LTP'!D30</f>
        <v>ALIMENTOS MARINOS S.A.</v>
      </c>
      <c r="F19" s="11" t="s">
        <v>259</v>
      </c>
      <c r="G19" s="11" t="s">
        <v>260</v>
      </c>
      <c r="H19">
        <f>'Anchov y SardC LTP'!G30</f>
        <v>6120.4379147999998</v>
      </c>
      <c r="I19">
        <f>'Anchov y SardC LTP'!H30</f>
        <v>-5724</v>
      </c>
      <c r="J19">
        <f>'Anchov y SardC LTP'!I30</f>
        <v>396.43791479999982</v>
      </c>
      <c r="K19">
        <f>'Anchov y SardC LTP'!J30</f>
        <v>0</v>
      </c>
      <c r="L19">
        <f>'Anchov y SardC LTP'!K30</f>
        <v>396.43791479999982</v>
      </c>
      <c r="M19" s="42">
        <f>'Anchov y SardC LTP'!L30</f>
        <v>0</v>
      </c>
      <c r="N19" s="53" t="s">
        <v>282</v>
      </c>
      <c r="O19" s="34">
        <f>RESUMEN!$B$3</f>
        <v>44020</v>
      </c>
      <c r="P19" s="11">
        <v>2020</v>
      </c>
    </row>
    <row r="20" spans="1:16">
      <c r="A20" s="11" t="s">
        <v>174</v>
      </c>
      <c r="B20" s="11" t="s">
        <v>218</v>
      </c>
      <c r="C20" s="11" t="s">
        <v>257</v>
      </c>
      <c r="D20" s="11" t="s">
        <v>258</v>
      </c>
      <c r="E20" s="11" t="str">
        <f>'Anchov y SardC LTP'!D31</f>
        <v>BLUMAR S.A.</v>
      </c>
      <c r="F20" s="11" t="s">
        <v>259</v>
      </c>
      <c r="G20" s="11" t="s">
        <v>260</v>
      </c>
      <c r="H20" s="11">
        <f>'Anchov y SardC LTP'!G31</f>
        <v>14745.041916</v>
      </c>
      <c r="I20" s="11">
        <f>'Anchov y SardC LTP'!H31</f>
        <v>-13579</v>
      </c>
      <c r="J20" s="11">
        <f>'Anchov y SardC LTP'!I31</f>
        <v>1166.0419160000001</v>
      </c>
      <c r="K20" s="11">
        <f>'Anchov y SardC LTP'!J31</f>
        <v>0</v>
      </c>
      <c r="L20" s="11">
        <f>'Anchov y SardC LTP'!K31</f>
        <v>1166.0419160000001</v>
      </c>
      <c r="M20" s="42">
        <f>'Anchov y SardC LTP'!L31</f>
        <v>0</v>
      </c>
      <c r="N20" s="53" t="s">
        <v>282</v>
      </c>
      <c r="O20" s="34">
        <f>RESUMEN!$B$3</f>
        <v>44020</v>
      </c>
      <c r="P20" s="11">
        <v>2020</v>
      </c>
    </row>
    <row r="21" spans="1:16">
      <c r="A21" s="11" t="s">
        <v>174</v>
      </c>
      <c r="B21" s="11" t="s">
        <v>218</v>
      </c>
      <c r="C21" s="11" t="s">
        <v>257</v>
      </c>
      <c r="D21" s="11" t="s">
        <v>258</v>
      </c>
      <c r="E21" s="11" t="str">
        <f>'Anchov y SardC LTP'!D32</f>
        <v>CAMANCHACA PESCA SUR S.A.</v>
      </c>
      <c r="F21" s="11" t="s">
        <v>259</v>
      </c>
      <c r="G21" s="11" t="s">
        <v>260</v>
      </c>
      <c r="H21" s="11">
        <f>'Anchov y SardC LTP'!G32</f>
        <v>12760.719318600002</v>
      </c>
      <c r="I21" s="11">
        <f>'Anchov y SardC LTP'!H32</f>
        <v>-9879</v>
      </c>
      <c r="J21" s="11">
        <f>'Anchov y SardC LTP'!I32</f>
        <v>2881.7193186000022</v>
      </c>
      <c r="K21" s="11">
        <f>'Anchov y SardC LTP'!J32</f>
        <v>0</v>
      </c>
      <c r="L21" s="11">
        <f>'Anchov y SardC LTP'!K32</f>
        <v>2881.7193186000022</v>
      </c>
      <c r="M21" s="42">
        <f>'Anchov y SardC LTP'!L32</f>
        <v>0</v>
      </c>
      <c r="N21" s="53" t="s">
        <v>282</v>
      </c>
      <c r="O21" s="34">
        <f>RESUMEN!$B$3</f>
        <v>44020</v>
      </c>
      <c r="P21" s="11">
        <v>2020</v>
      </c>
    </row>
    <row r="22" spans="1:16">
      <c r="A22" s="11" t="s">
        <v>174</v>
      </c>
      <c r="B22" s="11" t="s">
        <v>218</v>
      </c>
      <c r="C22" s="11" t="s">
        <v>257</v>
      </c>
      <c r="D22" s="11" t="s">
        <v>258</v>
      </c>
      <c r="E22" s="11" t="str">
        <f>'Anchov y SardC LTP'!D33</f>
        <v>NOVAMAR SpA</v>
      </c>
      <c r="F22" s="11" t="s">
        <v>259</v>
      </c>
      <c r="G22" s="11" t="s">
        <v>260</v>
      </c>
      <c r="H22" s="11">
        <f>'Anchov y SardC LTP'!G33</f>
        <v>4690.3334874000002</v>
      </c>
      <c r="I22" s="11">
        <f>'Anchov y SardC LTP'!H33</f>
        <v>-4147.2820000000002</v>
      </c>
      <c r="J22" s="11">
        <f>'Anchov y SardC LTP'!I33</f>
        <v>543.05148740000004</v>
      </c>
      <c r="K22" s="11">
        <f>'Anchov y SardC LTP'!J33</f>
        <v>0</v>
      </c>
      <c r="L22" s="11">
        <f>'Anchov y SardC LTP'!K33</f>
        <v>543.05148740000004</v>
      </c>
      <c r="M22" s="42">
        <f>'Anchov y SardC LTP'!L33</f>
        <v>0</v>
      </c>
      <c r="N22" s="53" t="s">
        <v>282</v>
      </c>
      <c r="O22" s="34">
        <f>RESUMEN!$B$3</f>
        <v>44020</v>
      </c>
      <c r="P22" s="11">
        <v>2020</v>
      </c>
    </row>
    <row r="23" spans="1:16">
      <c r="A23" s="11" t="s">
        <v>174</v>
      </c>
      <c r="B23" s="11" t="s">
        <v>218</v>
      </c>
      <c r="C23" s="11" t="s">
        <v>257</v>
      </c>
      <c r="D23" s="11" t="s">
        <v>258</v>
      </c>
      <c r="E23" s="11" t="str">
        <f>'Anchov y SardC LTP'!D34</f>
        <v>LITORAL SpA PESQ.</v>
      </c>
      <c r="F23" s="11" t="s">
        <v>259</v>
      </c>
      <c r="G23" s="11" t="s">
        <v>260</v>
      </c>
      <c r="H23" s="11">
        <f>'Anchov y SardC LTP'!G34</f>
        <v>1111.8564996</v>
      </c>
      <c r="I23" s="11">
        <f>'Anchov y SardC LTP'!H34</f>
        <v>-393.24900000000002</v>
      </c>
      <c r="J23" s="11">
        <f>'Anchov y SardC LTP'!I34</f>
        <v>718.60749959999998</v>
      </c>
      <c r="K23" s="11">
        <f>'Anchov y SardC LTP'!J34</f>
        <v>0</v>
      </c>
      <c r="L23" s="11">
        <f>'Anchov y SardC LTP'!K34</f>
        <v>718.60749959999998</v>
      </c>
      <c r="M23" s="42">
        <f>'Anchov y SardC LTP'!L34</f>
        <v>0</v>
      </c>
      <c r="N23" s="53" t="s">
        <v>282</v>
      </c>
      <c r="O23" s="34">
        <f>RESUMEN!$B$3</f>
        <v>44020</v>
      </c>
      <c r="P23" s="11">
        <v>2020</v>
      </c>
    </row>
    <row r="24" spans="1:16">
      <c r="A24" s="11" t="s">
        <v>174</v>
      </c>
      <c r="B24" s="11" t="s">
        <v>218</v>
      </c>
      <c r="C24" s="11" t="s">
        <v>257</v>
      </c>
      <c r="D24" s="11" t="s">
        <v>258</v>
      </c>
      <c r="E24" s="11" t="str">
        <f>'Anchov y SardC LTP'!D35</f>
        <v>FOODCORP CHILE S.A.</v>
      </c>
      <c r="F24" s="11" t="s">
        <v>259</v>
      </c>
      <c r="G24" s="11" t="s">
        <v>260</v>
      </c>
      <c r="H24" s="11">
        <f>'Anchov y SardC LTP'!G35</f>
        <v>1408.1987898</v>
      </c>
      <c r="I24" s="11">
        <f>'Anchov y SardC LTP'!H35</f>
        <v>-1396</v>
      </c>
      <c r="J24" s="11">
        <f>'Anchov y SardC LTP'!I35</f>
        <v>12.198789799999986</v>
      </c>
      <c r="K24" s="11">
        <f>'Anchov y SardC LTP'!J35</f>
        <v>0</v>
      </c>
      <c r="L24" s="11">
        <f>'Anchov y SardC LTP'!K35</f>
        <v>12.198789799999986</v>
      </c>
      <c r="M24" s="42">
        <f>'Anchov y SardC LTP'!L35</f>
        <v>0.99</v>
      </c>
      <c r="N24" s="53" t="s">
        <v>282</v>
      </c>
      <c r="O24" s="34">
        <f>RESUMEN!$B$3</f>
        <v>44020</v>
      </c>
      <c r="P24" s="11">
        <v>2020</v>
      </c>
    </row>
    <row r="25" spans="1:16">
      <c r="A25" s="11" t="s">
        <v>174</v>
      </c>
      <c r="B25" s="11" t="s">
        <v>218</v>
      </c>
      <c r="C25" s="11" t="s">
        <v>257</v>
      </c>
      <c r="D25" s="11" t="s">
        <v>258</v>
      </c>
      <c r="E25" s="11" t="str">
        <f>'Anchov y SardC LTP'!D36</f>
        <v>ISLA QUIHUA S.A. PESQ</v>
      </c>
      <c r="F25" s="11" t="s">
        <v>259</v>
      </c>
      <c r="G25" s="11" t="s">
        <v>260</v>
      </c>
      <c r="H25" s="11">
        <f>'Anchov y SardC LTP'!G36</f>
        <v>1.1769780000000001</v>
      </c>
      <c r="I25" s="11">
        <f>'Anchov y SardC LTP'!H36</f>
        <v>0</v>
      </c>
      <c r="J25" s="11">
        <f>'Anchov y SardC LTP'!I36</f>
        <v>1.1769780000000001</v>
      </c>
      <c r="K25" s="11">
        <f>'Anchov y SardC LTP'!J36</f>
        <v>0</v>
      </c>
      <c r="L25" s="11">
        <f>'Anchov y SardC LTP'!K36</f>
        <v>1.1769780000000001</v>
      </c>
      <c r="M25" s="42">
        <f>'Anchov y SardC LTP'!L36</f>
        <v>0</v>
      </c>
      <c r="N25" s="53" t="s">
        <v>282</v>
      </c>
      <c r="O25" s="34">
        <f>RESUMEN!$B$3</f>
        <v>44020</v>
      </c>
      <c r="P25" s="11">
        <v>2020</v>
      </c>
    </row>
    <row r="26" spans="1:16">
      <c r="A26" s="11" t="s">
        <v>174</v>
      </c>
      <c r="B26" s="11" t="s">
        <v>218</v>
      </c>
      <c r="C26" s="11" t="s">
        <v>257</v>
      </c>
      <c r="D26" s="11" t="s">
        <v>258</v>
      </c>
      <c r="E26" s="11" t="str">
        <f>'Anchov y SardC LTP'!D37</f>
        <v>LANDES S.A. SOC PESQ.</v>
      </c>
      <c r="F26" s="11" t="s">
        <v>259</v>
      </c>
      <c r="G26" s="11" t="s">
        <v>260</v>
      </c>
      <c r="H26" s="11">
        <f>'Anchov y SardC LTP'!G37</f>
        <v>5738.5431707999996</v>
      </c>
      <c r="I26" s="11">
        <f>'Anchov y SardC LTP'!H37</f>
        <v>-5689</v>
      </c>
      <c r="J26" s="11">
        <f>'Anchov y SardC LTP'!I37</f>
        <v>49.543170799999643</v>
      </c>
      <c r="K26" s="11">
        <f>'Anchov y SardC LTP'!J37</f>
        <v>0</v>
      </c>
      <c r="L26" s="11">
        <f>'Anchov y SardC LTP'!K37</f>
        <v>49.543170799999643</v>
      </c>
      <c r="M26" s="42">
        <f>'Anchov y SardC LTP'!L37</f>
        <v>0</v>
      </c>
      <c r="N26" s="53" t="s">
        <v>282</v>
      </c>
      <c r="O26" s="34">
        <f>RESUMEN!$B$3</f>
        <v>44020</v>
      </c>
      <c r="P26" s="11">
        <v>2020</v>
      </c>
    </row>
    <row r="27" spans="1:16">
      <c r="A27" s="11" t="s">
        <v>174</v>
      </c>
      <c r="B27" s="11" t="s">
        <v>218</v>
      </c>
      <c r="C27" s="11" t="s">
        <v>257</v>
      </c>
      <c r="D27" s="11" t="s">
        <v>258</v>
      </c>
      <c r="E27" s="11" t="str">
        <f>'Anchov y SardC LTP'!D38</f>
        <v>LOTA PROTEIN S.A.</v>
      </c>
      <c r="F27" s="11" t="s">
        <v>259</v>
      </c>
      <c r="G27" s="11" t="s">
        <v>260</v>
      </c>
      <c r="H27" s="11">
        <f>'Anchov y SardC LTP'!G38</f>
        <v>2502.5183171999997</v>
      </c>
      <c r="I27" s="11">
        <f>'Anchov y SardC LTP'!H38</f>
        <v>-2190</v>
      </c>
      <c r="J27" s="11">
        <f>'Anchov y SardC LTP'!I38</f>
        <v>312.51831719999973</v>
      </c>
      <c r="K27" s="11">
        <f>'Anchov y SardC LTP'!J38</f>
        <v>0</v>
      </c>
      <c r="L27" s="11">
        <f>'Anchov y SardC LTP'!K38</f>
        <v>312.51831719999973</v>
      </c>
      <c r="M27" s="42">
        <f>'Anchov y SardC LTP'!L38</f>
        <v>0</v>
      </c>
      <c r="N27" s="53" t="s">
        <v>282</v>
      </c>
      <c r="O27" s="34">
        <f>RESUMEN!$B$3</f>
        <v>44020</v>
      </c>
      <c r="P27" s="11">
        <v>2020</v>
      </c>
    </row>
    <row r="28" spans="1:16">
      <c r="A28" s="11" t="s">
        <v>174</v>
      </c>
      <c r="B28" s="11" t="s">
        <v>218</v>
      </c>
      <c r="C28" s="11" t="s">
        <v>257</v>
      </c>
      <c r="D28" s="11" t="s">
        <v>258</v>
      </c>
      <c r="E28" s="11" t="str">
        <f>'Anchov y SardC LTP'!D39</f>
        <v>ORIZON S.A.</v>
      </c>
      <c r="F28" s="11" t="s">
        <v>259</v>
      </c>
      <c r="G28" s="11" t="s">
        <v>260</v>
      </c>
      <c r="H28" s="11">
        <f>'Anchov y SardC LTP'!G39</f>
        <v>11755.649340600001</v>
      </c>
      <c r="I28" s="11">
        <f>'Anchov y SardC LTP'!H39</f>
        <v>-7026</v>
      </c>
      <c r="J28" s="11">
        <f>'Anchov y SardC LTP'!I39</f>
        <v>4729.6493406000009</v>
      </c>
      <c r="K28" s="11">
        <f>'Anchov y SardC LTP'!J39</f>
        <v>51.098999999999997</v>
      </c>
      <c r="L28" s="11">
        <f>'Anchov y SardC LTP'!K39</f>
        <v>4678.5503406000007</v>
      </c>
      <c r="M28" s="42">
        <f>'Anchov y SardC LTP'!L39</f>
        <v>1.0803972201777987E-2</v>
      </c>
      <c r="N28" s="53" t="s">
        <v>282</v>
      </c>
      <c r="O28" s="34">
        <f>RESUMEN!$B$3</f>
        <v>44020</v>
      </c>
      <c r="P28" s="11">
        <v>2020</v>
      </c>
    </row>
    <row r="29" spans="1:16">
      <c r="A29" s="11" t="s">
        <v>174</v>
      </c>
      <c r="B29" s="11" t="s">
        <v>218</v>
      </c>
      <c r="C29" s="11" t="s">
        <v>257</v>
      </c>
      <c r="D29" s="11" t="s">
        <v>258</v>
      </c>
      <c r="E29" s="11" t="str">
        <f>'Anchov y SardC LTP'!D40</f>
        <v>INVERSIONES TRIDENTE SpA</v>
      </c>
      <c r="F29" s="11" t="s">
        <v>259</v>
      </c>
      <c r="G29" s="11" t="s">
        <v>260</v>
      </c>
      <c r="H29" s="11">
        <f>'Anchov y SardC LTP'!G40</f>
        <v>571.18188468000005</v>
      </c>
      <c r="I29" s="11">
        <f>'Anchov y SardC LTP'!H40</f>
        <v>-571.18200000000002</v>
      </c>
      <c r="J29" s="11">
        <f>'Anchov y SardC LTP'!I40</f>
        <v>-1.1531999996350351E-4</v>
      </c>
      <c r="K29" s="11">
        <f>'Anchov y SardC LTP'!J40</f>
        <v>0</v>
      </c>
      <c r="L29" s="11">
        <f>'Anchov y SardC LTP'!K40</f>
        <v>-1.1531999996350351E-4</v>
      </c>
      <c r="M29" s="42">
        <f>'Anchov y SardC LTP'!L40</f>
        <v>1</v>
      </c>
      <c r="N29" s="53" t="s">
        <v>282</v>
      </c>
      <c r="O29" s="34">
        <f>RESUMEN!$B$3</f>
        <v>44020</v>
      </c>
      <c r="P29" s="11">
        <v>2020</v>
      </c>
    </row>
    <row r="30" spans="1:16">
      <c r="A30" s="11" t="s">
        <v>174</v>
      </c>
      <c r="B30" s="11" t="s">
        <v>218</v>
      </c>
      <c r="C30" s="11" t="s">
        <v>257</v>
      </c>
      <c r="D30" s="11" t="s">
        <v>258</v>
      </c>
      <c r="E30" s="11" t="str">
        <f>'Anchov y SardC LTP'!D41</f>
        <v>SOC. PESQUERA MEHUIN REY LTDA.</v>
      </c>
      <c r="F30" s="11" t="s">
        <v>259</v>
      </c>
      <c r="G30" s="11" t="s">
        <v>260</v>
      </c>
      <c r="H30" s="11">
        <f>'Anchov y SardC LTP'!G41</f>
        <v>934.65899999999988</v>
      </c>
      <c r="I30" s="11">
        <f>'Anchov y SardC LTP'!H41</f>
        <v>-934.65899999999999</v>
      </c>
      <c r="J30" s="11">
        <f>'Anchov y SardC LTP'!I41</f>
        <v>0</v>
      </c>
      <c r="K30" s="11">
        <f>'Anchov y SardC LTP'!J41</f>
        <v>0</v>
      </c>
      <c r="L30" s="11">
        <f>'Anchov y SardC LTP'!K41</f>
        <v>0</v>
      </c>
      <c r="M30" s="42">
        <f>'Anchov y SardC LTP'!L41</f>
        <v>1</v>
      </c>
      <c r="N30" s="53" t="s">
        <v>282</v>
      </c>
      <c r="O30" s="34">
        <f>RESUMEN!$B$3</f>
        <v>44020</v>
      </c>
      <c r="P30" s="11">
        <v>2020</v>
      </c>
    </row>
    <row r="31" spans="1:16">
      <c r="A31" s="11" t="s">
        <v>174</v>
      </c>
      <c r="B31" s="11" t="s">
        <v>218</v>
      </c>
      <c r="C31" s="11" t="s">
        <v>257</v>
      </c>
      <c r="D31" s="11" t="s">
        <v>258</v>
      </c>
      <c r="E31" s="11" t="str">
        <f>'Anchov y SardC LTP'!D42</f>
        <v>CRISTIAN SILVA LORCA</v>
      </c>
      <c r="F31" s="11" t="s">
        <v>259</v>
      </c>
      <c r="G31" s="11" t="s">
        <v>260</v>
      </c>
      <c r="H31" s="11">
        <f>'Anchov y SardC LTP'!G42</f>
        <v>934.66246169999999</v>
      </c>
      <c r="I31" s="11">
        <f>'Anchov y SardC LTP'!H42</f>
        <v>-934.66200000000003</v>
      </c>
      <c r="J31" s="11">
        <f>'Anchov y SardC LTP'!I42</f>
        <v>4.6169999995981925E-4</v>
      </c>
      <c r="K31" s="11">
        <f>'Anchov y SardC LTP'!J42</f>
        <v>0</v>
      </c>
      <c r="L31" s="11">
        <f>'Anchov y SardC LTP'!K42</f>
        <v>4.6169999995981925E-4</v>
      </c>
      <c r="M31" s="42">
        <f>'Anchov y SardC LTP'!L42</f>
        <v>1</v>
      </c>
      <c r="N31" s="53" t="s">
        <v>282</v>
      </c>
      <c r="O31" s="34">
        <f>RESUMEN!$B$3</f>
        <v>44020</v>
      </c>
      <c r="P31" s="11">
        <v>2020</v>
      </c>
    </row>
    <row r="32" spans="1:16">
      <c r="A32" s="11" t="s">
        <v>174</v>
      </c>
      <c r="B32" s="11" t="s">
        <v>218</v>
      </c>
      <c r="C32" s="11" t="s">
        <v>257</v>
      </c>
      <c r="D32" s="11" t="s">
        <v>258</v>
      </c>
      <c r="E32" s="11" t="str">
        <f>'Anchov y SardC LTP'!D43</f>
        <v>JULIO SAEZ MUÑOZ</v>
      </c>
      <c r="F32" s="11" t="s">
        <v>259</v>
      </c>
      <c r="G32" s="11" t="s">
        <v>260</v>
      </c>
      <c r="H32" s="11">
        <f>'Anchov y SardC LTP'!G43</f>
        <v>311.553</v>
      </c>
      <c r="I32" s="11">
        <f>'Anchov y SardC LTP'!H43</f>
        <v>0</v>
      </c>
      <c r="J32" s="11">
        <f>'Anchov y SardC LTP'!I43</f>
        <v>311.553</v>
      </c>
      <c r="K32" s="11">
        <f>'Anchov y SardC LTP'!J43</f>
        <v>0</v>
      </c>
      <c r="L32" s="11">
        <f>'Anchov y SardC LTP'!K43</f>
        <v>311.553</v>
      </c>
      <c r="M32" s="42">
        <f>'Anchov y SardC LTP'!L43</f>
        <v>0</v>
      </c>
      <c r="N32" s="53" t="s">
        <v>282</v>
      </c>
      <c r="O32" s="34">
        <f>RESUMEN!$B$3</f>
        <v>44020</v>
      </c>
      <c r="P32" s="11">
        <v>2020</v>
      </c>
    </row>
    <row r="33" spans="1:16">
      <c r="A33" s="11" t="s">
        <v>174</v>
      </c>
      <c r="B33" s="11" t="s">
        <v>218</v>
      </c>
      <c r="C33" s="11" t="s">
        <v>257</v>
      </c>
      <c r="D33" s="11" t="s">
        <v>258</v>
      </c>
      <c r="E33" s="11" t="str">
        <f>'Anchov y SardC LTP'!D44</f>
        <v>FABIAN MONSALVE SALAS</v>
      </c>
      <c r="F33" s="11" t="s">
        <v>259</v>
      </c>
      <c r="G33" s="11" t="s">
        <v>260</v>
      </c>
      <c r="H33" s="11">
        <f>'Anchov y SardC LTP'!G44</f>
        <v>155.7765</v>
      </c>
      <c r="I33" s="11">
        <f>'Anchov y SardC LTP'!H44</f>
        <v>0</v>
      </c>
      <c r="J33" s="11">
        <f>'Anchov y SardC LTP'!I44</f>
        <v>155.7765</v>
      </c>
      <c r="K33" s="11">
        <f>'Anchov y SardC LTP'!J44</f>
        <v>0</v>
      </c>
      <c r="L33" s="11">
        <f>'Anchov y SardC LTP'!K44</f>
        <v>155.7765</v>
      </c>
      <c r="M33" s="42">
        <f>'Anchov y SardC LTP'!L44</f>
        <v>0</v>
      </c>
      <c r="N33" s="53" t="s">
        <v>282</v>
      </c>
      <c r="O33" s="34">
        <f>RESUMEN!$B$3</f>
        <v>44020</v>
      </c>
      <c r="P33" s="11">
        <v>2020</v>
      </c>
    </row>
    <row r="34" spans="1:16">
      <c r="A34" s="11" t="s">
        <v>174</v>
      </c>
      <c r="B34" s="11" t="s">
        <v>218</v>
      </c>
      <c r="C34" s="11" t="s">
        <v>257</v>
      </c>
      <c r="D34" s="11" t="s">
        <v>258</v>
      </c>
      <c r="E34" s="11" t="str">
        <f>'Anchov y SardC LTP'!D45</f>
        <v>GONZALO GALDAMEZ SANTIBAÑEZ</v>
      </c>
      <c r="F34" s="11" t="s">
        <v>259</v>
      </c>
      <c r="G34" s="11" t="s">
        <v>260</v>
      </c>
      <c r="H34" s="11">
        <f>'Anchov y SardC LTP'!G45</f>
        <v>623.10807702</v>
      </c>
      <c r="I34" s="11">
        <f>'Anchov y SardC LTP'!H45</f>
        <v>-623.10799999999995</v>
      </c>
      <c r="J34" s="11">
        <f>'Anchov y SardC LTP'!I45</f>
        <v>7.7020000048833026E-5</v>
      </c>
      <c r="K34" s="11">
        <f>'Anchov y SardC LTP'!J45</f>
        <v>0</v>
      </c>
      <c r="L34" s="11">
        <f>'Anchov y SardC LTP'!K45</f>
        <v>7.7020000048833026E-5</v>
      </c>
      <c r="M34" s="42">
        <f>'Anchov y SardC LTP'!L45</f>
        <v>1</v>
      </c>
      <c r="N34" s="53" t="s">
        <v>282</v>
      </c>
      <c r="O34" s="34">
        <f>RESUMEN!$B$3</f>
        <v>44020</v>
      </c>
      <c r="P34" s="11">
        <v>2020</v>
      </c>
    </row>
    <row r="35" spans="1:16">
      <c r="A35" s="11" t="s">
        <v>174</v>
      </c>
      <c r="B35" s="11" t="s">
        <v>218</v>
      </c>
      <c r="C35" s="11" t="s">
        <v>257</v>
      </c>
      <c r="D35" s="11" t="s">
        <v>258</v>
      </c>
      <c r="E35" s="11" t="str">
        <f>'Anchov y SardC LTP'!D46</f>
        <v>SUSAN MONSALVE SALAS</v>
      </c>
      <c r="F35" s="11" t="s">
        <v>259</v>
      </c>
      <c r="G35" s="11" t="s">
        <v>260</v>
      </c>
      <c r="H35" s="11">
        <f>'Anchov y SardC LTP'!G46</f>
        <v>155.7765</v>
      </c>
      <c r="I35" s="11">
        <f>'Anchov y SardC LTP'!H46</f>
        <v>-155.77699999999999</v>
      </c>
      <c r="J35" s="11">
        <f>'Anchov y SardC LTP'!I46</f>
        <v>-4.9999999998817657E-4</v>
      </c>
      <c r="K35" s="11">
        <f>'Anchov y SardC LTP'!J46</f>
        <v>0</v>
      </c>
      <c r="L35" s="11">
        <f>'Anchov y SardC LTP'!K46</f>
        <v>-4.9999999998817657E-4</v>
      </c>
      <c r="M35" s="42">
        <f>'Anchov y SardC LTP'!L46</f>
        <v>1</v>
      </c>
      <c r="N35" s="53" t="s">
        <v>282</v>
      </c>
      <c r="O35" s="34">
        <f>RESUMEN!$B$3</f>
        <v>44020</v>
      </c>
      <c r="P35" s="11">
        <v>2020</v>
      </c>
    </row>
    <row r="36" spans="1:16">
      <c r="A36" s="11" t="s">
        <v>174</v>
      </c>
      <c r="B36" s="11" t="s">
        <v>218</v>
      </c>
      <c r="C36" s="11" t="s">
        <v>257</v>
      </c>
      <c r="D36" s="11" t="s">
        <v>258</v>
      </c>
      <c r="E36" s="11" t="str">
        <f>'Anchov y SardC LTP'!D47</f>
        <v>PROCESOS TECNOLOGICOS DEL BIOBIO S.A.</v>
      </c>
      <c r="F36" s="11" t="s">
        <v>259</v>
      </c>
      <c r="G36" s="11" t="s">
        <v>260</v>
      </c>
      <c r="H36" s="11">
        <f>'Anchov y SardC LTP'!G47</f>
        <v>467.32949999999994</v>
      </c>
      <c r="I36" s="11">
        <f>'Anchov y SardC LTP'!H47</f>
        <v>0</v>
      </c>
      <c r="J36" s="11">
        <f>'Anchov y SardC LTP'!I47</f>
        <v>467.32949999999994</v>
      </c>
      <c r="K36" s="11">
        <f>'Anchov y SardC LTP'!J47</f>
        <v>0</v>
      </c>
      <c r="L36" s="11">
        <f>'Anchov y SardC LTP'!K47</f>
        <v>467.32949999999994</v>
      </c>
      <c r="M36" s="42">
        <f>'Anchov y SardC LTP'!L47</f>
        <v>0</v>
      </c>
      <c r="N36" s="53" t="s">
        <v>282</v>
      </c>
      <c r="O36" s="34">
        <f>RESUMEN!$B$3</f>
        <v>44020</v>
      </c>
      <c r="P36" s="11">
        <v>2020</v>
      </c>
    </row>
    <row r="37" spans="1:16">
      <c r="A37" s="11" t="s">
        <v>174</v>
      </c>
      <c r="B37" s="11" t="s">
        <v>218</v>
      </c>
      <c r="C37" s="11" t="s">
        <v>257</v>
      </c>
      <c r="D37" s="11" t="s">
        <v>258</v>
      </c>
      <c r="E37" s="11" t="str">
        <f>'Anchov y SardC LTP'!D48</f>
        <v>PESQ. LEPE LTDA.</v>
      </c>
      <c r="F37" s="11" t="s">
        <v>259</v>
      </c>
      <c r="G37" s="11" t="s">
        <v>260</v>
      </c>
      <c r="H37" s="11">
        <f>'Anchov y SardC LTP'!G48</f>
        <v>1914.3201000000001</v>
      </c>
      <c r="I37" s="11">
        <f>'Anchov y SardC LTP'!H48</f>
        <v>-1914.32</v>
      </c>
      <c r="J37" s="11">
        <f>'Anchov y SardC LTP'!I48</f>
        <v>1.0000000020227162E-4</v>
      </c>
      <c r="K37" s="11">
        <f>'Anchov y SardC LTP'!J48</f>
        <v>0</v>
      </c>
      <c r="L37" s="11">
        <f>'Anchov y SardC LTP'!K48</f>
        <v>1.0000000020227162E-4</v>
      </c>
      <c r="M37" s="42">
        <f>'Anchov y SardC LTP'!L48</f>
        <v>1</v>
      </c>
      <c r="N37" s="53" t="s">
        <v>282</v>
      </c>
      <c r="O37" s="34">
        <f>RESUMEN!$B$3</f>
        <v>44020</v>
      </c>
      <c r="P37" s="11">
        <v>2020</v>
      </c>
    </row>
    <row r="38" spans="1:16">
      <c r="A38" s="11" t="s">
        <v>174</v>
      </c>
      <c r="B38" s="11" t="s">
        <v>218</v>
      </c>
      <c r="C38" s="11" t="s">
        <v>257</v>
      </c>
      <c r="D38" s="11" t="s">
        <v>258</v>
      </c>
      <c r="E38" s="11" t="str">
        <f>'Anchov y SardC LTP'!D49</f>
        <v>COMERCIAL Y CONSERVERA SAN LAZARO LTDA.</v>
      </c>
      <c r="F38" s="11" t="s">
        <v>259</v>
      </c>
      <c r="G38" s="11" t="s">
        <v>260</v>
      </c>
      <c r="H38" s="11">
        <f>'Anchov y SardC LTP'!G49</f>
        <v>0.69234000000000007</v>
      </c>
      <c r="I38" s="11">
        <f>'Anchov y SardC LTP'!H49</f>
        <v>0</v>
      </c>
      <c r="J38" s="11">
        <f>'Anchov y SardC LTP'!I49</f>
        <v>0.69234000000000007</v>
      </c>
      <c r="K38" s="11">
        <f>'Anchov y SardC LTP'!J49</f>
        <v>0</v>
      </c>
      <c r="L38" s="11">
        <f>'Anchov y SardC LTP'!K49</f>
        <v>0.69234000000000007</v>
      </c>
      <c r="M38" s="42">
        <f>'Anchov y SardC LTP'!L49</f>
        <v>0</v>
      </c>
      <c r="N38" s="53" t="s">
        <v>282</v>
      </c>
      <c r="O38" s="34">
        <f>RESUMEN!$B$3</f>
        <v>44020</v>
      </c>
      <c r="P38" s="11">
        <v>2020</v>
      </c>
    </row>
    <row r="39" spans="1:16">
      <c r="A39" s="11" t="s">
        <v>174</v>
      </c>
      <c r="B39" s="11" t="s">
        <v>218</v>
      </c>
      <c r="C39" s="11" t="s">
        <v>257</v>
      </c>
      <c r="D39" s="11" t="s">
        <v>258</v>
      </c>
      <c r="E39" s="11" t="str">
        <f>'Anchov y SardC LTP'!D50</f>
        <v>INVERSIONES PESQUERA PEDRO IRIGOYEN LIMITADA</v>
      </c>
      <c r="F39" s="11" t="s">
        <v>259</v>
      </c>
      <c r="G39" s="11" t="s">
        <v>260</v>
      </c>
      <c r="H39" s="11">
        <f>'Anchov y SardC LTP'!G50</f>
        <v>298.46777399999996</v>
      </c>
      <c r="I39" s="11">
        <f>'Anchov y SardC LTP'!H50</f>
        <v>-298</v>
      </c>
      <c r="J39" s="11">
        <f>'Anchov y SardC LTP'!I50</f>
        <v>0.46777399999996305</v>
      </c>
      <c r="K39" s="11">
        <f>'Anchov y SardC LTP'!J50</f>
        <v>0</v>
      </c>
      <c r="L39" s="11">
        <f>'Anchov y SardC LTP'!K50</f>
        <v>0.46777399999996305</v>
      </c>
      <c r="M39" s="42">
        <f>'Anchov y SardC LTP'!L50</f>
        <v>0.99</v>
      </c>
      <c r="N39" s="53" t="s">
        <v>282</v>
      </c>
      <c r="O39" s="34">
        <f>RESUMEN!$B$3</f>
        <v>44020</v>
      </c>
      <c r="P39" s="11">
        <v>2020</v>
      </c>
    </row>
    <row r="40" spans="1:16">
      <c r="A40" s="43" t="s">
        <v>174</v>
      </c>
      <c r="B40" s="43" t="s">
        <v>218</v>
      </c>
      <c r="C40" s="43" t="s">
        <v>257</v>
      </c>
      <c r="D40" s="43" t="s">
        <v>258</v>
      </c>
      <c r="E40" s="43" t="str">
        <f>'Anchov y SardC LTP'!D51</f>
        <v>TOTAL ASIGNATARIOS LTP</v>
      </c>
      <c r="F40" s="43" t="s">
        <v>259</v>
      </c>
      <c r="G40" s="43" t="s">
        <v>260</v>
      </c>
      <c r="H40" s="43">
        <f>'Anchov y SardC LTP'!G51</f>
        <v>67202.002870199998</v>
      </c>
      <c r="I40" s="43">
        <f>'Anchov y SardC LTP'!H51</f>
        <v>-55455.239000000001</v>
      </c>
      <c r="J40" s="43">
        <f>'Anchov y SardC LTP'!I51</f>
        <v>11746.763870199997</v>
      </c>
      <c r="K40" s="43">
        <f>'Anchov y SardC LTP'!J51</f>
        <v>51.098999999999997</v>
      </c>
      <c r="L40" s="43">
        <f>'Anchov y SardC LTP'!K51</f>
        <v>11695.664870199997</v>
      </c>
      <c r="M40" s="44">
        <f>'Anchov y SardC LTP'!L51</f>
        <v>4.3500491339262789E-3</v>
      </c>
      <c r="N40" s="53" t="s">
        <v>282</v>
      </c>
      <c r="O40" s="34">
        <f>RESUMEN!$B$3</f>
        <v>44020</v>
      </c>
      <c r="P40" s="11">
        <v>2020</v>
      </c>
    </row>
    <row r="41" spans="1:16">
      <c r="A41" t="s">
        <v>255</v>
      </c>
      <c r="B41" t="s">
        <v>217</v>
      </c>
      <c r="C41" t="s">
        <v>273</v>
      </c>
      <c r="D41" t="s">
        <v>272</v>
      </c>
      <c r="E41" t="str">
        <f>Anchoveta!D7</f>
        <v>AG DEL PUERTO DE SAN ANTONIO. RAG 2510</v>
      </c>
      <c r="F41" s="11" t="s">
        <v>259</v>
      </c>
      <c r="G41" t="s">
        <v>260</v>
      </c>
      <c r="H41">
        <f>Anchoveta!F7</f>
        <v>7558.7539999999999</v>
      </c>
      <c r="I41" s="11">
        <f>Anchoveta!G7</f>
        <v>-7242</v>
      </c>
      <c r="J41" s="11">
        <f>Anchoveta!H7</f>
        <v>316.75399999999991</v>
      </c>
      <c r="K41" s="11">
        <f>Anchoveta!I7</f>
        <v>55.59</v>
      </c>
      <c r="L41">
        <f>Anchoveta!K7</f>
        <v>261.16399999999987</v>
      </c>
      <c r="M41" s="42">
        <f>Anchoveta!L7</f>
        <v>0.17549896765313153</v>
      </c>
      <c r="N41" s="34">
        <f>Anchoveta!M7</f>
        <v>43965</v>
      </c>
      <c r="O41" s="34">
        <f>RESUMEN!$B$3</f>
        <v>44020</v>
      </c>
      <c r="P41" s="11">
        <v>2020</v>
      </c>
    </row>
    <row r="42" spans="1:16">
      <c r="A42" t="s">
        <v>255</v>
      </c>
      <c r="B42" t="s">
        <v>217</v>
      </c>
      <c r="C42" s="11" t="s">
        <v>273</v>
      </c>
      <c r="D42" t="s">
        <v>272</v>
      </c>
      <c r="E42" s="11" t="str">
        <f>Anchoveta!D8</f>
        <v>ASOCIACION GREMIAL AGRAPES DE SAN ANTONIO "AG AGRAPESCA" RAG 4399</v>
      </c>
      <c r="F42" t="s">
        <v>259</v>
      </c>
      <c r="G42" t="s">
        <v>260</v>
      </c>
      <c r="H42" s="11">
        <f>Anchoveta!F8</f>
        <v>89.585999999999999</v>
      </c>
      <c r="I42" s="11">
        <f>Anchoveta!G8</f>
        <v>-89.585999999999999</v>
      </c>
      <c r="J42" s="11">
        <f>Anchoveta!H8</f>
        <v>0</v>
      </c>
      <c r="K42" s="11">
        <f>Anchoveta!I8</f>
        <v>0</v>
      </c>
      <c r="L42" s="11">
        <f>Anchoveta!K8</f>
        <v>0</v>
      </c>
      <c r="M42" s="42">
        <f>Anchoveta!L8</f>
        <v>1</v>
      </c>
      <c r="N42" s="34">
        <f>Anchoveta!M8</f>
        <v>43966</v>
      </c>
      <c r="O42" s="34">
        <f>RESUMEN!$B$3</f>
        <v>44020</v>
      </c>
      <c r="P42" s="11">
        <v>2020</v>
      </c>
    </row>
    <row r="43" spans="1:16">
      <c r="A43" t="s">
        <v>255</v>
      </c>
      <c r="B43" t="s">
        <v>217</v>
      </c>
      <c r="C43" s="11" t="s">
        <v>273</v>
      </c>
      <c r="D43" t="s">
        <v>272</v>
      </c>
      <c r="E43" s="11" t="str">
        <f>Anchoveta!D9</f>
        <v>STI MUELLE SUD AMERICANA. RSU 05.01.0462</v>
      </c>
      <c r="F43" t="s">
        <v>259</v>
      </c>
      <c r="G43" t="s">
        <v>260</v>
      </c>
      <c r="H43" s="11">
        <f>Anchoveta!F9</f>
        <v>0.11600000000000001</v>
      </c>
      <c r="I43" s="11">
        <f>Anchoveta!G9</f>
        <v>0</v>
      </c>
      <c r="J43" s="11">
        <f>Anchoveta!H9</f>
        <v>0.11600000000000001</v>
      </c>
      <c r="K43" s="11">
        <f>Anchoveta!I9</f>
        <v>0</v>
      </c>
      <c r="L43" s="11">
        <f>Anchoveta!K9</f>
        <v>0.11600000000000001</v>
      </c>
      <c r="M43" s="42">
        <f>Anchoveta!L9</f>
        <v>0</v>
      </c>
      <c r="N43" s="34">
        <f>Anchoveta!M9</f>
        <v>0</v>
      </c>
      <c r="O43" s="34">
        <f>RESUMEN!$B$3</f>
        <v>44020</v>
      </c>
      <c r="P43" s="11">
        <v>2020</v>
      </c>
    </row>
    <row r="44" spans="1:16" s="11" customFormat="1">
      <c r="A44" s="11" t="s">
        <v>255</v>
      </c>
      <c r="B44" s="11" t="s">
        <v>217</v>
      </c>
      <c r="C44" s="11" t="s">
        <v>273</v>
      </c>
      <c r="D44" s="11" t="s">
        <v>272</v>
      </c>
      <c r="E44" s="11" t="str">
        <f>Anchoveta!D10</f>
        <v>Sindicato  de Trabajadores  Independientes de Pescadores Montemar, de la Comuna de San Antonio, provincia de San Antonio, V region. Registro Único Sindical  N° 05040117</v>
      </c>
      <c r="F44" s="11" t="s">
        <v>259</v>
      </c>
      <c r="G44" s="11" t="s">
        <v>260</v>
      </c>
      <c r="H44" s="11">
        <f>Anchoveta!F10</f>
        <v>5.8479999999999999</v>
      </c>
      <c r="I44" s="11">
        <f>Anchoveta!G10</f>
        <v>0</v>
      </c>
      <c r="J44" s="11">
        <f>Anchoveta!H10</f>
        <v>5.8479999999999999</v>
      </c>
      <c r="K44" s="11">
        <f>Anchoveta!I10</f>
        <v>0</v>
      </c>
      <c r="L44" s="11">
        <f>Anchoveta!K10</f>
        <v>5.8479999999999999</v>
      </c>
      <c r="M44" s="42">
        <f>Anchoveta!L10</f>
        <v>0</v>
      </c>
      <c r="N44" s="34">
        <f>Anchoveta!M10</f>
        <v>0</v>
      </c>
      <c r="O44" s="34">
        <f>RESUMEN!$B$3</f>
        <v>44020</v>
      </c>
      <c r="P44" s="11">
        <v>2020</v>
      </c>
    </row>
    <row r="45" spans="1:16" s="11" customFormat="1">
      <c r="A45" s="11" t="s">
        <v>255</v>
      </c>
      <c r="B45" s="11" t="s">
        <v>217</v>
      </c>
      <c r="C45" s="11" t="s">
        <v>273</v>
      </c>
      <c r="D45" s="11" t="s">
        <v>272</v>
      </c>
      <c r="E45" s="11" t="str">
        <f>Anchoveta!D11</f>
        <v>Sindicato de Trabajadores Independientes Pescadores Artesanales de Caleta Higuerilla, Concon. Registro Unico Sindical N° 5060048</v>
      </c>
      <c r="F45" s="11" t="s">
        <v>259</v>
      </c>
      <c r="G45" s="11" t="s">
        <v>260</v>
      </c>
      <c r="H45" s="11">
        <f>Anchoveta!F11</f>
        <v>1.9E-2</v>
      </c>
      <c r="I45" s="11">
        <f>Anchoveta!G11</f>
        <v>0</v>
      </c>
      <c r="J45" s="11">
        <f>Anchoveta!H11</f>
        <v>1.9E-2</v>
      </c>
      <c r="K45" s="11">
        <f>Anchoveta!I11</f>
        <v>0</v>
      </c>
      <c r="L45" s="11">
        <f>Anchoveta!K11</f>
        <v>1.9E-2</v>
      </c>
      <c r="M45" s="42">
        <f>Anchoveta!L11</f>
        <v>0</v>
      </c>
      <c r="N45" s="34">
        <f>Anchoveta!M11</f>
        <v>0</v>
      </c>
      <c r="O45" s="34">
        <f>RESUMEN!$B$3</f>
        <v>44020</v>
      </c>
      <c r="P45" s="11">
        <v>2020</v>
      </c>
    </row>
    <row r="46" spans="1:16">
      <c r="A46" t="s">
        <v>255</v>
      </c>
      <c r="B46" t="s">
        <v>217</v>
      </c>
      <c r="C46" s="11" t="s">
        <v>273</v>
      </c>
      <c r="D46" t="s">
        <v>272</v>
      </c>
      <c r="E46" s="11" t="str">
        <f>Anchoveta!D12</f>
        <v>Cuota Residual V</v>
      </c>
      <c r="F46" t="s">
        <v>259</v>
      </c>
      <c r="G46" t="s">
        <v>260</v>
      </c>
      <c r="H46" s="11">
        <f>Anchoveta!F12</f>
        <v>75.676000000000002</v>
      </c>
      <c r="I46" s="11">
        <f>Anchoveta!G12</f>
        <v>0</v>
      </c>
      <c r="J46" s="11">
        <f>Anchoveta!H12</f>
        <v>75.676000000000002</v>
      </c>
      <c r="K46" s="11">
        <f>Anchoveta!I12</f>
        <v>221.173</v>
      </c>
      <c r="L46" s="11">
        <f>Anchoveta!K12</f>
        <v>-145.49700000000001</v>
      </c>
      <c r="M46" s="42">
        <f>Anchoveta!L12</f>
        <v>2.9226306887256195</v>
      </c>
      <c r="N46" s="59">
        <f>Anchoveta!M12</f>
        <v>43937</v>
      </c>
      <c r="O46" s="34">
        <f>RESUMEN!$B$3</f>
        <v>44020</v>
      </c>
      <c r="P46" s="11">
        <v>2020</v>
      </c>
    </row>
    <row r="47" spans="1:16">
      <c r="A47" s="43" t="s">
        <v>255</v>
      </c>
      <c r="B47" s="43" t="s">
        <v>217</v>
      </c>
      <c r="C47" s="43" t="s">
        <v>273</v>
      </c>
      <c r="D47" s="50" t="s">
        <v>46</v>
      </c>
      <c r="E47" s="43" t="str">
        <f>Anchoveta!D13</f>
        <v>Total Region Valparaíso</v>
      </c>
      <c r="F47" s="43" t="s">
        <v>259</v>
      </c>
      <c r="G47" s="43" t="s">
        <v>260</v>
      </c>
      <c r="H47" s="43">
        <f>Anchoveta!F13</f>
        <v>7729.9990000000007</v>
      </c>
      <c r="I47" s="43">
        <f>Anchoveta!G13</f>
        <v>-7331.5860000000002</v>
      </c>
      <c r="J47" s="43">
        <f>Anchoveta!H13</f>
        <v>398.4129999999999</v>
      </c>
      <c r="K47" s="43">
        <f>Anchoveta!I13</f>
        <v>276.76300000000003</v>
      </c>
      <c r="L47" s="43">
        <f>Anchoveta!K13</f>
        <v>121.64999999999986</v>
      </c>
      <c r="M47" s="44">
        <f>Anchoveta!L13</f>
        <v>0.69466357774470233</v>
      </c>
      <c r="N47" s="54">
        <f>Anchoveta!M13</f>
        <v>0</v>
      </c>
      <c r="O47" s="34">
        <f>RESUMEN!$B$3</f>
        <v>44020</v>
      </c>
      <c r="P47" s="11">
        <v>2020</v>
      </c>
    </row>
    <row r="48" spans="1:16">
      <c r="A48" t="s">
        <v>255</v>
      </c>
      <c r="B48" t="s">
        <v>217</v>
      </c>
      <c r="C48" t="s">
        <v>274</v>
      </c>
      <c r="D48" t="s">
        <v>46</v>
      </c>
      <c r="E48" t="str">
        <f>Anchoveta!D15</f>
        <v>Región de O´Higgins</v>
      </c>
      <c r="F48" t="s">
        <v>259</v>
      </c>
      <c r="G48" t="s">
        <v>260</v>
      </c>
      <c r="H48">
        <f>Anchoveta!F15</f>
        <v>50</v>
      </c>
      <c r="I48" s="11">
        <f>Anchoveta!G15</f>
        <v>0</v>
      </c>
      <c r="J48" s="11">
        <f>Anchoveta!H15</f>
        <v>50</v>
      </c>
      <c r="K48" s="11">
        <f>Anchoveta!I15</f>
        <v>0</v>
      </c>
      <c r="L48">
        <f>Anchoveta!K15</f>
        <v>50</v>
      </c>
      <c r="M48" s="42">
        <f>Anchoveta!L15</f>
        <v>0</v>
      </c>
      <c r="N48" s="34">
        <f>Anchoveta!M15</f>
        <v>0</v>
      </c>
      <c r="O48" s="34">
        <f>RESUMEN!$B$3</f>
        <v>44020</v>
      </c>
      <c r="P48" s="11">
        <v>2020</v>
      </c>
    </row>
    <row r="49" spans="1:16">
      <c r="A49" s="43" t="s">
        <v>255</v>
      </c>
      <c r="B49" s="43" t="s">
        <v>217</v>
      </c>
      <c r="C49" s="43" t="s">
        <v>274</v>
      </c>
      <c r="D49" s="43" t="s">
        <v>46</v>
      </c>
      <c r="E49" s="43" t="str">
        <f>Anchoveta!D16</f>
        <v>Total Región de O´Higgins</v>
      </c>
      <c r="F49" s="43" t="s">
        <v>259</v>
      </c>
      <c r="G49" s="43" t="s">
        <v>260</v>
      </c>
      <c r="H49" s="43">
        <f>Anchoveta!F16</f>
        <v>50</v>
      </c>
      <c r="I49" s="43">
        <f>Anchoveta!G16</f>
        <v>0</v>
      </c>
      <c r="J49" s="43">
        <f>Anchoveta!H16</f>
        <v>50</v>
      </c>
      <c r="K49" s="43">
        <f>Anchoveta!I16</f>
        <v>0</v>
      </c>
      <c r="L49" s="43">
        <f>Anchoveta!K16</f>
        <v>50</v>
      </c>
      <c r="M49" s="44">
        <f>Anchoveta!L16</f>
        <v>0</v>
      </c>
      <c r="N49" s="54">
        <f>Anchoveta!M16</f>
        <v>0</v>
      </c>
      <c r="O49" s="34">
        <f>RESUMEN!$B$3</f>
        <v>44020</v>
      </c>
      <c r="P49" s="11">
        <v>2020</v>
      </c>
    </row>
    <row r="50" spans="1:16">
      <c r="A50" t="s">
        <v>255</v>
      </c>
      <c r="B50" t="s">
        <v>217</v>
      </c>
      <c r="C50" t="s">
        <v>275</v>
      </c>
      <c r="D50" t="s">
        <v>272</v>
      </c>
      <c r="E50" t="str">
        <f>Anchoveta!D18</f>
        <v>Sindicato de Pescadores "Pelágicos del Maule" Constitución, Registro Sindical Único 07.05.0150</v>
      </c>
      <c r="F50" t="s">
        <v>259</v>
      </c>
      <c r="G50" t="s">
        <v>260</v>
      </c>
      <c r="H50">
        <f>Anchoveta!F18</f>
        <v>483.09399999999999</v>
      </c>
      <c r="I50" s="11">
        <f>Anchoveta!G18</f>
        <v>0</v>
      </c>
      <c r="J50" s="11">
        <f>Anchoveta!H18</f>
        <v>483.09399999999999</v>
      </c>
      <c r="K50" s="11">
        <f>Anchoveta!I18</f>
        <v>72.34</v>
      </c>
      <c r="L50">
        <f>Anchoveta!K18</f>
        <v>410.75400000000002</v>
      </c>
      <c r="M50" s="49">
        <f>Anchoveta!L18</f>
        <v>0.14974311417653707</v>
      </c>
      <c r="N50" s="55">
        <f>Anchoveta!M18</f>
        <v>0</v>
      </c>
      <c r="O50" s="34">
        <f>RESUMEN!$B$3</f>
        <v>44020</v>
      </c>
      <c r="P50" s="11">
        <v>2020</v>
      </c>
    </row>
    <row r="51" spans="1:16">
      <c r="A51" t="s">
        <v>255</v>
      </c>
      <c r="B51" t="s">
        <v>217</v>
      </c>
      <c r="C51" t="s">
        <v>275</v>
      </c>
      <c r="D51" t="s">
        <v>272</v>
      </c>
      <c r="E51" s="11" t="str">
        <f>Anchoveta!D19</f>
        <v>STI Pescadores Artesanales de Constitución SIPARCON, RSU 07.05.0193</v>
      </c>
      <c r="F51" t="s">
        <v>259</v>
      </c>
      <c r="G51" t="s">
        <v>260</v>
      </c>
      <c r="H51" s="11">
        <f>Anchoveta!F19</f>
        <v>261.93099999999998</v>
      </c>
      <c r="I51" s="11">
        <f>Anchoveta!G19</f>
        <v>-261.93</v>
      </c>
      <c r="J51" s="11">
        <f>Anchoveta!H19</f>
        <v>9.9999999997635314E-4</v>
      </c>
      <c r="K51" s="11">
        <f>Anchoveta!I19</f>
        <v>0</v>
      </c>
      <c r="L51" s="11">
        <f>Anchoveta!K19</f>
        <v>9.9999999997635314E-4</v>
      </c>
      <c r="M51" s="49">
        <f>Anchoveta!L19</f>
        <v>0</v>
      </c>
      <c r="N51" s="55">
        <f>Anchoveta!M19</f>
        <v>0</v>
      </c>
      <c r="O51" s="34">
        <f>RESUMEN!$B$3</f>
        <v>44020</v>
      </c>
      <c r="P51" s="11">
        <v>2020</v>
      </c>
    </row>
    <row r="52" spans="1:16">
      <c r="A52" t="s">
        <v>255</v>
      </c>
      <c r="B52" t="s">
        <v>217</v>
      </c>
      <c r="C52" t="s">
        <v>275</v>
      </c>
      <c r="D52" t="s">
        <v>272</v>
      </c>
      <c r="E52" s="11" t="str">
        <f>Anchoveta!D20</f>
        <v>Cuota Residual VII</v>
      </c>
      <c r="F52" t="s">
        <v>259</v>
      </c>
      <c r="G52" t="s">
        <v>260</v>
      </c>
      <c r="H52" s="11">
        <f>Anchoveta!F20</f>
        <v>80.974999999999994</v>
      </c>
      <c r="I52" s="11">
        <f>Anchoveta!G20</f>
        <v>0</v>
      </c>
      <c r="J52" s="11">
        <f>Anchoveta!H20</f>
        <v>80.974999999999994</v>
      </c>
      <c r="K52" s="11">
        <f>Anchoveta!I20</f>
        <v>0</v>
      </c>
      <c r="L52" s="11">
        <f>Anchoveta!K20</f>
        <v>80.974999999999994</v>
      </c>
      <c r="M52" s="49">
        <f>Anchoveta!L20</f>
        <v>0</v>
      </c>
      <c r="N52" s="55">
        <f>Anchoveta!M20</f>
        <v>0</v>
      </c>
      <c r="O52" s="34">
        <f>RESUMEN!$B$3</f>
        <v>44020</v>
      </c>
      <c r="P52" s="11">
        <v>2020</v>
      </c>
    </row>
    <row r="53" spans="1:16">
      <c r="A53" t="s">
        <v>255</v>
      </c>
      <c r="B53" t="s">
        <v>217</v>
      </c>
      <c r="C53" t="s">
        <v>275</v>
      </c>
      <c r="D53" t="s">
        <v>46</v>
      </c>
      <c r="E53" s="11" t="str">
        <f>Anchoveta!D21</f>
        <v>Total Región del Maule</v>
      </c>
      <c r="F53" t="s">
        <v>259</v>
      </c>
      <c r="G53" t="s">
        <v>260</v>
      </c>
      <c r="H53" s="11">
        <f>Anchoveta!F21</f>
        <v>826</v>
      </c>
      <c r="I53" s="11">
        <f>Anchoveta!G21</f>
        <v>-261.93</v>
      </c>
      <c r="J53" s="11">
        <f>Anchoveta!H21</f>
        <v>564.06999999999994</v>
      </c>
      <c r="K53" s="11">
        <f>Anchoveta!I21</f>
        <v>72.34</v>
      </c>
      <c r="L53" s="11">
        <f>Anchoveta!K21</f>
        <v>491.7299999999999</v>
      </c>
      <c r="M53" s="49">
        <f>Anchoveta!L21</f>
        <v>0.12824649422943962</v>
      </c>
      <c r="N53" s="55">
        <f>Anchoveta!M21</f>
        <v>0</v>
      </c>
      <c r="O53" s="34">
        <f>RESUMEN!$B$3</f>
        <v>44020</v>
      </c>
      <c r="P53" s="11">
        <v>2020</v>
      </c>
    </row>
    <row r="54" spans="1:16">
      <c r="A54" t="s">
        <v>255</v>
      </c>
      <c r="B54" t="s">
        <v>217</v>
      </c>
      <c r="C54" t="s">
        <v>277</v>
      </c>
      <c r="D54" t="s">
        <v>272</v>
      </c>
      <c r="E54" t="str">
        <f>Anchoveta!D23</f>
        <v>Agrupación de Armadores Golfo de Arauco, Personalidad Jurídica N° 621</v>
      </c>
      <c r="F54" s="11" t="s">
        <v>259</v>
      </c>
      <c r="G54" s="11" t="s">
        <v>260</v>
      </c>
      <c r="H54">
        <f>Anchoveta!F23</f>
        <v>242.43899999999999</v>
      </c>
      <c r="I54" s="11">
        <f>Anchoveta!G23</f>
        <v>-192.6</v>
      </c>
      <c r="J54" s="11">
        <f>Anchoveta!H23</f>
        <v>49.838999999999999</v>
      </c>
      <c r="K54" s="11">
        <f>Anchoveta!I23</f>
        <v>42.835999999999999</v>
      </c>
      <c r="L54">
        <f>Anchoveta!K23</f>
        <v>7.0030000000000001</v>
      </c>
      <c r="M54" s="49">
        <f>Anchoveta!L23</f>
        <v>0.85948754991071252</v>
      </c>
      <c r="N54" s="55">
        <f>Anchoveta!M23</f>
        <v>0</v>
      </c>
      <c r="O54" s="34">
        <f>RESUMEN!$B$3</f>
        <v>44020</v>
      </c>
      <c r="P54" s="11">
        <v>2020</v>
      </c>
    </row>
    <row r="55" spans="1:16">
      <c r="A55" t="s">
        <v>255</v>
      </c>
      <c r="B55" t="s">
        <v>217</v>
      </c>
      <c r="C55" t="s">
        <v>277</v>
      </c>
      <c r="D55" t="s">
        <v>272</v>
      </c>
      <c r="E55" s="11" t="str">
        <f>Anchoveta!D24</f>
        <v>Agrupación de Armadores y Pescadores Artesanales Pelágicos Puerto Sur Isla Santa María. Personalidad Jurídica N° 1728</v>
      </c>
      <c r="F55" s="11" t="s">
        <v>259</v>
      </c>
      <c r="G55" s="11" t="s">
        <v>260</v>
      </c>
      <c r="H55" s="11">
        <f>Anchoveta!F24</f>
        <v>128.28200000000001</v>
      </c>
      <c r="I55" s="11">
        <f>Anchoveta!G24</f>
        <v>-58.2</v>
      </c>
      <c r="J55" s="11">
        <f>Anchoveta!H24</f>
        <v>70.082000000000008</v>
      </c>
      <c r="K55" s="11">
        <f>Anchoveta!I24</f>
        <v>59.988999999999997</v>
      </c>
      <c r="L55" s="11">
        <f>Anchoveta!K24</f>
        <v>10.093000000000011</v>
      </c>
      <c r="M55" s="49">
        <f>Anchoveta!L24</f>
        <v>0.85598299135298639</v>
      </c>
      <c r="N55" s="55">
        <f>Anchoveta!M24</f>
        <v>0</v>
      </c>
      <c r="O55" s="34">
        <f>RESUMEN!$B$3</f>
        <v>44020</v>
      </c>
      <c r="P55" s="11">
        <v>2020</v>
      </c>
    </row>
    <row r="56" spans="1:16">
      <c r="A56" t="s">
        <v>255</v>
      </c>
      <c r="B56" t="s">
        <v>217</v>
      </c>
      <c r="C56" t="s">
        <v>277</v>
      </c>
      <c r="D56" t="s">
        <v>272</v>
      </c>
      <c r="E56" s="11" t="str">
        <f>Anchoveta!D25</f>
        <v>Agrupación de Armadores y Pescadores Pelágicos de Caleta Tubul, Registro de Organización Comunitaria Funcional 478-2007</v>
      </c>
      <c r="F56" s="11" t="s">
        <v>259</v>
      </c>
      <c r="G56" s="11" t="s">
        <v>260</v>
      </c>
      <c r="H56" s="11">
        <f>Anchoveta!F25</f>
        <v>779.024</v>
      </c>
      <c r="I56" s="11">
        <f>Anchoveta!G25</f>
        <v>-637.79999999999995</v>
      </c>
      <c r="J56" s="11">
        <f>Anchoveta!H25</f>
        <v>141.22400000000005</v>
      </c>
      <c r="K56" s="11">
        <f>Anchoveta!I25</f>
        <v>2.032</v>
      </c>
      <c r="L56" s="11">
        <f>Anchoveta!K25</f>
        <v>139.19200000000004</v>
      </c>
      <c r="M56" s="49">
        <f>Anchoveta!L25</f>
        <v>1.4388489208633089E-2</v>
      </c>
      <c r="N56" s="55">
        <f>Anchoveta!M25</f>
        <v>0</v>
      </c>
      <c r="O56" s="34">
        <f>RESUMEN!$B$3</f>
        <v>44020</v>
      </c>
      <c r="P56" s="11">
        <v>2020</v>
      </c>
    </row>
    <row r="57" spans="1:16">
      <c r="A57" t="s">
        <v>255</v>
      </c>
      <c r="B57" t="s">
        <v>217</v>
      </c>
      <c r="C57" s="11" t="s">
        <v>277</v>
      </c>
      <c r="D57" s="11" t="s">
        <v>272</v>
      </c>
      <c r="E57" s="11" t="str">
        <f>Anchoveta!D26</f>
        <v>Agrupación Gremial de Productores Pelágicos, Armadores Artesanales de Talcahuano, Región del Bío Bío "AGREPAR BIO BIO A.G". Registro de Asociaciones Gremiales N° 468-8</v>
      </c>
      <c r="F57" s="11" t="s">
        <v>259</v>
      </c>
      <c r="G57" s="11" t="s">
        <v>260</v>
      </c>
      <c r="H57" s="11">
        <f>Anchoveta!F26</f>
        <v>913.00300000000004</v>
      </c>
      <c r="I57" s="11">
        <f>Anchoveta!G26</f>
        <v>0</v>
      </c>
      <c r="J57" s="11">
        <f>Anchoveta!H26</f>
        <v>913.00300000000004</v>
      </c>
      <c r="K57" s="11">
        <f>Anchoveta!I26</f>
        <v>320.69099999999997</v>
      </c>
      <c r="L57" s="11">
        <f>Anchoveta!K26</f>
        <v>592.31200000000013</v>
      </c>
      <c r="M57" s="49">
        <f>Anchoveta!L26</f>
        <v>0.35124857202002618</v>
      </c>
      <c r="N57" s="55">
        <f>Anchoveta!M26</f>
        <v>0</v>
      </c>
      <c r="O57" s="34">
        <f>RESUMEN!$B$3</f>
        <v>44020</v>
      </c>
      <c r="P57" s="11">
        <v>2020</v>
      </c>
    </row>
    <row r="58" spans="1:16">
      <c r="A58" s="11" t="s">
        <v>255</v>
      </c>
      <c r="B58" s="11" t="s">
        <v>217</v>
      </c>
      <c r="C58" s="11" t="s">
        <v>277</v>
      </c>
      <c r="D58" s="11" t="s">
        <v>272</v>
      </c>
      <c r="E58" s="11" t="str">
        <f>Anchoveta!D27</f>
        <v>Asociación de Armadores, Pescadores Artesanales y Actividades Afines de la Octava Región, Asociación Gremial ARPESCA A.G., Registro de Asociaciones Gremiales 429-8</v>
      </c>
      <c r="F58" s="11" t="s">
        <v>259</v>
      </c>
      <c r="G58" s="11" t="s">
        <v>260</v>
      </c>
      <c r="H58" s="11">
        <f>Anchoveta!F27</f>
        <v>1535.9059999999999</v>
      </c>
      <c r="I58" s="11">
        <f>Anchoveta!G27</f>
        <v>-709</v>
      </c>
      <c r="J58" s="11">
        <f>Anchoveta!H27</f>
        <v>826.90599999999995</v>
      </c>
      <c r="K58" s="11">
        <f>Anchoveta!I27</f>
        <v>218.24199999999999</v>
      </c>
      <c r="L58" s="11">
        <f>Anchoveta!K27</f>
        <v>608.66399999999999</v>
      </c>
      <c r="M58" s="49">
        <f>Anchoveta!L27</f>
        <v>0.26392600851850151</v>
      </c>
      <c r="N58" s="55">
        <f>Anchoveta!M27</f>
        <v>0</v>
      </c>
      <c r="O58" s="34">
        <f>RESUMEN!$B$3</f>
        <v>44020</v>
      </c>
      <c r="P58" s="11">
        <v>2020</v>
      </c>
    </row>
    <row r="59" spans="1:16">
      <c r="A59" s="11" t="s">
        <v>255</v>
      </c>
      <c r="B59" s="11" t="s">
        <v>217</v>
      </c>
      <c r="C59" s="11" t="s">
        <v>277</v>
      </c>
      <c r="D59" s="11" t="s">
        <v>272</v>
      </c>
      <c r="E59" s="11" t="str">
        <f>Anchoveta!D28</f>
        <v>Asociación Gremial Armadores Artesanales Pelágico Coronel-Lota del Bío Bío, ARPES BIO BIO A.G., Registro de Asociaciones Gremiales 445-8</v>
      </c>
      <c r="F59" s="11" t="s">
        <v>259</v>
      </c>
      <c r="G59" s="11" t="s">
        <v>260</v>
      </c>
      <c r="H59" s="11">
        <f>Anchoveta!F28</f>
        <v>2654.864</v>
      </c>
      <c r="I59" s="11">
        <f>Anchoveta!G28</f>
        <v>0</v>
      </c>
      <c r="J59" s="11">
        <f>Anchoveta!H28</f>
        <v>2654.864</v>
      </c>
      <c r="K59" s="11">
        <f>Anchoveta!I28</f>
        <v>2822.3789999999999</v>
      </c>
      <c r="L59" s="11">
        <f>Anchoveta!K28</f>
        <v>-167.51499999999987</v>
      </c>
      <c r="M59" s="49">
        <f>Anchoveta!L28</f>
        <v>1.0630973940661366</v>
      </c>
      <c r="N59" s="55">
        <f>Anchoveta!M28</f>
        <v>0</v>
      </c>
      <c r="O59" s="34">
        <f>RESUMEN!$B$3</f>
        <v>44020</v>
      </c>
      <c r="P59" s="11">
        <v>2020</v>
      </c>
    </row>
    <row r="60" spans="1:16">
      <c r="A60" s="11" t="s">
        <v>255</v>
      </c>
      <c r="B60" s="11" t="s">
        <v>217</v>
      </c>
      <c r="C60" s="11" t="s">
        <v>277</v>
      </c>
      <c r="D60" s="11" t="s">
        <v>272</v>
      </c>
      <c r="E60" s="11" t="str">
        <f>Anchoveta!D29</f>
        <v>Asociación Gremial de Armadores Artesanales "ARMAR A.G.". Registro de Asociaciones Gremiales 384-8</v>
      </c>
      <c r="F60" s="11" t="s">
        <v>259</v>
      </c>
      <c r="G60" s="11" t="s">
        <v>260</v>
      </c>
      <c r="H60" s="11">
        <f>Anchoveta!F29</f>
        <v>4017.2</v>
      </c>
      <c r="I60" s="11">
        <f>Anchoveta!G29</f>
        <v>0</v>
      </c>
      <c r="J60" s="11">
        <f>Anchoveta!H29</f>
        <v>4017.2</v>
      </c>
      <c r="K60" s="11">
        <f>Anchoveta!I29</f>
        <v>2370.0889999999999</v>
      </c>
      <c r="L60" s="11">
        <f>Anchoveta!K29</f>
        <v>1647.1109999999999</v>
      </c>
      <c r="M60" s="49">
        <f>Anchoveta!L29</f>
        <v>0.58998531315344027</v>
      </c>
      <c r="N60" s="55">
        <f>Anchoveta!M29</f>
        <v>0</v>
      </c>
      <c r="O60" s="34">
        <f>RESUMEN!$B$3</f>
        <v>44020</v>
      </c>
      <c r="P60" s="11">
        <v>2020</v>
      </c>
    </row>
    <row r="61" spans="1:16">
      <c r="A61" s="11" t="s">
        <v>255</v>
      </c>
      <c r="B61" s="11" t="s">
        <v>217</v>
      </c>
      <c r="C61" s="11" t="s">
        <v>277</v>
      </c>
      <c r="D61" s="11" t="s">
        <v>272</v>
      </c>
      <c r="E61" s="11" t="str">
        <f>Anchoveta!D30</f>
        <v xml:space="preserve">Asociación Gremial de Armadores Artesanales VALLEMAR LOTA, Registro de Asociaciones Gremiales 548-8 </v>
      </c>
      <c r="F61" s="11" t="s">
        <v>259</v>
      </c>
      <c r="G61" s="11" t="s">
        <v>260</v>
      </c>
      <c r="H61" s="11">
        <f>Anchoveta!F30</f>
        <v>1528.829</v>
      </c>
      <c r="I61" s="11">
        <f>Anchoveta!G30</f>
        <v>0</v>
      </c>
      <c r="J61" s="11">
        <f>Anchoveta!H30</f>
        <v>1528.829</v>
      </c>
      <c r="K61" s="11">
        <f>Anchoveta!I30</f>
        <v>1548.5340000000001</v>
      </c>
      <c r="L61" s="11">
        <f>Anchoveta!K30</f>
        <v>-19.705000000000155</v>
      </c>
      <c r="M61" s="49">
        <f>Anchoveta!L30</f>
        <v>1.012888949647083</v>
      </c>
      <c r="N61" s="55">
        <f>Anchoveta!M30</f>
        <v>0</v>
      </c>
      <c r="O61" s="34">
        <f>RESUMEN!$B$3</f>
        <v>44020</v>
      </c>
      <c r="P61" s="11">
        <v>2020</v>
      </c>
    </row>
    <row r="62" spans="1:16">
      <c r="A62" s="11" t="s">
        <v>255</v>
      </c>
      <c r="B62" s="11" t="s">
        <v>217</v>
      </c>
      <c r="C62" s="11" t="s">
        <v>277</v>
      </c>
      <c r="D62" s="11" t="s">
        <v>272</v>
      </c>
      <c r="E62" s="11" t="str">
        <f>Anchoveta!D31</f>
        <v>Asociación Gremial de Armadores Artesanales y Productores Pelágicos de la Caleta el Morro de Talcahuano - AGEMAPAR, Registro de Asociaciones Gremiales 376-8</v>
      </c>
      <c r="F62" s="11" t="s">
        <v>259</v>
      </c>
      <c r="G62" s="11" t="s">
        <v>260</v>
      </c>
      <c r="H62" s="11">
        <f>Anchoveta!F31</f>
        <v>1838.4480000000001</v>
      </c>
      <c r="I62" s="11">
        <f>Anchoveta!G31</f>
        <v>0</v>
      </c>
      <c r="J62" s="11">
        <f>Anchoveta!H31</f>
        <v>1838.4480000000001</v>
      </c>
      <c r="K62" s="11">
        <f>Anchoveta!I31</f>
        <v>2933.6559999999999</v>
      </c>
      <c r="L62" s="11">
        <f>Anchoveta!K31</f>
        <v>-1095.2079999999999</v>
      </c>
      <c r="M62" s="49">
        <f>Anchoveta!L31</f>
        <v>1.5957242195591064</v>
      </c>
      <c r="N62" s="55">
        <f>Anchoveta!M31</f>
        <v>0</v>
      </c>
      <c r="O62" s="34">
        <f>RESUMEN!$B$3</f>
        <v>44020</v>
      </c>
      <c r="P62" s="11">
        <v>2020</v>
      </c>
    </row>
    <row r="63" spans="1:16">
      <c r="A63" s="11" t="s">
        <v>255</v>
      </c>
      <c r="B63" s="11" t="s">
        <v>217</v>
      </c>
      <c r="C63" s="11" t="s">
        <v>277</v>
      </c>
      <c r="D63" s="11" t="s">
        <v>272</v>
      </c>
      <c r="E63" s="11" t="str">
        <f>Anchoveta!D32</f>
        <v>Asociación Gremial de Armadores Embarcaciones Menores "AG MENOR COLIUMO". Registro de Asociaciones Gremiales 507-8</v>
      </c>
      <c r="F63" s="11" t="s">
        <v>259</v>
      </c>
      <c r="G63" s="11" t="s">
        <v>260</v>
      </c>
      <c r="H63" s="11">
        <f>Anchoveta!F32</f>
        <v>168.94200000000001</v>
      </c>
      <c r="I63" s="11">
        <f>Anchoveta!G32</f>
        <v>-95</v>
      </c>
      <c r="J63" s="11">
        <f>Anchoveta!H32</f>
        <v>73.942000000000007</v>
      </c>
      <c r="K63" s="11">
        <f>Anchoveta!I32</f>
        <v>2.7370000000000001</v>
      </c>
      <c r="L63" s="11">
        <f>Anchoveta!K32</f>
        <v>71.205000000000013</v>
      </c>
      <c r="M63" s="49">
        <f>Anchoveta!L32</f>
        <v>3.7015498634064538E-2</v>
      </c>
      <c r="N63" s="55">
        <f>Anchoveta!M32</f>
        <v>43986</v>
      </c>
      <c r="O63" s="34">
        <f>RESUMEN!$B$3</f>
        <v>44020</v>
      </c>
      <c r="P63" s="11">
        <v>2020</v>
      </c>
    </row>
    <row r="64" spans="1:16">
      <c r="A64" s="11" t="s">
        <v>255</v>
      </c>
      <c r="B64" s="11" t="s">
        <v>217</v>
      </c>
      <c r="C64" s="11" t="s">
        <v>277</v>
      </c>
      <c r="D64" s="11" t="s">
        <v>272</v>
      </c>
      <c r="E64" s="11" t="str">
        <f>Anchoveta!D33</f>
        <v>Asociación Gremial de Armadores y Pescadores Artesanales  Miramar BioBio " MIRAMAR BIOBIO  A.G." Registro de Organizaciones Gremiales 633-8</v>
      </c>
      <c r="F64" s="11" t="s">
        <v>259</v>
      </c>
      <c r="G64" s="11" t="s">
        <v>260</v>
      </c>
      <c r="H64" s="11">
        <f>Anchoveta!F33</f>
        <v>1027.27</v>
      </c>
      <c r="I64" s="11">
        <f>Anchoveta!G33</f>
        <v>-50</v>
      </c>
      <c r="J64" s="11">
        <f>Anchoveta!H33</f>
        <v>977.27</v>
      </c>
      <c r="K64" s="11">
        <f>Anchoveta!I33</f>
        <v>813.41</v>
      </c>
      <c r="L64" s="11">
        <f>Anchoveta!K33</f>
        <v>163.86</v>
      </c>
      <c r="M64" s="49">
        <f>Anchoveta!L33</f>
        <v>0.83232883440604943</v>
      </c>
      <c r="N64" s="55">
        <f>Anchoveta!M33</f>
        <v>0</v>
      </c>
      <c r="O64" s="34">
        <f>RESUMEN!$B$3</f>
        <v>44020</v>
      </c>
      <c r="P64" s="11">
        <v>2020</v>
      </c>
    </row>
    <row r="65" spans="1:16">
      <c r="A65" s="11" t="s">
        <v>255</v>
      </c>
      <c r="B65" s="11" t="s">
        <v>217</v>
      </c>
      <c r="C65" s="11" t="s">
        <v>277</v>
      </c>
      <c r="D65" s="11" t="s">
        <v>272</v>
      </c>
      <c r="E65" s="11" t="str">
        <f>Anchoveta!D34</f>
        <v>ASOCIACION GREMIAL DE ARMADORES, PESCADORES ARTESANALES Y ACTIVIDADES AFINES ARMAPESCA A.G.(RAG 635-8)</v>
      </c>
      <c r="F65" s="11" t="s">
        <v>259</v>
      </c>
      <c r="G65" s="11" t="s">
        <v>260</v>
      </c>
      <c r="H65" s="11">
        <f>Anchoveta!F34</f>
        <v>149.68299999999999</v>
      </c>
      <c r="I65" s="11">
        <f>Anchoveta!G34</f>
        <v>5</v>
      </c>
      <c r="J65" s="11">
        <f>Anchoveta!H34</f>
        <v>154.68299999999999</v>
      </c>
      <c r="K65" s="11">
        <f>Anchoveta!I34</f>
        <v>441.04100000000005</v>
      </c>
      <c r="L65" s="11">
        <f>Anchoveta!K34</f>
        <v>-286.35800000000006</v>
      </c>
      <c r="M65" s="49">
        <f>Anchoveta!L34</f>
        <v>2.8512570870748566</v>
      </c>
      <c r="N65" s="55">
        <f>Anchoveta!M34</f>
        <v>43956</v>
      </c>
      <c r="O65" s="34">
        <f>RESUMEN!$B$3</f>
        <v>44020</v>
      </c>
      <c r="P65" s="11">
        <v>2020</v>
      </c>
    </row>
    <row r="66" spans="1:16">
      <c r="A66" s="11" t="s">
        <v>255</v>
      </c>
      <c r="B66" s="11" t="s">
        <v>217</v>
      </c>
      <c r="C66" s="11" t="s">
        <v>277</v>
      </c>
      <c r="D66" s="11" t="s">
        <v>272</v>
      </c>
      <c r="E66" s="11" t="str">
        <f>Anchoveta!D35</f>
        <v>Asociación Gremial de Armadores, Pescadores Artesanales y Actividades Afines de Lota, Octava región, Registro de Asociaciones Gremiales 577-8</v>
      </c>
      <c r="F66" s="11" t="s">
        <v>259</v>
      </c>
      <c r="G66" s="11" t="s">
        <v>260</v>
      </c>
      <c r="H66" s="11">
        <f>Anchoveta!F35</f>
        <v>1298.7180000000001</v>
      </c>
      <c r="I66" s="11">
        <f>Anchoveta!G35</f>
        <v>1401</v>
      </c>
      <c r="J66" s="11">
        <f>Anchoveta!H35</f>
        <v>2699.7179999999998</v>
      </c>
      <c r="K66" s="11">
        <f>Anchoveta!I35</f>
        <v>2011.9380000000001</v>
      </c>
      <c r="L66" s="11">
        <f>Anchoveta!K35</f>
        <v>687.77999999999975</v>
      </c>
      <c r="M66" s="49">
        <f>Anchoveta!L35</f>
        <v>0.7452400584061003</v>
      </c>
      <c r="N66" s="55">
        <f>Anchoveta!M35</f>
        <v>0</v>
      </c>
      <c r="O66" s="34">
        <f>RESUMEN!$B$3</f>
        <v>44020</v>
      </c>
      <c r="P66" s="11">
        <v>2020</v>
      </c>
    </row>
    <row r="67" spans="1:16">
      <c r="A67" s="11" t="s">
        <v>255</v>
      </c>
      <c r="B67" s="11" t="s">
        <v>217</v>
      </c>
      <c r="C67" s="11" t="s">
        <v>277</v>
      </c>
      <c r="D67" s="11" t="s">
        <v>272</v>
      </c>
      <c r="E67" s="11" t="str">
        <f>Anchoveta!D36</f>
        <v>Asociacion Gremial de Armadores, Pescadores artesanales, Buzos mariscadores, Recolectores de orilla y Ramos afines "A.G. ESCAFANDRAS CON HISTORIA DE TALCAHUANO" Registro Asociaciones Gremiales 62-8</v>
      </c>
      <c r="F67" s="11" t="s">
        <v>259</v>
      </c>
      <c r="G67" s="11" t="s">
        <v>260</v>
      </c>
      <c r="H67" s="11">
        <f>Anchoveta!F36</f>
        <v>449.97500000000002</v>
      </c>
      <c r="I67" s="11">
        <f>Anchoveta!G36</f>
        <v>0</v>
      </c>
      <c r="J67" s="11">
        <f>Anchoveta!H36</f>
        <v>449.97500000000002</v>
      </c>
      <c r="K67" s="11">
        <f>Anchoveta!I36</f>
        <v>542.11300000000006</v>
      </c>
      <c r="L67" s="11">
        <f>Anchoveta!K36</f>
        <v>-92.138000000000034</v>
      </c>
      <c r="M67" s="49">
        <f>Anchoveta!L36</f>
        <v>1.2047624868048226</v>
      </c>
      <c r="N67" s="55">
        <f>Anchoveta!M36</f>
        <v>0</v>
      </c>
      <c r="O67" s="34">
        <f>RESUMEN!$B$3</f>
        <v>44020</v>
      </c>
      <c r="P67" s="11">
        <v>2020</v>
      </c>
    </row>
    <row r="68" spans="1:16" s="11" customFormat="1">
      <c r="A68" s="11" t="s">
        <v>255</v>
      </c>
      <c r="B68" s="11" t="s">
        <v>217</v>
      </c>
      <c r="C68" s="11" t="s">
        <v>277</v>
      </c>
      <c r="D68" s="11" t="s">
        <v>272</v>
      </c>
      <c r="E68" s="11" t="str">
        <f>Anchoveta!D37</f>
        <v>Asociación Gremial de Pescadores Artesanales BLUE A.G. – BLUE A.G. Registro de Asociaciones Gremiales RAG N° 661-8</v>
      </c>
      <c r="F68" s="11" t="s">
        <v>259</v>
      </c>
      <c r="G68" s="11" t="s">
        <v>260</v>
      </c>
      <c r="H68" s="11">
        <f>Anchoveta!F37</f>
        <v>2437.8150000000001</v>
      </c>
      <c r="I68" s="11">
        <f>Anchoveta!G37</f>
        <v>0</v>
      </c>
      <c r="J68" s="11">
        <f>Anchoveta!H37</f>
        <v>2437.8150000000001</v>
      </c>
      <c r="K68" s="11">
        <f>Anchoveta!I37</f>
        <v>870.84</v>
      </c>
      <c r="L68" s="11">
        <f>Anchoveta!K37</f>
        <v>1566.9749999999999</v>
      </c>
      <c r="M68" s="49">
        <f>Anchoveta!L37</f>
        <v>0.35722152829480497</v>
      </c>
      <c r="N68" s="55">
        <f>Anchoveta!M37</f>
        <v>0</v>
      </c>
      <c r="O68" s="34">
        <f>RESUMEN!$B$3</f>
        <v>44020</v>
      </c>
      <c r="P68" s="11">
        <v>2020</v>
      </c>
    </row>
    <row r="69" spans="1:16">
      <c r="A69" s="11" t="s">
        <v>255</v>
      </c>
      <c r="B69" s="11" t="s">
        <v>217</v>
      </c>
      <c r="C69" s="11" t="s">
        <v>277</v>
      </c>
      <c r="D69" s="11" t="s">
        <v>272</v>
      </c>
      <c r="E69" s="11" t="str">
        <f>Anchoveta!D38</f>
        <v>Asociación Gremial de Pescadores Artesanales de caleta INFIERNILLO, Registro de Asociaciones Gremiales 98-8</v>
      </c>
      <c r="F69" s="11" t="s">
        <v>259</v>
      </c>
      <c r="G69" s="11" t="s">
        <v>260</v>
      </c>
      <c r="H69" s="11">
        <f>Anchoveta!F38</f>
        <v>28.893000000000001</v>
      </c>
      <c r="I69" s="11">
        <f>Anchoveta!G38</f>
        <v>0</v>
      </c>
      <c r="J69" s="11">
        <f>Anchoveta!H38</f>
        <v>28.893000000000001</v>
      </c>
      <c r="K69" s="11">
        <f>Anchoveta!I38</f>
        <v>0</v>
      </c>
      <c r="L69" s="11">
        <f>Anchoveta!K38</f>
        <v>28.893000000000001</v>
      </c>
      <c r="M69" s="49">
        <f>Anchoveta!L38</f>
        <v>0</v>
      </c>
      <c r="N69" s="55">
        <f>Anchoveta!M38</f>
        <v>0</v>
      </c>
      <c r="O69" s="34">
        <f>RESUMEN!$B$3</f>
        <v>44020</v>
      </c>
      <c r="P69" s="11">
        <v>2020</v>
      </c>
    </row>
    <row r="70" spans="1:16">
      <c r="A70" s="11" t="s">
        <v>255</v>
      </c>
      <c r="B70" s="11" t="s">
        <v>217</v>
      </c>
      <c r="C70" s="11" t="s">
        <v>277</v>
      </c>
      <c r="D70" s="11" t="s">
        <v>272</v>
      </c>
      <c r="E70" s="11" t="str">
        <f>Anchoveta!D39</f>
        <v>Asociación Gremial de Pescadores Artesanales de Coronel, Registro de Asociaciones Gremiales 5-8</v>
      </c>
      <c r="F70" s="11" t="s">
        <v>259</v>
      </c>
      <c r="G70" s="11" t="s">
        <v>260</v>
      </c>
      <c r="H70" s="11">
        <f>Anchoveta!F39</f>
        <v>10527.395</v>
      </c>
      <c r="I70" s="11">
        <f>Anchoveta!G39</f>
        <v>1658</v>
      </c>
      <c r="J70" s="11">
        <f>Anchoveta!H39</f>
        <v>12185.395</v>
      </c>
      <c r="K70" s="11">
        <f>Anchoveta!I39</f>
        <v>10106.485000000001</v>
      </c>
      <c r="L70" s="11">
        <f>Anchoveta!K39</f>
        <v>2078.91</v>
      </c>
      <c r="M70" s="49">
        <f>Anchoveta!L39</f>
        <v>0.82939330239192088</v>
      </c>
      <c r="N70" s="55">
        <f>Anchoveta!M39</f>
        <v>0</v>
      </c>
      <c r="O70" s="34">
        <f>RESUMEN!$B$3</f>
        <v>44020</v>
      </c>
      <c r="P70" s="11">
        <v>2020</v>
      </c>
    </row>
    <row r="71" spans="1:16">
      <c r="A71" s="11" t="s">
        <v>255</v>
      </c>
      <c r="B71" s="11" t="s">
        <v>217</v>
      </c>
      <c r="C71" s="11" t="s">
        <v>277</v>
      </c>
      <c r="D71" s="11" t="s">
        <v>272</v>
      </c>
      <c r="E71" s="11" t="str">
        <f>Anchoveta!D40</f>
        <v>Asociación Gremial de Pescadores Artesanales de Lota - A.G. APESCA Lota, Registro de Asociaciones Gremiales 428-8</v>
      </c>
      <c r="F71" s="11" t="s">
        <v>259</v>
      </c>
      <c r="G71" s="11" t="s">
        <v>260</v>
      </c>
      <c r="H71" s="11">
        <f>Anchoveta!F40</f>
        <v>156.035</v>
      </c>
      <c r="I71" s="11">
        <f>Anchoveta!G40</f>
        <v>-20</v>
      </c>
      <c r="J71" s="11">
        <f>Anchoveta!H40</f>
        <v>136.035</v>
      </c>
      <c r="K71" s="11">
        <f>Anchoveta!I40</f>
        <v>74.281999999999996</v>
      </c>
      <c r="L71" s="11">
        <f>Anchoveta!K40</f>
        <v>61.753</v>
      </c>
      <c r="M71" s="49">
        <f>Anchoveta!L40</f>
        <v>0.54605064873010623</v>
      </c>
      <c r="N71" s="55">
        <f>Anchoveta!M40</f>
        <v>0</v>
      </c>
      <c r="O71" s="34">
        <f>RESUMEN!$B$3</f>
        <v>44020</v>
      </c>
      <c r="P71" s="11">
        <v>2020</v>
      </c>
    </row>
    <row r="72" spans="1:16">
      <c r="A72" s="11" t="s">
        <v>255</v>
      </c>
      <c r="B72" s="11" t="s">
        <v>217</v>
      </c>
      <c r="C72" s="11" t="s">
        <v>277</v>
      </c>
      <c r="D72" s="11" t="s">
        <v>272</v>
      </c>
      <c r="E72" s="11" t="str">
        <f>Anchoveta!D41</f>
        <v>Asociación Gremial de Pescadores Artesanales de San Vicente – Talcahuano, Registro de Asociaciones Gremiales 18-8</v>
      </c>
      <c r="F72" s="11" t="s">
        <v>259</v>
      </c>
      <c r="G72" s="11" t="s">
        <v>260</v>
      </c>
      <c r="H72" s="11">
        <f>Anchoveta!F41</f>
        <v>1874.287</v>
      </c>
      <c r="I72" s="11">
        <f>Anchoveta!G41</f>
        <v>194</v>
      </c>
      <c r="J72" s="11">
        <f>Anchoveta!H41</f>
        <v>2068.2870000000003</v>
      </c>
      <c r="K72" s="11">
        <f>Anchoveta!I41</f>
        <v>2176.8389999999999</v>
      </c>
      <c r="L72" s="11">
        <f>Anchoveta!K41</f>
        <v>-108.55199999999968</v>
      </c>
      <c r="M72" s="49">
        <f>Anchoveta!L41</f>
        <v>1.0524840121317784</v>
      </c>
      <c r="N72" s="55">
        <f>Anchoveta!M41</f>
        <v>0</v>
      </c>
      <c r="O72" s="34">
        <f>RESUMEN!$B$3</f>
        <v>44020</v>
      </c>
      <c r="P72" s="11">
        <v>2020</v>
      </c>
    </row>
    <row r="73" spans="1:16">
      <c r="A73" s="11" t="s">
        <v>255</v>
      </c>
      <c r="B73" s="11" t="s">
        <v>217</v>
      </c>
      <c r="C73" s="11" t="s">
        <v>277</v>
      </c>
      <c r="D73" s="11" t="s">
        <v>272</v>
      </c>
      <c r="E73" s="11" t="str">
        <f>Anchoveta!D42</f>
        <v>Asociación Gremial de Pescadores Artesanales, Armadores Artesanales Pelágicos y actividades Afines de la Caleta de LOTA VIII Región A.G.-SIERRA AZUL A.G., Registro de Asociaciones Gremiales 576-8</v>
      </c>
      <c r="F73" s="11" t="s">
        <v>259</v>
      </c>
      <c r="G73" s="11" t="s">
        <v>260</v>
      </c>
      <c r="H73" s="11">
        <f>Anchoveta!F42</f>
        <v>1152.4159999999999</v>
      </c>
      <c r="I73" s="11">
        <f>Anchoveta!G42</f>
        <v>0</v>
      </c>
      <c r="J73" s="11">
        <f>Anchoveta!H42</f>
        <v>1152.4159999999999</v>
      </c>
      <c r="K73" s="11">
        <f>Anchoveta!I42</f>
        <v>592.08199999999999</v>
      </c>
      <c r="L73" s="11">
        <f>Anchoveta!K42</f>
        <v>560.33399999999995</v>
      </c>
      <c r="M73" s="49">
        <f>Anchoveta!L42</f>
        <v>0.51377453974953491</v>
      </c>
      <c r="N73" s="55">
        <f>Anchoveta!M42</f>
        <v>0</v>
      </c>
      <c r="O73" s="34">
        <f>RESUMEN!$B$3</f>
        <v>44020</v>
      </c>
      <c r="P73" s="11">
        <v>2020</v>
      </c>
    </row>
    <row r="74" spans="1:16">
      <c r="A74" s="11" t="s">
        <v>255</v>
      </c>
      <c r="B74" s="11" t="s">
        <v>217</v>
      </c>
      <c r="C74" s="11" t="s">
        <v>277</v>
      </c>
      <c r="D74" s="11" t="s">
        <v>272</v>
      </c>
      <c r="E74" s="11" t="str">
        <f>Anchoveta!D43</f>
        <v>Asociación Gremial de Pescadores y Armadores Artesanales Pelágicos de la Región del Bío Bío, "PESCA MAR A.G.", Registro de Asociaciones Gremiales 450-8</v>
      </c>
      <c r="F74" s="11" t="s">
        <v>259</v>
      </c>
      <c r="G74" s="11" t="s">
        <v>260</v>
      </c>
      <c r="H74" s="11">
        <f>Anchoveta!F43</f>
        <v>1325.674</v>
      </c>
      <c r="I74" s="11">
        <f>Anchoveta!G43</f>
        <v>0</v>
      </c>
      <c r="J74" s="11">
        <f>Anchoveta!H43</f>
        <v>1325.674</v>
      </c>
      <c r="K74" s="11">
        <f>Anchoveta!I43</f>
        <v>1526.9190000000001</v>
      </c>
      <c r="L74" s="11">
        <f>Anchoveta!K43</f>
        <v>-201.24500000000012</v>
      </c>
      <c r="M74" s="49">
        <f>Anchoveta!L43</f>
        <v>1.1518057984089605</v>
      </c>
      <c r="N74" s="55">
        <f>Anchoveta!M43</f>
        <v>0</v>
      </c>
      <c r="O74" s="34">
        <f>RESUMEN!$B$3</f>
        <v>44020</v>
      </c>
      <c r="P74" s="11">
        <v>2020</v>
      </c>
    </row>
    <row r="75" spans="1:16">
      <c r="A75" s="11" t="s">
        <v>255</v>
      </c>
      <c r="B75" s="11" t="s">
        <v>217</v>
      </c>
      <c r="C75" s="11" t="s">
        <v>277</v>
      </c>
      <c r="D75" s="11" t="s">
        <v>272</v>
      </c>
      <c r="E75" s="11" t="str">
        <f>Anchoveta!D44</f>
        <v>Asociación Gremial de Pescadores y Armadores Artesanales Pelágicos Región Bío Bío A.G. ALTAMAR, Registro de Asociaciones Gremiales  555-8</v>
      </c>
      <c r="F75" s="11" t="s">
        <v>259</v>
      </c>
      <c r="G75" s="11" t="s">
        <v>260</v>
      </c>
      <c r="H75" s="11">
        <f>Anchoveta!F44</f>
        <v>2449.5990000000002</v>
      </c>
      <c r="I75" s="11">
        <f>Anchoveta!G44</f>
        <v>0</v>
      </c>
      <c r="J75" s="11">
        <f>Anchoveta!H44</f>
        <v>2449.5990000000002</v>
      </c>
      <c r="K75" s="11">
        <f>Anchoveta!I44</f>
        <v>2420.8560000000002</v>
      </c>
      <c r="L75" s="11">
        <f>Anchoveta!K44</f>
        <v>28.742999999999938</v>
      </c>
      <c r="M75" s="49">
        <f>Anchoveta!L44</f>
        <v>0.98826624276054986</v>
      </c>
      <c r="N75" s="55">
        <f>Anchoveta!M44</f>
        <v>0</v>
      </c>
      <c r="O75" s="34">
        <f>RESUMEN!$B$3</f>
        <v>44020</v>
      </c>
      <c r="P75" s="11">
        <v>2020</v>
      </c>
    </row>
    <row r="76" spans="1:16">
      <c r="A76" s="11" t="s">
        <v>255</v>
      </c>
      <c r="B76" s="11" t="s">
        <v>217</v>
      </c>
      <c r="C76" s="11" t="s">
        <v>277</v>
      </c>
      <c r="D76" s="11" t="s">
        <v>272</v>
      </c>
      <c r="E76" s="11" t="str">
        <f>Anchoveta!D45</f>
        <v>Asociación Gremial de Productores Pelágicos Artesanales de las Caletas de Talcahuano y San Vicente de la VIII Región GEMAR A.G., Registro de Asociaciones Gremiales 464-8</v>
      </c>
      <c r="F76" s="11" t="s">
        <v>259</v>
      </c>
      <c r="G76" s="11" t="s">
        <v>260</v>
      </c>
      <c r="H76" s="11">
        <f>Anchoveta!F45</f>
        <v>1960.365</v>
      </c>
      <c r="I76" s="11">
        <f>Anchoveta!G45</f>
        <v>0</v>
      </c>
      <c r="J76" s="11">
        <f>Anchoveta!H45</f>
        <v>1960.365</v>
      </c>
      <c r="K76" s="11">
        <f>Anchoveta!I45</f>
        <v>1281.6189999999999</v>
      </c>
      <c r="L76" s="11">
        <f>Anchoveta!K45</f>
        <v>678.74600000000009</v>
      </c>
      <c r="M76" s="49">
        <f>Anchoveta!L45</f>
        <v>0.65376549775169412</v>
      </c>
      <c r="N76" s="55">
        <f>Anchoveta!M45</f>
        <v>0</v>
      </c>
      <c r="O76" s="34">
        <f>RESUMEN!$B$3</f>
        <v>44020</v>
      </c>
      <c r="P76" s="11">
        <v>2020</v>
      </c>
    </row>
    <row r="77" spans="1:16">
      <c r="A77" s="11" t="s">
        <v>255</v>
      </c>
      <c r="B77" s="11" t="s">
        <v>217</v>
      </c>
      <c r="C77" s="11" t="s">
        <v>277</v>
      </c>
      <c r="D77" s="11" t="s">
        <v>272</v>
      </c>
      <c r="E77" s="11" t="str">
        <f>Anchoveta!D46</f>
        <v>Asociación Gremial Productores Pelágicos, Armadores Artesanales de la Comuna de Coronel, VIII Región, ARPESCA A.G., Registro de Asociaciones Gremiales 447-8</v>
      </c>
      <c r="F77" s="11" t="s">
        <v>259</v>
      </c>
      <c r="G77" s="11" t="s">
        <v>260</v>
      </c>
      <c r="H77" s="11">
        <f>Anchoveta!F46</f>
        <v>0</v>
      </c>
      <c r="I77" s="11">
        <f>Anchoveta!G46</f>
        <v>0</v>
      </c>
      <c r="J77" s="11">
        <f>Anchoveta!H46</f>
        <v>0</v>
      </c>
      <c r="K77" s="11">
        <f>Anchoveta!I46</f>
        <v>0</v>
      </c>
      <c r="L77" s="11">
        <f>Anchoveta!K46</f>
        <v>0</v>
      </c>
      <c r="M77" s="49">
        <v>0</v>
      </c>
      <c r="N77" s="55">
        <f>Anchoveta!M46</f>
        <v>0</v>
      </c>
      <c r="O77" s="34">
        <f>RESUMEN!$B$3</f>
        <v>44020</v>
      </c>
      <c r="P77" s="11">
        <v>2020</v>
      </c>
    </row>
    <row r="78" spans="1:16">
      <c r="A78" s="11" t="s">
        <v>255</v>
      </c>
      <c r="B78" s="11" t="s">
        <v>217</v>
      </c>
      <c r="C78" s="11" t="s">
        <v>277</v>
      </c>
      <c r="D78" s="11" t="s">
        <v>272</v>
      </c>
      <c r="E78" s="11" t="str">
        <f>Anchoveta!D47</f>
        <v>Cooperativa de Pescadores Sol de Israel Limitada "COOPES LTDA". Rol 5483</v>
      </c>
      <c r="F78" s="11" t="s">
        <v>259</v>
      </c>
      <c r="G78" s="11" t="s">
        <v>260</v>
      </c>
      <c r="H78" s="11">
        <f>Anchoveta!F47</f>
        <v>119.154</v>
      </c>
      <c r="I78" s="11">
        <f>Anchoveta!G47</f>
        <v>5</v>
      </c>
      <c r="J78" s="11">
        <f>Anchoveta!H47</f>
        <v>124.154</v>
      </c>
      <c r="K78" s="11">
        <f>Anchoveta!I47</f>
        <v>147.96199999999999</v>
      </c>
      <c r="L78" s="11">
        <f>Anchoveta!K47</f>
        <v>-23.807999999999993</v>
      </c>
      <c r="M78" s="49">
        <f>Anchoveta!L47</f>
        <v>1.1917618441612836</v>
      </c>
      <c r="N78" s="55">
        <f>Anchoveta!M47</f>
        <v>0</v>
      </c>
      <c r="O78" s="34">
        <f>RESUMEN!$B$3</f>
        <v>44020</v>
      </c>
      <c r="P78" s="11">
        <v>2020</v>
      </c>
    </row>
    <row r="79" spans="1:16">
      <c r="A79" s="11" t="s">
        <v>255</v>
      </c>
      <c r="B79" s="11" t="s">
        <v>217</v>
      </c>
      <c r="C79" s="11" t="s">
        <v>277</v>
      </c>
      <c r="D79" s="11" t="s">
        <v>272</v>
      </c>
      <c r="E79" s="11" t="str">
        <f>Anchoveta!D48</f>
        <v>Cooperativa de Pescadores y Armadores Artesanales de Lota "GEVIMAR". Registro de Cooperativa Rol 4465</v>
      </c>
      <c r="F79" s="11" t="s">
        <v>259</v>
      </c>
      <c r="G79" s="11" t="s">
        <v>260</v>
      </c>
      <c r="H79" s="11">
        <f>Anchoveta!F48</f>
        <v>1510.172</v>
      </c>
      <c r="I79" s="11">
        <f>Anchoveta!G48</f>
        <v>0</v>
      </c>
      <c r="J79" s="11">
        <f>Anchoveta!H48</f>
        <v>1510.172</v>
      </c>
      <c r="K79" s="11">
        <f>Anchoveta!I48</f>
        <v>1298.7539999999999</v>
      </c>
      <c r="L79" s="11">
        <f>Anchoveta!K48</f>
        <v>211.41800000000012</v>
      </c>
      <c r="M79" s="49">
        <f>Anchoveta!L48</f>
        <v>0.86000402603147186</v>
      </c>
      <c r="N79" s="55">
        <f>Anchoveta!M48</f>
        <v>0</v>
      </c>
      <c r="O79" s="34">
        <f>RESUMEN!$B$3</f>
        <v>44020</v>
      </c>
      <c r="P79" s="11">
        <v>2020</v>
      </c>
    </row>
    <row r="80" spans="1:16">
      <c r="A80" s="11" t="s">
        <v>255</v>
      </c>
      <c r="B80" s="11" t="s">
        <v>217</v>
      </c>
      <c r="C80" s="11" t="s">
        <v>277</v>
      </c>
      <c r="D80" s="11" t="s">
        <v>272</v>
      </c>
      <c r="E80" s="11" t="str">
        <f>Anchoveta!D49</f>
        <v>Cooperativa Pesquera Artesanal de Coronel Limitada. ROL 5472</v>
      </c>
      <c r="F80" s="11" t="s">
        <v>259</v>
      </c>
      <c r="G80" s="11" t="s">
        <v>260</v>
      </c>
      <c r="H80" s="11">
        <f>Anchoveta!F49</f>
        <v>5.9809999999999999</v>
      </c>
      <c r="I80" s="11">
        <f>Anchoveta!G49</f>
        <v>-5.9</v>
      </c>
      <c r="J80" s="11">
        <f>Anchoveta!H49</f>
        <v>8.0999999999999517E-2</v>
      </c>
      <c r="K80" s="11">
        <f>Anchoveta!I49</f>
        <v>0</v>
      </c>
      <c r="L80" s="11">
        <f>Anchoveta!K49</f>
        <v>8.0999999999999517E-2</v>
      </c>
      <c r="M80" s="49">
        <f>Anchoveta!L49</f>
        <v>0</v>
      </c>
      <c r="N80" s="55">
        <f>Anchoveta!M49</f>
        <v>0</v>
      </c>
      <c r="O80" s="34">
        <f>RESUMEN!$B$3</f>
        <v>44020</v>
      </c>
      <c r="P80" s="11">
        <v>2020</v>
      </c>
    </row>
    <row r="81" spans="1:16">
      <c r="A81" s="11" t="s">
        <v>255</v>
      </c>
      <c r="B81" s="11" t="s">
        <v>217</v>
      </c>
      <c r="C81" s="11" t="s">
        <v>277</v>
      </c>
      <c r="D81" s="11" t="s">
        <v>272</v>
      </c>
      <c r="E81" s="11" t="str">
        <f>Anchoveta!D50</f>
        <v>Sindicato de  Pescadores Artesanales, Armadores Pelágicos y Actividades Conexas de la Caleta Vegas de Coliumo. Registro Sindical Único 08.06.0113</v>
      </c>
      <c r="F81" s="11" t="s">
        <v>259</v>
      </c>
      <c r="G81" s="11" t="s">
        <v>260</v>
      </c>
      <c r="H81" s="11">
        <f>Anchoveta!F50</f>
        <v>1174.317</v>
      </c>
      <c r="I81" s="11">
        <f>Anchoveta!G50</f>
        <v>-127.1</v>
      </c>
      <c r="J81" s="11">
        <f>Anchoveta!H50</f>
        <v>1047.2170000000001</v>
      </c>
      <c r="K81" s="11">
        <f>Anchoveta!I50</f>
        <v>541.16499999999996</v>
      </c>
      <c r="L81" s="11">
        <f>Anchoveta!K50</f>
        <v>506.05200000000013</v>
      </c>
      <c r="M81" s="49">
        <f>Anchoveta!L50</f>
        <v>0.5167649111884165</v>
      </c>
      <c r="N81" s="55">
        <f>Anchoveta!M50</f>
        <v>0</v>
      </c>
      <c r="O81" s="34">
        <f>RESUMEN!$B$3</f>
        <v>44020</v>
      </c>
      <c r="P81" s="11">
        <v>2020</v>
      </c>
    </row>
    <row r="82" spans="1:16">
      <c r="A82" s="11" t="s">
        <v>255</v>
      </c>
      <c r="B82" s="11" t="s">
        <v>217</v>
      </c>
      <c r="C82" s="11" t="s">
        <v>277</v>
      </c>
      <c r="D82" s="11" t="s">
        <v>272</v>
      </c>
      <c r="E82" s="11" t="str">
        <f>Anchoveta!D51</f>
        <v>Sindicato de Armadores y Pescadores Mares Profundo. Registro Sindical Unico 08.04.0179</v>
      </c>
      <c r="F82" s="11" t="s">
        <v>259</v>
      </c>
      <c r="G82" s="11" t="s">
        <v>260</v>
      </c>
      <c r="H82" s="11">
        <f>Anchoveta!F51</f>
        <v>149.79300000000001</v>
      </c>
      <c r="I82" s="11">
        <f>Anchoveta!G51</f>
        <v>-149.69999999999999</v>
      </c>
      <c r="J82" s="11">
        <f>Anchoveta!H51</f>
        <v>9.3000000000017735E-2</v>
      </c>
      <c r="K82" s="11">
        <f>Anchoveta!I51</f>
        <v>0</v>
      </c>
      <c r="L82" s="11">
        <f>Anchoveta!K51</f>
        <v>9.3000000000017735E-2</v>
      </c>
      <c r="M82" s="49">
        <f>Anchoveta!L51</f>
        <v>0</v>
      </c>
      <c r="N82" s="55">
        <f>Anchoveta!M51</f>
        <v>0</v>
      </c>
      <c r="O82" s="34">
        <f>RESUMEN!$B$3</f>
        <v>44020</v>
      </c>
      <c r="P82" s="11">
        <v>2020</v>
      </c>
    </row>
    <row r="83" spans="1:16">
      <c r="A83" s="11" t="s">
        <v>255</v>
      </c>
      <c r="B83" s="11" t="s">
        <v>217</v>
      </c>
      <c r="C83" s="11" t="s">
        <v>277</v>
      </c>
      <c r="D83" s="11" t="s">
        <v>272</v>
      </c>
      <c r="E83" s="11" t="str">
        <f>Anchoveta!D52</f>
        <v>Sindicato de Pescadores Artesanales y Armadores Artesanales de la Octava Región "SPAADA SD". Registro Sindical Único 08.05.0339</v>
      </c>
      <c r="F83" s="11" t="s">
        <v>259</v>
      </c>
      <c r="G83" s="11" t="s">
        <v>260</v>
      </c>
      <c r="H83" s="11">
        <f>Anchoveta!F52</f>
        <v>2215.2530000000002</v>
      </c>
      <c r="I83" s="11">
        <f>Anchoveta!G52</f>
        <v>182.7</v>
      </c>
      <c r="J83" s="11">
        <f>Anchoveta!H52</f>
        <v>2397.953</v>
      </c>
      <c r="K83" s="11">
        <f>Anchoveta!I52</f>
        <v>1962.1489999999999</v>
      </c>
      <c r="L83" s="11">
        <f>Anchoveta!K52</f>
        <v>435.80400000000009</v>
      </c>
      <c r="M83" s="49">
        <f>Anchoveta!L52</f>
        <v>0.8182599909172531</v>
      </c>
      <c r="N83" s="55">
        <f>Anchoveta!M52</f>
        <v>0</v>
      </c>
      <c r="O83" s="34">
        <f>RESUMEN!$B$3</f>
        <v>44020</v>
      </c>
      <c r="P83" s="11">
        <v>2020</v>
      </c>
    </row>
    <row r="84" spans="1:16">
      <c r="A84" s="11" t="s">
        <v>255</v>
      </c>
      <c r="B84" s="11" t="s">
        <v>217</v>
      </c>
      <c r="C84" s="11" t="s">
        <v>277</v>
      </c>
      <c r="D84" s="11" t="s">
        <v>272</v>
      </c>
      <c r="E84" s="11" t="str">
        <f>Anchoveta!D53</f>
        <v>Sindicato de Pescadores y Armadores Artesanales del Mar "SIPARMAR - Talcahuano". Registro Sindical Único 08.05.0399</v>
      </c>
      <c r="F84" s="11" t="s">
        <v>259</v>
      </c>
      <c r="G84" s="11" t="s">
        <v>260</v>
      </c>
      <c r="H84" s="11">
        <f>Anchoveta!F53</f>
        <v>3381.0709999999999</v>
      </c>
      <c r="I84" s="11">
        <f>Anchoveta!G53</f>
        <v>544</v>
      </c>
      <c r="J84" s="11">
        <f>Anchoveta!H53</f>
        <v>3925.0709999999999</v>
      </c>
      <c r="K84" s="11">
        <f>Anchoveta!I53</f>
        <v>5070.866</v>
      </c>
      <c r="L84" s="11">
        <f>Anchoveta!K53</f>
        <v>-1145.7950000000001</v>
      </c>
      <c r="M84" s="49">
        <f>Anchoveta!L53</f>
        <v>1.29191701245659</v>
      </c>
      <c r="N84" s="55">
        <f>Anchoveta!M53</f>
        <v>0</v>
      </c>
      <c r="O84" s="34">
        <f>RESUMEN!$B$3</f>
        <v>44020</v>
      </c>
      <c r="P84" s="11">
        <v>2020</v>
      </c>
    </row>
    <row r="85" spans="1:16">
      <c r="A85" s="11" t="s">
        <v>255</v>
      </c>
      <c r="B85" s="11" t="s">
        <v>217</v>
      </c>
      <c r="C85" s="11" t="s">
        <v>277</v>
      </c>
      <c r="D85" s="11" t="s">
        <v>272</v>
      </c>
      <c r="E85" s="11" t="str">
        <f>Anchoveta!D54</f>
        <v>Sindicato de Trabajadores Independientes "Brisas del Mar". Registro Sindical Único 08.04.0115</v>
      </c>
      <c r="F85" s="11" t="s">
        <v>259</v>
      </c>
      <c r="G85" s="11" t="s">
        <v>260</v>
      </c>
      <c r="H85" s="11">
        <f>Anchoveta!F54</f>
        <v>8.9999999999999993E-3</v>
      </c>
      <c r="I85" s="11">
        <f>Anchoveta!G54</f>
        <v>0</v>
      </c>
      <c r="J85" s="11">
        <f>Anchoveta!H54</f>
        <v>8.9999999999999993E-3</v>
      </c>
      <c r="K85" s="11">
        <f>Anchoveta!I54</f>
        <v>0</v>
      </c>
      <c r="L85" s="11">
        <f>Anchoveta!K54</f>
        <v>8.9999999999999993E-3</v>
      </c>
      <c r="M85" s="49">
        <f>Anchoveta!L54</f>
        <v>0</v>
      </c>
      <c r="N85" s="55">
        <f>Anchoveta!M54</f>
        <v>0</v>
      </c>
      <c r="O85" s="34">
        <f>RESUMEN!$B$3</f>
        <v>44020</v>
      </c>
      <c r="P85" s="11">
        <v>2020</v>
      </c>
    </row>
    <row r="86" spans="1:16">
      <c r="A86" s="11" t="s">
        <v>255</v>
      </c>
      <c r="B86" s="11" t="s">
        <v>217</v>
      </c>
      <c r="C86" s="11" t="s">
        <v>277</v>
      </c>
      <c r="D86" s="11" t="s">
        <v>272</v>
      </c>
      <c r="E86" s="11" t="str">
        <f>Anchoveta!D55</f>
        <v>Sindicato de Trabajadores Independientes Armadores  y Pescadores Artesanales, Buzos Mariscadores, Algueros acuicultores y Actividades conexas de la Región del Bio Bio (BIO BIO PESCA), Registro Sindical Único 08.05.0555</v>
      </c>
      <c r="F86" s="11" t="s">
        <v>259</v>
      </c>
      <c r="G86" s="11" t="s">
        <v>260</v>
      </c>
      <c r="H86" s="11">
        <f>Anchoveta!F55</f>
        <v>593.80100000000004</v>
      </c>
      <c r="I86" s="11">
        <f>Anchoveta!G55</f>
        <v>-11</v>
      </c>
      <c r="J86" s="11">
        <f>Anchoveta!H55</f>
        <v>582.80100000000004</v>
      </c>
      <c r="K86" s="11">
        <f>Anchoveta!I55</f>
        <v>665.07899999999995</v>
      </c>
      <c r="L86" s="11">
        <f>Anchoveta!K55</f>
        <v>-82.277999999999906</v>
      </c>
      <c r="M86" s="49">
        <f>Anchoveta!L55</f>
        <v>1.1411768339450343</v>
      </c>
      <c r="N86" s="55">
        <f>Anchoveta!M55</f>
        <v>0</v>
      </c>
      <c r="O86" s="34">
        <f>RESUMEN!$B$3</f>
        <v>44020</v>
      </c>
      <c r="P86" s="11">
        <v>2020</v>
      </c>
    </row>
    <row r="87" spans="1:16">
      <c r="A87" s="11" t="s">
        <v>255</v>
      </c>
      <c r="B87" s="11" t="s">
        <v>217</v>
      </c>
      <c r="C87" s="11" t="s">
        <v>277</v>
      </c>
      <c r="D87" s="11" t="s">
        <v>272</v>
      </c>
      <c r="E87" s="11" t="str">
        <f>Anchoveta!D56</f>
        <v>Sindicato de Trabajadores Independientes Armadores Pescadores Artesanales, Algueros y Ramos Afines "MEDITERRANEO". Registro Sindical Único 08.05.0605</v>
      </c>
      <c r="F87" s="11" t="s">
        <v>259</v>
      </c>
      <c r="G87" s="11" t="s">
        <v>260</v>
      </c>
      <c r="H87" s="11">
        <f>Anchoveta!F56</f>
        <v>884.30100000000004</v>
      </c>
      <c r="I87" s="11">
        <f>Anchoveta!G56</f>
        <v>-10</v>
      </c>
      <c r="J87" s="11">
        <f>Anchoveta!H56</f>
        <v>874.30100000000004</v>
      </c>
      <c r="K87" s="11">
        <f>Anchoveta!I56</f>
        <v>1074.46</v>
      </c>
      <c r="L87" s="11">
        <f>Anchoveta!K56</f>
        <v>-200.15899999999999</v>
      </c>
      <c r="M87" s="49">
        <f>Anchoveta!L56</f>
        <v>1.2289360300399976</v>
      </c>
      <c r="N87" s="55">
        <f>Anchoveta!M56</f>
        <v>0</v>
      </c>
      <c r="O87" s="34">
        <f>RESUMEN!$B$3</f>
        <v>44020</v>
      </c>
      <c r="P87" s="11">
        <v>2020</v>
      </c>
    </row>
    <row r="88" spans="1:16">
      <c r="A88" s="11" t="s">
        <v>255</v>
      </c>
      <c r="B88" s="11" t="s">
        <v>217</v>
      </c>
      <c r="C88" s="11" t="s">
        <v>277</v>
      </c>
      <c r="D88" s="11" t="s">
        <v>272</v>
      </c>
      <c r="E88" s="11" t="str">
        <f>Anchoveta!D57</f>
        <v>Sindicato de Trabajadores Independientes Armadores Pescadores del Mar "SIARPEMAR". Registro Sindical Único 08.05.0459.</v>
      </c>
      <c r="F88" s="11" t="s">
        <v>259</v>
      </c>
      <c r="G88" s="11" t="s">
        <v>260</v>
      </c>
      <c r="H88" s="11">
        <f>Anchoveta!F57</f>
        <v>295.60500000000002</v>
      </c>
      <c r="I88" s="11">
        <f>Anchoveta!G57</f>
        <v>484</v>
      </c>
      <c r="J88" s="11">
        <f>Anchoveta!H57</f>
        <v>779.60500000000002</v>
      </c>
      <c r="K88" s="11">
        <f>Anchoveta!I57</f>
        <v>665.25</v>
      </c>
      <c r="L88" s="11">
        <f>Anchoveta!K57</f>
        <v>114.35500000000002</v>
      </c>
      <c r="M88" s="49">
        <f>Anchoveta!L57</f>
        <v>0.85331674373560973</v>
      </c>
      <c r="N88" s="55">
        <f>Anchoveta!M57</f>
        <v>0</v>
      </c>
      <c r="O88" s="34">
        <f>RESUMEN!$B$3</f>
        <v>44020</v>
      </c>
      <c r="P88" s="11">
        <v>2020</v>
      </c>
    </row>
    <row r="89" spans="1:16">
      <c r="A89" s="11" t="s">
        <v>255</v>
      </c>
      <c r="B89" s="11" t="s">
        <v>217</v>
      </c>
      <c r="C89" s="11" t="s">
        <v>277</v>
      </c>
      <c r="D89" s="11" t="s">
        <v>272</v>
      </c>
      <c r="E89" s="11" t="str">
        <f>Anchoveta!D58</f>
        <v xml:space="preserve"> Sindicato de Trabajadores Independientes Armadores y Pescadores Artesanales y Ramos Afines  Caleta La Gloria comuna de Talcahuano, Registro Sindical Único 08.05.0603</v>
      </c>
      <c r="F89" s="11" t="s">
        <v>259</v>
      </c>
      <c r="G89" s="11" t="s">
        <v>260</v>
      </c>
      <c r="H89" s="11">
        <f>Anchoveta!F58</f>
        <v>1698.9359999999999</v>
      </c>
      <c r="I89" s="11">
        <f>Anchoveta!G58</f>
        <v>232.1</v>
      </c>
      <c r="J89" s="11">
        <f>Anchoveta!H58</f>
        <v>1931.0359999999998</v>
      </c>
      <c r="K89" s="11">
        <f>Anchoveta!I58</f>
        <v>1226.5550000000001</v>
      </c>
      <c r="L89" s="11">
        <f>Anchoveta!K58</f>
        <v>704.48099999999977</v>
      </c>
      <c r="M89" s="49">
        <f>Anchoveta!L58</f>
        <v>0.63517976878732463</v>
      </c>
      <c r="N89" s="55">
        <f>Anchoveta!M58</f>
        <v>0</v>
      </c>
      <c r="O89" s="34">
        <f>RESUMEN!$B$3</f>
        <v>44020</v>
      </c>
      <c r="P89" s="11">
        <v>2020</v>
      </c>
    </row>
    <row r="90" spans="1:16">
      <c r="A90" s="11" t="s">
        <v>255</v>
      </c>
      <c r="B90" s="11" t="s">
        <v>217</v>
      </c>
      <c r="C90" s="11" t="s">
        <v>277</v>
      </c>
      <c r="D90" s="11" t="s">
        <v>272</v>
      </c>
      <c r="E90" s="11" t="str">
        <f>Anchoveta!D59</f>
        <v>Sindicato de Trabajadores Independientes Armadores y Pescadores y Ramos Afines de la Pesca Artesanal de la Caleta Lo Rojas "SITRAL", Registro Sindical Único 08.07.0322</v>
      </c>
      <c r="F90" s="11" t="s">
        <v>259</v>
      </c>
      <c r="G90" s="11" t="s">
        <v>260</v>
      </c>
      <c r="H90" s="11">
        <f>Anchoveta!F59</f>
        <v>928.66300000000001</v>
      </c>
      <c r="I90" s="11">
        <f>Anchoveta!G59</f>
        <v>-217</v>
      </c>
      <c r="J90" s="11">
        <f>Anchoveta!H59</f>
        <v>711.66300000000001</v>
      </c>
      <c r="K90" s="11">
        <f>Anchoveta!I59</f>
        <v>490.07900000000001</v>
      </c>
      <c r="L90" s="11">
        <f>Anchoveta!K59</f>
        <v>221.584</v>
      </c>
      <c r="M90" s="49">
        <f>Anchoveta!L59</f>
        <v>0.68863914521339453</v>
      </c>
      <c r="N90" s="55">
        <f>Anchoveta!M59</f>
        <v>0</v>
      </c>
      <c r="O90" s="34">
        <f>RESUMEN!$B$3</f>
        <v>44020</v>
      </c>
      <c r="P90" s="11">
        <v>2020</v>
      </c>
    </row>
    <row r="91" spans="1:16">
      <c r="A91" s="11" t="s">
        <v>255</v>
      </c>
      <c r="B91" s="11" t="s">
        <v>217</v>
      </c>
      <c r="C91" s="11" t="s">
        <v>277</v>
      </c>
      <c r="D91" s="11" t="s">
        <v>272</v>
      </c>
      <c r="E91" s="11" t="str">
        <f>Anchoveta!D60</f>
        <v>Sindicato de Trabajadores Independientes Armadores, Pescadores y Ramos Afines de la Pesca Artesanal de la Región del  Bio-Bio, "SARPAR BIO-BIO". Registro Sindical Único 08.05.0378</v>
      </c>
      <c r="F91" s="11" t="s">
        <v>259</v>
      </c>
      <c r="G91" s="11" t="s">
        <v>260</v>
      </c>
      <c r="H91" s="11">
        <f>Anchoveta!F60</f>
        <v>476.274</v>
      </c>
      <c r="I91" s="11">
        <f>Anchoveta!G60</f>
        <v>0</v>
      </c>
      <c r="J91" s="11">
        <f>Anchoveta!H60</f>
        <v>476.274</v>
      </c>
      <c r="K91" s="11">
        <f>Anchoveta!I60</f>
        <v>254.50299999999999</v>
      </c>
      <c r="L91" s="11">
        <f>Anchoveta!K60</f>
        <v>221.77100000000002</v>
      </c>
      <c r="M91" s="49">
        <f>Anchoveta!L60</f>
        <v>0.53436257280472998</v>
      </c>
      <c r="N91" s="55">
        <f>Anchoveta!M60</f>
        <v>0</v>
      </c>
      <c r="O91" s="34">
        <f>RESUMEN!$B$3</f>
        <v>44020</v>
      </c>
      <c r="P91" s="11">
        <v>2020</v>
      </c>
    </row>
    <row r="92" spans="1:16">
      <c r="A92" s="11" t="s">
        <v>255</v>
      </c>
      <c r="B92" s="11" t="s">
        <v>217</v>
      </c>
      <c r="C92" s="11" t="s">
        <v>277</v>
      </c>
      <c r="D92" s="11" t="s">
        <v>272</v>
      </c>
      <c r="E92" s="11" t="str">
        <f>Anchoveta!D61</f>
        <v>Sindicato de Trabajadores Independientes de Armadores y Pescadores Artesanales y Ramas afines, Registro Sindical Único 08.05.0512</v>
      </c>
      <c r="F92" s="11" t="s">
        <v>259</v>
      </c>
      <c r="G92" s="11" t="s">
        <v>260</v>
      </c>
      <c r="H92" s="11">
        <f>Anchoveta!F61</f>
        <v>1490.239</v>
      </c>
      <c r="I92" s="11">
        <f>Anchoveta!G61</f>
        <v>0</v>
      </c>
      <c r="J92" s="11">
        <f>Anchoveta!H61</f>
        <v>1490.239</v>
      </c>
      <c r="K92" s="11">
        <f>Anchoveta!I61</f>
        <v>1305.777</v>
      </c>
      <c r="L92" s="11">
        <f>Anchoveta!K61</f>
        <v>184.46199999999999</v>
      </c>
      <c r="M92" s="49">
        <f>Anchoveta!L61</f>
        <v>0.87621985466760699</v>
      </c>
      <c r="N92" s="55">
        <f>Anchoveta!M61</f>
        <v>0</v>
      </c>
      <c r="O92" s="34">
        <f>RESUMEN!$B$3</f>
        <v>44020</v>
      </c>
      <c r="P92" s="11">
        <v>2020</v>
      </c>
    </row>
    <row r="93" spans="1:16">
      <c r="A93" s="11" t="s">
        <v>255</v>
      </c>
      <c r="B93" s="11" t="s">
        <v>217</v>
      </c>
      <c r="C93" s="11" t="s">
        <v>277</v>
      </c>
      <c r="D93" s="11" t="s">
        <v>272</v>
      </c>
      <c r="E93" s="11" t="str">
        <f>Anchoveta!D62</f>
        <v>Sindicato de Trabajadores Independientes de la Pesca Artesanal de la Peninsula de Hualpen. Registro Sindical Único 08.05.0502</v>
      </c>
      <c r="F93" s="11" t="s">
        <v>259</v>
      </c>
      <c r="G93" s="11" t="s">
        <v>260</v>
      </c>
      <c r="H93" s="11">
        <f>Anchoveta!F62</f>
        <v>96.450999999999993</v>
      </c>
      <c r="I93" s="11">
        <f>Anchoveta!G62</f>
        <v>-70</v>
      </c>
      <c r="J93" s="11">
        <f>Anchoveta!H62</f>
        <v>26.450999999999993</v>
      </c>
      <c r="K93" s="11">
        <f>Anchoveta!I62</f>
        <v>4.01</v>
      </c>
      <c r="L93" s="11">
        <f>Anchoveta!K62</f>
        <v>22.440999999999995</v>
      </c>
      <c r="M93" s="49">
        <f>Anchoveta!L62</f>
        <v>0.15160107368341463</v>
      </c>
      <c r="N93" s="55">
        <f>Anchoveta!M62</f>
        <v>0</v>
      </c>
      <c r="O93" s="34">
        <f>RESUMEN!$B$3</f>
        <v>44020</v>
      </c>
      <c r="P93" s="11">
        <v>2020</v>
      </c>
    </row>
    <row r="94" spans="1:16">
      <c r="A94" s="11" t="s">
        <v>255</v>
      </c>
      <c r="B94" s="11" t="s">
        <v>217</v>
      </c>
      <c r="C94" s="11" t="s">
        <v>277</v>
      </c>
      <c r="D94" s="11" t="s">
        <v>272</v>
      </c>
      <c r="E94" s="11" t="str">
        <f>Anchoveta!D63</f>
        <v>Sindicato de Trabajadores Independientes de la Pesca Artesanal, Armadores Artesanales Pelágicos Actividades Afines y Actividades Conexas de la Comuna de Talcahuano, "MAR AZUL".  Registro Sindical Único 08.05.0434</v>
      </c>
      <c r="F94" s="11" t="s">
        <v>259</v>
      </c>
      <c r="G94" s="11" t="s">
        <v>260</v>
      </c>
      <c r="H94" s="11">
        <f>Anchoveta!F63</f>
        <v>686.90599999999995</v>
      </c>
      <c r="I94" s="11">
        <f>Anchoveta!G63</f>
        <v>0</v>
      </c>
      <c r="J94" s="11">
        <f>Anchoveta!H63</f>
        <v>686.90599999999995</v>
      </c>
      <c r="K94" s="11">
        <f>Anchoveta!I63</f>
        <v>470.70400000000001</v>
      </c>
      <c r="L94" s="11">
        <f>Anchoveta!K63</f>
        <v>216.20199999999994</v>
      </c>
      <c r="M94" s="49">
        <f>Anchoveta!L63</f>
        <v>0.68525242172873735</v>
      </c>
      <c r="N94" s="55">
        <f>Anchoveta!M63</f>
        <v>0</v>
      </c>
      <c r="O94" s="34">
        <f>RESUMEN!$B$3</f>
        <v>44020</v>
      </c>
      <c r="P94" s="11">
        <v>2020</v>
      </c>
    </row>
    <row r="95" spans="1:16">
      <c r="A95" s="11" t="s">
        <v>255</v>
      </c>
      <c r="B95" s="11" t="s">
        <v>217</v>
      </c>
      <c r="C95" s="11" t="s">
        <v>277</v>
      </c>
      <c r="D95" s="11" t="s">
        <v>272</v>
      </c>
      <c r="E95" s="11" t="str">
        <f>Anchoveta!D64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95" s="11" t="s">
        <v>259</v>
      </c>
      <c r="G95" s="11" t="s">
        <v>260</v>
      </c>
      <c r="H95" s="11">
        <f>Anchoveta!F64</f>
        <v>1453.874</v>
      </c>
      <c r="I95" s="11">
        <f>Anchoveta!G64</f>
        <v>0</v>
      </c>
      <c r="J95" s="11">
        <f>Anchoveta!H64</f>
        <v>1453.874</v>
      </c>
      <c r="K95" s="11">
        <f>Anchoveta!I64</f>
        <v>688.23</v>
      </c>
      <c r="L95" s="11">
        <f>Anchoveta!K64</f>
        <v>765.64400000000001</v>
      </c>
      <c r="M95" s="49">
        <f>Anchoveta!L64</f>
        <v>0.47337664749489983</v>
      </c>
      <c r="N95" s="55">
        <f>Anchoveta!M64</f>
        <v>0</v>
      </c>
      <c r="O95" s="34">
        <f>RESUMEN!$B$3</f>
        <v>44020</v>
      </c>
      <c r="P95" s="11">
        <v>2020</v>
      </c>
    </row>
    <row r="96" spans="1:16">
      <c r="A96" s="11" t="s">
        <v>255</v>
      </c>
      <c r="B96" s="11" t="s">
        <v>217</v>
      </c>
      <c r="C96" s="11" t="s">
        <v>277</v>
      </c>
      <c r="D96" s="11" t="s">
        <v>272</v>
      </c>
      <c r="E96" s="11" t="str">
        <f>Anchoveta!D65</f>
        <v>Sindicato de Trabajadores Independientes de Pescadores Artesanales Caleta Lo Rojas "SITRAINPAR". Registro Sindical Único 08.07.0287.</v>
      </c>
      <c r="F96" s="11" t="s">
        <v>259</v>
      </c>
      <c r="G96" s="11" t="s">
        <v>260</v>
      </c>
      <c r="H96" s="11">
        <f>Anchoveta!F65</f>
        <v>683.83100000000002</v>
      </c>
      <c r="I96" s="11">
        <f>Anchoveta!G65</f>
        <v>83</v>
      </c>
      <c r="J96" s="11">
        <f>Anchoveta!H65</f>
        <v>766.83100000000002</v>
      </c>
      <c r="K96" s="11">
        <f>Anchoveta!I65</f>
        <v>758.81799999999998</v>
      </c>
      <c r="L96" s="11">
        <f>Anchoveta!K65</f>
        <v>8.0130000000000337</v>
      </c>
      <c r="M96" s="49">
        <f>Anchoveta!L65</f>
        <v>0.98955050069702444</v>
      </c>
      <c r="N96" s="55">
        <f>Anchoveta!M65</f>
        <v>0</v>
      </c>
      <c r="O96" s="34">
        <f>RESUMEN!$B$3</f>
        <v>44020</v>
      </c>
      <c r="P96" s="11">
        <v>2020</v>
      </c>
    </row>
    <row r="97" spans="1:16">
      <c r="A97" s="11" t="s">
        <v>255</v>
      </c>
      <c r="B97" s="11" t="s">
        <v>217</v>
      </c>
      <c r="C97" s="11" t="s">
        <v>277</v>
      </c>
      <c r="D97" s="11" t="s">
        <v>272</v>
      </c>
      <c r="E97" s="11" t="str">
        <f>Anchoveta!D66</f>
        <v>Sindicato de Trabajadores Independientes de Pescadores Artesanales Lo Rojas y Caletas Anexas del Golfo de Arauco. Registro Sindical Único 08.07.0307</v>
      </c>
      <c r="F97" s="11" t="s">
        <v>259</v>
      </c>
      <c r="G97" s="11" t="s">
        <v>260</v>
      </c>
      <c r="H97" s="11">
        <f>Anchoveta!F66</f>
        <v>1792.0039999999999</v>
      </c>
      <c r="I97" s="11">
        <f>Anchoveta!G66</f>
        <v>-1791</v>
      </c>
      <c r="J97" s="11">
        <f>Anchoveta!H66</f>
        <v>1.0039999999999054</v>
      </c>
      <c r="K97" s="11">
        <f>Anchoveta!I66</f>
        <v>0</v>
      </c>
      <c r="L97" s="11">
        <f>Anchoveta!K66</f>
        <v>1.0039999999999054</v>
      </c>
      <c r="M97" s="49">
        <f>Anchoveta!L66</f>
        <v>0</v>
      </c>
      <c r="N97" s="55">
        <f>Anchoveta!M66</f>
        <v>0</v>
      </c>
      <c r="O97" s="34">
        <f>RESUMEN!$B$3</f>
        <v>44020</v>
      </c>
      <c r="P97" s="11">
        <v>2020</v>
      </c>
    </row>
    <row r="98" spans="1:16">
      <c r="A98" s="11" t="s">
        <v>255</v>
      </c>
      <c r="B98" s="11" t="s">
        <v>217</v>
      </c>
      <c r="C98" s="11" t="s">
        <v>277</v>
      </c>
      <c r="D98" s="11" t="s">
        <v>272</v>
      </c>
      <c r="E98" s="11" t="str">
        <f>Anchoveta!D67</f>
        <v>Sindicato de Trabajadores Independientes de Pescadores Artesanales y Actividades Conexas Caleta de Pueblo Hundido, La Conchilla y El Morro - LOTA. Registro Sindical Único 08.07.0061</v>
      </c>
      <c r="F98" s="11" t="s">
        <v>259</v>
      </c>
      <c r="G98" s="11" t="s">
        <v>260</v>
      </c>
      <c r="H98" s="11">
        <f>Anchoveta!F67</f>
        <v>11.119</v>
      </c>
      <c r="I98" s="11">
        <f>Anchoveta!G67</f>
        <v>0</v>
      </c>
      <c r="J98" s="11">
        <f>Anchoveta!H67</f>
        <v>11.119</v>
      </c>
      <c r="K98" s="11">
        <f>Anchoveta!I67</f>
        <v>0</v>
      </c>
      <c r="L98" s="11">
        <f>Anchoveta!K67</f>
        <v>11.119</v>
      </c>
      <c r="M98" s="49">
        <f>Anchoveta!L67</f>
        <v>0</v>
      </c>
      <c r="N98" s="55">
        <f>Anchoveta!M67</f>
        <v>0</v>
      </c>
      <c r="O98" s="34">
        <f>RESUMEN!$B$3</f>
        <v>44020</v>
      </c>
      <c r="P98" s="11">
        <v>2020</v>
      </c>
    </row>
    <row r="99" spans="1:16">
      <c r="A99" s="11" t="s">
        <v>255</v>
      </c>
      <c r="B99" s="11" t="s">
        <v>217</v>
      </c>
      <c r="C99" s="11" t="s">
        <v>277</v>
      </c>
      <c r="D99" s="11" t="s">
        <v>272</v>
      </c>
      <c r="E99" s="11" t="str">
        <f>Anchoveta!D68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99" s="11" t="s">
        <v>259</v>
      </c>
      <c r="G99" s="11" t="s">
        <v>260</v>
      </c>
      <c r="H99" s="11">
        <f>Anchoveta!F68</f>
        <v>2430.9229999999998</v>
      </c>
      <c r="I99" s="11">
        <f>Anchoveta!G68</f>
        <v>0</v>
      </c>
      <c r="J99" s="11">
        <f>Anchoveta!H68</f>
        <v>2430.9229999999998</v>
      </c>
      <c r="K99" s="11">
        <f>Anchoveta!I68</f>
        <v>2280.8939999999998</v>
      </c>
      <c r="L99" s="11">
        <f>Anchoveta!K68</f>
        <v>150.029</v>
      </c>
      <c r="M99" s="49">
        <f>Anchoveta!L68</f>
        <v>0.93828311303977951</v>
      </c>
      <c r="N99" s="55">
        <f>Anchoveta!M68</f>
        <v>0</v>
      </c>
      <c r="O99" s="34">
        <f>RESUMEN!$B$3</f>
        <v>44020</v>
      </c>
      <c r="P99" s="11">
        <v>2020</v>
      </c>
    </row>
    <row r="100" spans="1:16">
      <c r="A100" s="11" t="s">
        <v>255</v>
      </c>
      <c r="B100" s="11" t="s">
        <v>217</v>
      </c>
      <c r="C100" s="11" t="s">
        <v>277</v>
      </c>
      <c r="D100" s="11" t="s">
        <v>272</v>
      </c>
      <c r="E100" s="11" t="str">
        <f>Anchoveta!D69</f>
        <v>Sindicato de Trabajadores Independientes Pescadores Armadores y Ramos Afines de la Pesca Artesanal, APAT, Registro Sindical Único 08.05.0380</v>
      </c>
      <c r="F100" s="11" t="s">
        <v>259</v>
      </c>
      <c r="G100" s="11" t="s">
        <v>260</v>
      </c>
      <c r="H100" s="11">
        <f>Anchoveta!F69</f>
        <v>649.78399999999999</v>
      </c>
      <c r="I100" s="11">
        <f>Anchoveta!G69</f>
        <v>0</v>
      </c>
      <c r="J100" s="11">
        <f>Anchoveta!H69</f>
        <v>649.78399999999999</v>
      </c>
      <c r="K100" s="11">
        <f>Anchoveta!I69</f>
        <v>232.66800000000001</v>
      </c>
      <c r="L100" s="11">
        <f>Anchoveta!K69</f>
        <v>417.11599999999999</v>
      </c>
      <c r="M100" s="49">
        <f>Anchoveta!L69</f>
        <v>0.35806975856592343</v>
      </c>
      <c r="N100" s="55">
        <f>Anchoveta!M69</f>
        <v>0</v>
      </c>
      <c r="O100" s="34">
        <f>RESUMEN!$B$3</f>
        <v>44020</v>
      </c>
      <c r="P100" s="11">
        <v>2020</v>
      </c>
    </row>
    <row r="101" spans="1:16">
      <c r="A101" s="11" t="s">
        <v>255</v>
      </c>
      <c r="B101" s="11" t="s">
        <v>217</v>
      </c>
      <c r="C101" s="11" t="s">
        <v>277</v>
      </c>
      <c r="D101" s="11" t="s">
        <v>272</v>
      </c>
      <c r="E101" s="11" t="str">
        <f>Anchoveta!D70</f>
        <v>Sindicato de Trabajadores Independientes Pescadores Artesanales de Caleta Tumbes - Talcahuano, Registro Sindical Único 08.05.0057</v>
      </c>
      <c r="F101" s="11" t="s">
        <v>259</v>
      </c>
      <c r="G101" s="11" t="s">
        <v>260</v>
      </c>
      <c r="H101" s="11">
        <f>Anchoveta!F70</f>
        <v>3074.3449999999998</v>
      </c>
      <c r="I101" s="11">
        <f>Anchoveta!G70</f>
        <v>-1263</v>
      </c>
      <c r="J101" s="11">
        <f>Anchoveta!H70</f>
        <v>1811.3449999999998</v>
      </c>
      <c r="K101" s="11">
        <f>Anchoveta!I70</f>
        <v>2108.498</v>
      </c>
      <c r="L101" s="11">
        <f>Anchoveta!K70</f>
        <v>-297.15300000000025</v>
      </c>
      <c r="M101" s="49">
        <f>Anchoveta!L70</f>
        <v>1.1640510228587047</v>
      </c>
      <c r="N101" s="55">
        <f>Anchoveta!M70</f>
        <v>0</v>
      </c>
      <c r="O101" s="34">
        <f>RESUMEN!$B$3</f>
        <v>44020</v>
      </c>
      <c r="P101" s="11">
        <v>2020</v>
      </c>
    </row>
    <row r="102" spans="1:16">
      <c r="A102" s="11" t="s">
        <v>255</v>
      </c>
      <c r="B102" s="11" t="s">
        <v>217</v>
      </c>
      <c r="C102" s="11" t="s">
        <v>277</v>
      </c>
      <c r="D102" s="11" t="s">
        <v>272</v>
      </c>
      <c r="E102" s="11" t="str">
        <f>Anchoveta!D71</f>
        <v>Sindicato de Trabajadores Independientes Pescadores Artesanales Históricos de Talcahuano, "SPARHITAL". Registro Sindical Único 08.05.0382</v>
      </c>
      <c r="F102" s="11" t="s">
        <v>259</v>
      </c>
      <c r="G102" s="11" t="s">
        <v>260</v>
      </c>
      <c r="H102" s="11">
        <f>Anchoveta!F71</f>
        <v>894.78</v>
      </c>
      <c r="I102" s="11">
        <f>Anchoveta!G71</f>
        <v>-839.5</v>
      </c>
      <c r="J102" s="11">
        <f>Anchoveta!H71</f>
        <v>55.279999999999973</v>
      </c>
      <c r="K102" s="11">
        <f>Anchoveta!I71</f>
        <v>4.8559999999999999</v>
      </c>
      <c r="L102" s="11">
        <f>Anchoveta!K71</f>
        <v>50.423999999999971</v>
      </c>
      <c r="M102" s="49">
        <f>Anchoveta!L71</f>
        <v>8.7843704775687453E-2</v>
      </c>
      <c r="N102" s="55">
        <f>Anchoveta!M71</f>
        <v>0</v>
      </c>
      <c r="O102" s="34">
        <f>RESUMEN!$B$3</f>
        <v>44020</v>
      </c>
      <c r="P102" s="11">
        <v>2020</v>
      </c>
    </row>
    <row r="103" spans="1:16">
      <c r="A103" s="11" t="s">
        <v>255</v>
      </c>
      <c r="B103" s="11" t="s">
        <v>217</v>
      </c>
      <c r="C103" s="11" t="s">
        <v>277</v>
      </c>
      <c r="D103" s="11" t="s">
        <v>272</v>
      </c>
      <c r="E103" s="11" t="str">
        <f>Anchoveta!D72</f>
        <v>Sindicato de Trabajadores Independientes Pescadores Artesanales Península de Tumbes, Registro Sindical Único 08.05.0391</v>
      </c>
      <c r="F103" s="11" t="s">
        <v>259</v>
      </c>
      <c r="G103" s="11" t="s">
        <v>260</v>
      </c>
      <c r="H103" s="11">
        <f>Anchoveta!F72</f>
        <v>1476.9490000000001</v>
      </c>
      <c r="I103" s="11">
        <f>Anchoveta!G72</f>
        <v>-132</v>
      </c>
      <c r="J103" s="11">
        <f>Anchoveta!H72</f>
        <v>1344.9490000000001</v>
      </c>
      <c r="K103" s="11">
        <f>Anchoveta!I72</f>
        <v>1194.1790000000001</v>
      </c>
      <c r="L103" s="11">
        <f>Anchoveta!K72</f>
        <v>150.76999999999998</v>
      </c>
      <c r="M103" s="49">
        <f>Anchoveta!L72</f>
        <v>0.88789909505862308</v>
      </c>
      <c r="N103" s="55">
        <f>Anchoveta!M72</f>
        <v>0</v>
      </c>
      <c r="O103" s="34">
        <f>RESUMEN!$B$3</f>
        <v>44020</v>
      </c>
      <c r="P103" s="11">
        <v>2020</v>
      </c>
    </row>
    <row r="104" spans="1:16">
      <c r="A104" s="11" t="s">
        <v>255</v>
      </c>
      <c r="B104" s="11" t="s">
        <v>217</v>
      </c>
      <c r="C104" s="11" t="s">
        <v>277</v>
      </c>
      <c r="D104" s="11" t="s">
        <v>272</v>
      </c>
      <c r="E104" s="11" t="str">
        <f>Anchoveta!D73</f>
        <v>Sindicato de Trabajadores Independientes Pescadores Artesanales, Armadores y Actividades Conexas de la Caleta Coliumo, Registro Sindical Único 08.06.0150</v>
      </c>
      <c r="F104" s="11" t="s">
        <v>259</v>
      </c>
      <c r="G104" s="11" t="s">
        <v>260</v>
      </c>
      <c r="H104" s="11">
        <f>Anchoveta!F73</f>
        <v>2532.0070000000001</v>
      </c>
      <c r="I104" s="11">
        <f>Anchoveta!G73</f>
        <v>150</v>
      </c>
      <c r="J104" s="11">
        <f>Anchoveta!H73</f>
        <v>2682.0070000000001</v>
      </c>
      <c r="K104" s="11">
        <f>Anchoveta!I73</f>
        <v>1697.0550000000001</v>
      </c>
      <c r="L104" s="11">
        <f>Anchoveta!K73</f>
        <v>984.952</v>
      </c>
      <c r="M104" s="49">
        <f>Anchoveta!L73</f>
        <v>0.63275561920606471</v>
      </c>
      <c r="N104" s="55">
        <f>Anchoveta!M73</f>
        <v>0</v>
      </c>
      <c r="O104" s="34">
        <f>RESUMEN!$B$3</f>
        <v>44020</v>
      </c>
      <c r="P104" s="11">
        <v>2020</v>
      </c>
    </row>
    <row r="105" spans="1:16">
      <c r="A105" s="11" t="s">
        <v>255</v>
      </c>
      <c r="B105" s="11" t="s">
        <v>217</v>
      </c>
      <c r="C105" s="11" t="s">
        <v>277</v>
      </c>
      <c r="D105" s="11" t="s">
        <v>272</v>
      </c>
      <c r="E105" s="11" t="str">
        <f>Anchoveta!D74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05" s="11" t="s">
        <v>259</v>
      </c>
      <c r="G105" s="11" t="s">
        <v>260</v>
      </c>
      <c r="H105" s="11">
        <f>Anchoveta!F74</f>
        <v>388.88099999999997</v>
      </c>
      <c r="I105" s="11">
        <f>Anchoveta!G74</f>
        <v>-268</v>
      </c>
      <c r="J105" s="11">
        <f>Anchoveta!H74</f>
        <v>120.88099999999997</v>
      </c>
      <c r="K105" s="11">
        <f>Anchoveta!I74</f>
        <v>91.695999999999998</v>
      </c>
      <c r="L105" s="11">
        <f>Anchoveta!K74</f>
        <v>29.184999999999974</v>
      </c>
      <c r="M105" s="49">
        <f>Anchoveta!L74</f>
        <v>0.75856420777458844</v>
      </c>
      <c r="N105" s="55">
        <f>Anchoveta!M74</f>
        <v>43928</v>
      </c>
      <c r="O105" s="34">
        <f>RESUMEN!$B$3</f>
        <v>44020</v>
      </c>
      <c r="P105" s="11">
        <v>2020</v>
      </c>
    </row>
    <row r="106" spans="1:16">
      <c r="A106" s="11" t="s">
        <v>255</v>
      </c>
      <c r="B106" s="11" t="s">
        <v>217</v>
      </c>
      <c r="C106" s="11" t="s">
        <v>277</v>
      </c>
      <c r="D106" s="11" t="s">
        <v>272</v>
      </c>
      <c r="E106" s="11" t="str">
        <f>Anchoveta!D75</f>
        <v>Sindicato de Trabajadores Independientes Pescadores Artesanales, Buzos Mariscadores, Armadores Artesanales y Actividades Conexas de Coronel y del Golfo de Arauco VIII Region "SIPARBUMAR CORONEL". Registro Sindical Único 08.07.0183</v>
      </c>
      <c r="F106" s="11" t="s">
        <v>259</v>
      </c>
      <c r="G106" s="11" t="s">
        <v>260</v>
      </c>
      <c r="H106" s="11">
        <f>Anchoveta!F75</f>
        <v>3737.415</v>
      </c>
      <c r="I106" s="11">
        <f>Anchoveta!G75</f>
        <v>639.88800000000003</v>
      </c>
      <c r="J106" s="11">
        <f>Anchoveta!H75</f>
        <v>4377.3029999999999</v>
      </c>
      <c r="K106" s="11">
        <f>Anchoveta!I75</f>
        <v>3811.1980000000003</v>
      </c>
      <c r="L106" s="11">
        <f>Anchoveta!K75</f>
        <v>566.10499999999956</v>
      </c>
      <c r="M106" s="49">
        <f>Anchoveta!L75</f>
        <v>0.87067264934595578</v>
      </c>
      <c r="N106" s="55">
        <f>Anchoveta!M75</f>
        <v>0</v>
      </c>
      <c r="O106" s="34">
        <f>RESUMEN!$B$3</f>
        <v>44020</v>
      </c>
      <c r="P106" s="11">
        <v>2020</v>
      </c>
    </row>
    <row r="107" spans="1:16">
      <c r="A107" s="11" t="s">
        <v>255</v>
      </c>
      <c r="B107" s="11" t="s">
        <v>217</v>
      </c>
      <c r="C107" s="11" t="s">
        <v>277</v>
      </c>
      <c r="D107" s="11" t="s">
        <v>272</v>
      </c>
      <c r="E107" s="11" t="str">
        <f>Anchoveta!D76</f>
        <v>Sindicato de Trabajadores Independientes Pescadores Artesanales, Lancheros, Acuicultores y Actividades Conexas de Caleta Lota Bajo "SIPESCA", Registro Sindical Único 08.07.0106</v>
      </c>
      <c r="F107" s="11" t="s">
        <v>259</v>
      </c>
      <c r="G107" s="11" t="s">
        <v>260</v>
      </c>
      <c r="H107" s="11">
        <f>Anchoveta!F76</f>
        <v>27.815000000000001</v>
      </c>
      <c r="I107" s="11">
        <f>Anchoveta!G76</f>
        <v>0</v>
      </c>
      <c r="J107" s="11">
        <f>Anchoveta!H76</f>
        <v>27.815000000000001</v>
      </c>
      <c r="K107" s="11">
        <f>Anchoveta!I76</f>
        <v>0</v>
      </c>
      <c r="L107" s="11">
        <f>Anchoveta!K76</f>
        <v>27.815000000000001</v>
      </c>
      <c r="M107" s="49">
        <f>Anchoveta!L76</f>
        <v>0</v>
      </c>
      <c r="N107" s="55">
        <f>Anchoveta!M76</f>
        <v>43921</v>
      </c>
      <c r="O107" s="34">
        <f>RESUMEN!$B$3</f>
        <v>44020</v>
      </c>
      <c r="P107" s="11">
        <v>2020</v>
      </c>
    </row>
    <row r="108" spans="1:16">
      <c r="A108" s="11" t="s">
        <v>255</v>
      </c>
      <c r="B108" s="11" t="s">
        <v>217</v>
      </c>
      <c r="C108" s="11" t="s">
        <v>277</v>
      </c>
      <c r="D108" s="11" t="s">
        <v>272</v>
      </c>
      <c r="E108" s="11" t="str">
        <f>Anchoveta!D77</f>
        <v>Sindicato de Trabajadores Independientes Pescadores de la Caleta Cocholgüe, Registro Sindical Único 08.06.0023</v>
      </c>
      <c r="F108" s="11" t="s">
        <v>259</v>
      </c>
      <c r="G108" s="11" t="s">
        <v>260</v>
      </c>
      <c r="H108" s="11">
        <f>Anchoveta!F77</f>
        <v>1.3420000000000001</v>
      </c>
      <c r="I108" s="11">
        <f>Anchoveta!G77</f>
        <v>0</v>
      </c>
      <c r="J108" s="11">
        <f>Anchoveta!H77</f>
        <v>1.3420000000000001</v>
      </c>
      <c r="K108" s="11">
        <f>Anchoveta!I77</f>
        <v>0</v>
      </c>
      <c r="L108" s="11">
        <f>Anchoveta!K77</f>
        <v>1.3420000000000001</v>
      </c>
      <c r="M108" s="49">
        <f>Anchoveta!L77</f>
        <v>0</v>
      </c>
      <c r="N108" s="55">
        <f>Anchoveta!M77</f>
        <v>0</v>
      </c>
      <c r="O108" s="34">
        <f>RESUMEN!$B$3</f>
        <v>44020</v>
      </c>
      <c r="P108" s="11">
        <v>2020</v>
      </c>
    </row>
    <row r="109" spans="1:16">
      <c r="A109" s="11" t="s">
        <v>255</v>
      </c>
      <c r="B109" s="11" t="s">
        <v>217</v>
      </c>
      <c r="C109" s="11" t="s">
        <v>277</v>
      </c>
      <c r="D109" s="11" t="s">
        <v>272</v>
      </c>
      <c r="E109" s="11" t="str">
        <f>Anchoveta!D78</f>
        <v>Sindicato de Trabajadores Independientes Pescadores de la Caleta Coliumo, Registro Sindical Único 08.06.0027</v>
      </c>
      <c r="F109" s="11" t="s">
        <v>259</v>
      </c>
      <c r="G109" s="11" t="s">
        <v>260</v>
      </c>
      <c r="H109" s="11">
        <f>Anchoveta!F78</f>
        <v>4340.8940000000002</v>
      </c>
      <c r="I109" s="11">
        <f>Anchoveta!G78</f>
        <v>-110</v>
      </c>
      <c r="J109" s="11">
        <f>Anchoveta!H78</f>
        <v>4230.8940000000002</v>
      </c>
      <c r="K109" s="11">
        <f>Anchoveta!I78</f>
        <v>5769.0119999999997</v>
      </c>
      <c r="L109" s="11">
        <f>Anchoveta!K78</f>
        <v>-1538.1179999999995</v>
      </c>
      <c r="M109" s="49">
        <f>Anchoveta!L78</f>
        <v>1.3635444423802627</v>
      </c>
      <c r="N109" s="55">
        <f>Anchoveta!M78</f>
        <v>0</v>
      </c>
      <c r="O109" s="34">
        <f>RESUMEN!$B$3</f>
        <v>44020</v>
      </c>
      <c r="P109" s="11">
        <v>2020</v>
      </c>
    </row>
    <row r="110" spans="1:16">
      <c r="A110" s="11" t="s">
        <v>255</v>
      </c>
      <c r="B110" s="11" t="s">
        <v>217</v>
      </c>
      <c r="C110" s="11" t="s">
        <v>277</v>
      </c>
      <c r="D110" s="11" t="s">
        <v>272</v>
      </c>
      <c r="E110" s="11" t="str">
        <f>Anchoveta!D79</f>
        <v>Sindicato de Trabajadores Independientes Pescadores y Armadores y Ramos Afines de la Pesca Artesanal, "EPES LOTA"Registro Sindical Único N°08.07.0510</v>
      </c>
      <c r="F110" s="11" t="s">
        <v>259</v>
      </c>
      <c r="G110" s="11" t="s">
        <v>260</v>
      </c>
      <c r="H110" s="11">
        <f>Anchoveta!F79</f>
        <v>1184.327</v>
      </c>
      <c r="I110" s="11">
        <f>Anchoveta!G79</f>
        <v>429.7</v>
      </c>
      <c r="J110" s="11">
        <f>Anchoveta!H79</f>
        <v>1614.027</v>
      </c>
      <c r="K110" s="11">
        <f>Anchoveta!I79</f>
        <v>2272.2959999999998</v>
      </c>
      <c r="L110" s="11">
        <f>Anchoveta!K79</f>
        <v>-658.26899999999978</v>
      </c>
      <c r="M110" s="49">
        <f>Anchoveta!L79</f>
        <v>1.4078426197331271</v>
      </c>
      <c r="N110" s="55">
        <f>Anchoveta!M79</f>
        <v>0</v>
      </c>
      <c r="O110" s="34">
        <f>RESUMEN!$B$3</f>
        <v>44020</v>
      </c>
      <c r="P110" s="11">
        <v>2020</v>
      </c>
    </row>
    <row r="111" spans="1:16">
      <c r="A111" s="11" t="s">
        <v>255</v>
      </c>
      <c r="B111" s="11" t="s">
        <v>217</v>
      </c>
      <c r="C111" s="11" t="s">
        <v>277</v>
      </c>
      <c r="D111" s="11" t="s">
        <v>272</v>
      </c>
      <c r="E111" s="11" t="str">
        <f>Anchoveta!D80</f>
        <v>Sindicato de Trabajadores Independientes Pescadores y Armadores y Ramos Afines de la Pesca Artesanal, "LOTA PESCA", Registro Sindical Único 08.07.0495</v>
      </c>
      <c r="F111" s="11" t="s">
        <v>259</v>
      </c>
      <c r="G111" s="11" t="s">
        <v>260</v>
      </c>
      <c r="H111" s="11">
        <f>Anchoveta!F80</f>
        <v>1189.239</v>
      </c>
      <c r="I111" s="11">
        <f>Anchoveta!G80</f>
        <v>465.9</v>
      </c>
      <c r="J111" s="11">
        <f>Anchoveta!H80</f>
        <v>1655.1390000000001</v>
      </c>
      <c r="K111" s="11">
        <f>Anchoveta!I80</f>
        <v>2203.1469999999999</v>
      </c>
      <c r="L111" s="11">
        <f>Anchoveta!K80</f>
        <v>-548.00799999999981</v>
      </c>
      <c r="M111" s="49">
        <f>Anchoveta!L80</f>
        <v>1.3310948506439639</v>
      </c>
      <c r="N111" s="55">
        <f>Anchoveta!M80</f>
        <v>0</v>
      </c>
      <c r="O111" s="34">
        <f>RESUMEN!$B$3</f>
        <v>44020</v>
      </c>
      <c r="P111" s="11">
        <v>2020</v>
      </c>
    </row>
    <row r="112" spans="1:16">
      <c r="A112" s="11" t="s">
        <v>255</v>
      </c>
      <c r="B112" s="11" t="s">
        <v>217</v>
      </c>
      <c r="C112" s="11" t="s">
        <v>277</v>
      </c>
      <c r="D112" s="11" t="s">
        <v>272</v>
      </c>
      <c r="E112" s="11" t="str">
        <f>Anchoveta!D81</f>
        <v>Sindicato de Trabajadores Independientes Pescadores,  Armadores y  Buzos Mariscadores  y Actividades conexas de Talcahuano "SIPARBUM". Registro Sindical Único 08.05.0424</v>
      </c>
      <c r="F112" s="11" t="s">
        <v>259</v>
      </c>
      <c r="G112" s="11" t="s">
        <v>260</v>
      </c>
      <c r="H112" s="11">
        <f>Anchoveta!F81</f>
        <v>652.20600000000002</v>
      </c>
      <c r="I112" s="11">
        <f>Anchoveta!G81</f>
        <v>-182.7</v>
      </c>
      <c r="J112" s="11">
        <f>Anchoveta!H81</f>
        <v>469.50600000000003</v>
      </c>
      <c r="K112" s="11">
        <f>Anchoveta!I81</f>
        <v>84.864000000000004</v>
      </c>
      <c r="L112" s="11">
        <f>Anchoveta!K81</f>
        <v>384.64200000000005</v>
      </c>
      <c r="M112" s="49">
        <f>Anchoveta!L81</f>
        <v>0.18075168368455355</v>
      </c>
      <c r="N112" s="55">
        <f>Anchoveta!M81</f>
        <v>0</v>
      </c>
      <c r="O112" s="34">
        <f>RESUMEN!$B$3</f>
        <v>44020</v>
      </c>
      <c r="P112" s="11">
        <v>2020</v>
      </c>
    </row>
    <row r="113" spans="1:16">
      <c r="A113" s="11" t="s">
        <v>255</v>
      </c>
      <c r="B113" s="11" t="s">
        <v>217</v>
      </c>
      <c r="C113" s="11" t="s">
        <v>277</v>
      </c>
      <c r="D113" s="11" t="s">
        <v>272</v>
      </c>
      <c r="E113" s="11" t="str">
        <f>Anchoveta!D82</f>
        <v>Sindicato de Trabajadores Independientes Pescadores, Armadores  y ramas afines de la Pesca Artesanal "JUANOVOAARCE-LOTA" Registro Sindical Unico 08.07.0485</v>
      </c>
      <c r="F113" s="11" t="s">
        <v>259</v>
      </c>
      <c r="G113" s="11" t="s">
        <v>260</v>
      </c>
      <c r="H113" s="11">
        <f>Anchoveta!F82</f>
        <v>342.06400000000002</v>
      </c>
      <c r="I113" s="11">
        <f>Anchoveta!G82</f>
        <v>0</v>
      </c>
      <c r="J113" s="11">
        <f>Anchoveta!H82</f>
        <v>342.06400000000002</v>
      </c>
      <c r="K113" s="11">
        <f>Anchoveta!I82</f>
        <v>265.529</v>
      </c>
      <c r="L113" s="11">
        <f>Anchoveta!K82</f>
        <v>76.535000000000025</v>
      </c>
      <c r="M113" s="49">
        <f>Anchoveta!L82</f>
        <v>0.77625532064175118</v>
      </c>
      <c r="N113" s="55">
        <f>Anchoveta!M82</f>
        <v>0</v>
      </c>
      <c r="O113" s="34">
        <f>RESUMEN!$B$3</f>
        <v>44020</v>
      </c>
      <c r="P113" s="11">
        <v>2020</v>
      </c>
    </row>
    <row r="114" spans="1:16">
      <c r="A114" s="11" t="s">
        <v>255</v>
      </c>
      <c r="B114" s="11" t="s">
        <v>217</v>
      </c>
      <c r="C114" s="11" t="s">
        <v>277</v>
      </c>
      <c r="D114" s="11" t="s">
        <v>272</v>
      </c>
      <c r="E114" s="11" t="str">
        <f>Anchoveta!D83</f>
        <v>Sindicato de Trabajadores Independientes Pescadores, Armadores Artesanales, Buzos, Acuicultores y Ramos Afines de la Pesca Artesanal, Comuna de Talcahuano "SIPEARTAL". Registro Sindical Único 08.05.0487.</v>
      </c>
      <c r="F114" s="11" t="s">
        <v>259</v>
      </c>
      <c r="G114" s="11" t="s">
        <v>260</v>
      </c>
      <c r="H114" s="11">
        <f>Anchoveta!F83</f>
        <v>1699.5930000000001</v>
      </c>
      <c r="I114" s="11">
        <f>Anchoveta!G83</f>
        <v>200</v>
      </c>
      <c r="J114" s="11">
        <f>Anchoveta!H83</f>
        <v>1899.5930000000001</v>
      </c>
      <c r="K114" s="11">
        <f>Anchoveta!I83</f>
        <v>1092.548</v>
      </c>
      <c r="L114" s="11">
        <f>Anchoveta!K83</f>
        <v>807.04500000000007</v>
      </c>
      <c r="M114" s="49">
        <f>Anchoveta!L83</f>
        <v>0.57514846601350922</v>
      </c>
      <c r="N114" s="55">
        <f>Anchoveta!M83</f>
        <v>0</v>
      </c>
      <c r="O114" s="34">
        <f>RESUMEN!$B$3</f>
        <v>44020</v>
      </c>
      <c r="P114" s="11">
        <v>2020</v>
      </c>
    </row>
    <row r="115" spans="1:16">
      <c r="A115" s="11" t="s">
        <v>255</v>
      </c>
      <c r="B115" s="11" t="s">
        <v>217</v>
      </c>
      <c r="C115" s="11" t="s">
        <v>277</v>
      </c>
      <c r="D115" s="11" t="s">
        <v>272</v>
      </c>
      <c r="E115" s="11" t="str">
        <f>Anchoveta!D84</f>
        <v>Sindicato de Trabajadores Independientes Pescadores, Armadores y Ramas Afines de la Pesca Artesanal de Coronel "SIPESMAFESA". Registro Sindical Único 08.07.0332</v>
      </c>
      <c r="F115" s="11" t="s">
        <v>259</v>
      </c>
      <c r="G115" s="11" t="s">
        <v>260</v>
      </c>
      <c r="H115" s="11">
        <f>Anchoveta!F84</f>
        <v>1838.9949999999999</v>
      </c>
      <c r="I115" s="11">
        <f>Anchoveta!G84</f>
        <v>100</v>
      </c>
      <c r="J115" s="11">
        <f>Anchoveta!H84</f>
        <v>1938.9949999999999</v>
      </c>
      <c r="K115" s="11">
        <f>Anchoveta!I84</f>
        <v>2360.4250000000002</v>
      </c>
      <c r="L115" s="11">
        <f>Anchoveta!K84</f>
        <v>-421.43000000000029</v>
      </c>
      <c r="M115" s="49">
        <f>Anchoveta!L84</f>
        <v>1.2173445522035902</v>
      </c>
      <c r="N115" s="55">
        <f>Anchoveta!M84</f>
        <v>0</v>
      </c>
      <c r="O115" s="34">
        <f>RESUMEN!$B$3</f>
        <v>44020</v>
      </c>
      <c r="P115" s="11">
        <v>2020</v>
      </c>
    </row>
    <row r="116" spans="1:16">
      <c r="A116" s="11" t="s">
        <v>255</v>
      </c>
      <c r="B116" s="11" t="s">
        <v>217</v>
      </c>
      <c r="C116" s="11" t="s">
        <v>277</v>
      </c>
      <c r="D116" s="11" t="s">
        <v>272</v>
      </c>
      <c r="E116" s="11" t="str">
        <f>Anchoveta!D85</f>
        <v>Sindicato de Trabajadores Independientes Pescadores, Armadores y Ramos Afines "SIPEAYRAS" de Lota. Registro Sindical Único 08.07.0296</v>
      </c>
      <c r="F116" s="11" t="s">
        <v>259</v>
      </c>
      <c r="G116" s="11" t="s">
        <v>260</v>
      </c>
      <c r="H116" s="11">
        <f>Anchoveta!F85</f>
        <v>511.28500000000003</v>
      </c>
      <c r="I116" s="11">
        <f>Anchoveta!G85</f>
        <v>0</v>
      </c>
      <c r="J116" s="11">
        <f>Anchoveta!H85</f>
        <v>511.28500000000003</v>
      </c>
      <c r="K116" s="11">
        <f>Anchoveta!I85</f>
        <v>211.27699999999999</v>
      </c>
      <c r="L116" s="11">
        <f>Anchoveta!K85</f>
        <v>300.00800000000004</v>
      </c>
      <c r="M116" s="49">
        <f>Anchoveta!L85</f>
        <v>0.41322745631105934</v>
      </c>
      <c r="N116" s="55">
        <f>Anchoveta!M85</f>
        <v>0</v>
      </c>
      <c r="O116" s="34">
        <f>RESUMEN!$B$3</f>
        <v>44020</v>
      </c>
      <c r="P116" s="11">
        <v>2020</v>
      </c>
    </row>
    <row r="117" spans="1:16">
      <c r="A117" s="11" t="s">
        <v>255</v>
      </c>
      <c r="B117" s="11" t="s">
        <v>217</v>
      </c>
      <c r="C117" s="11" t="s">
        <v>277</v>
      </c>
      <c r="D117" s="11" t="s">
        <v>272</v>
      </c>
      <c r="E117" s="11" t="str">
        <f>Anchoveta!D86</f>
        <v>Sindicato de Trabajadores Independientes Pescadores, Armadores y Ramos Afines de la Pesca Artesanal de Coronel, SIPARMAR CORONEL , Registro Sindical Único 08.07.0271</v>
      </c>
      <c r="F117" s="11" t="s">
        <v>259</v>
      </c>
      <c r="G117" s="11" t="s">
        <v>260</v>
      </c>
      <c r="H117" s="11">
        <f>Anchoveta!F86</f>
        <v>1414.2629999999999</v>
      </c>
      <c r="I117" s="11">
        <f>Anchoveta!G86</f>
        <v>-300</v>
      </c>
      <c r="J117" s="11">
        <f>Anchoveta!H86</f>
        <v>1114.2629999999999</v>
      </c>
      <c r="K117" s="11">
        <f>Anchoveta!I86</f>
        <v>860.59400000000005</v>
      </c>
      <c r="L117" s="11">
        <f>Anchoveta!K86</f>
        <v>253.66899999999987</v>
      </c>
      <c r="M117" s="49">
        <f>Anchoveta!L86</f>
        <v>0.77234369264706815</v>
      </c>
      <c r="N117" s="55">
        <f>Anchoveta!M86</f>
        <v>0</v>
      </c>
      <c r="O117" s="34">
        <f>RESUMEN!$B$3</f>
        <v>44020</v>
      </c>
      <c r="P117" s="11">
        <v>2020</v>
      </c>
    </row>
    <row r="118" spans="1:16">
      <c r="A118" s="11" t="s">
        <v>255</v>
      </c>
      <c r="B118" s="11" t="s">
        <v>217</v>
      </c>
      <c r="C118" s="11" t="s">
        <v>277</v>
      </c>
      <c r="D118" s="11" t="s">
        <v>272</v>
      </c>
      <c r="E118" s="11" t="str">
        <f>Anchoveta!D87</f>
        <v>Sindicato de Trabajadores Independientes Pescdores y Armadores artesanales de embarcaciones menores de la Caleta de Tumbes "SIPEAREM" Comuna Talcahuano, Registro Sindical Único 08.05.0569</v>
      </c>
      <c r="F118" s="11" t="s">
        <v>259</v>
      </c>
      <c r="G118" s="11" t="s">
        <v>260</v>
      </c>
      <c r="H118" s="11">
        <f>Anchoveta!F87</f>
        <v>279.649</v>
      </c>
      <c r="I118" s="11">
        <f>Anchoveta!G87</f>
        <v>-86</v>
      </c>
      <c r="J118" s="11">
        <f>Anchoveta!H87</f>
        <v>193.649</v>
      </c>
      <c r="K118" s="11">
        <f>Anchoveta!I87</f>
        <v>48.695</v>
      </c>
      <c r="L118" s="11">
        <f>Anchoveta!K87</f>
        <v>144.95400000000001</v>
      </c>
      <c r="M118" s="49">
        <f>Anchoveta!L87</f>
        <v>0.25146011598304147</v>
      </c>
      <c r="N118" s="55">
        <f>Anchoveta!M87</f>
        <v>0</v>
      </c>
      <c r="O118" s="34">
        <f>RESUMEN!$B$3</f>
        <v>44020</v>
      </c>
      <c r="P118" s="11">
        <v>2020</v>
      </c>
    </row>
    <row r="119" spans="1:16">
      <c r="A119" s="11" t="s">
        <v>255</v>
      </c>
      <c r="B119" s="11" t="s">
        <v>217</v>
      </c>
      <c r="C119" s="11" t="s">
        <v>277</v>
      </c>
      <c r="D119" s="11" t="s">
        <v>272</v>
      </c>
      <c r="E119" s="11" t="str">
        <f>Anchoveta!D88</f>
        <v>Sindicato de Trabajadores Independientes, Ayudantes de Buzos, Pescadores Artesanales y Algueras y Actividades Conexas de las Caletas Tomé y Quichiuto, Registro Sindical Único 08.06.0043</v>
      </c>
      <c r="F119" s="11" t="s">
        <v>259</v>
      </c>
      <c r="G119" s="11" t="s">
        <v>260</v>
      </c>
      <c r="H119" s="11">
        <f>Anchoveta!F88</f>
        <v>954.45399999999995</v>
      </c>
      <c r="I119" s="11">
        <f>Anchoveta!G88</f>
        <v>0</v>
      </c>
      <c r="J119" s="11">
        <f>Anchoveta!H88</f>
        <v>954.45399999999995</v>
      </c>
      <c r="K119" s="11">
        <f>Anchoveta!I88</f>
        <v>1753.7370000000001</v>
      </c>
      <c r="L119" s="11">
        <f>Anchoveta!K88</f>
        <v>-799.28300000000013</v>
      </c>
      <c r="M119" s="49">
        <f>Anchoveta!L88</f>
        <v>1.837424328464232</v>
      </c>
      <c r="N119" s="55">
        <f>Anchoveta!M88</f>
        <v>0</v>
      </c>
      <c r="O119" s="34">
        <f>RESUMEN!$B$3</f>
        <v>44020</v>
      </c>
      <c r="P119" s="11">
        <v>2020</v>
      </c>
    </row>
    <row r="120" spans="1:16">
      <c r="A120" s="11" t="s">
        <v>255</v>
      </c>
      <c r="B120" s="11" t="s">
        <v>217</v>
      </c>
      <c r="C120" s="11" t="s">
        <v>277</v>
      </c>
      <c r="D120" s="11" t="s">
        <v>272</v>
      </c>
      <c r="E120" s="11" t="str">
        <f>Anchoveta!D89</f>
        <v>Sindicato de Trabajadores Independientes, Pescadores Artesanales Pelágicos, Patrones y Tripulantes de Pesca Artesanal y Actividades Conexas de la Comuna de Talcahuano, " ASPAS". Registro Sindical Único 08.05.0474</v>
      </c>
      <c r="F120" s="11" t="s">
        <v>259</v>
      </c>
      <c r="G120" s="11" t="s">
        <v>260</v>
      </c>
      <c r="H120" s="11">
        <f>Anchoveta!F89</f>
        <v>1546.8019999999999</v>
      </c>
      <c r="I120" s="11">
        <f>Anchoveta!G89</f>
        <v>184.5</v>
      </c>
      <c r="J120" s="11">
        <f>Anchoveta!H89</f>
        <v>1731.3019999999999</v>
      </c>
      <c r="K120" s="11">
        <f>Anchoveta!I89</f>
        <v>845.61800000000005</v>
      </c>
      <c r="L120" s="11">
        <f>Anchoveta!K89</f>
        <v>885.68399999999986</v>
      </c>
      <c r="M120" s="49">
        <f>Anchoveta!L89</f>
        <v>0.48842893960730138</v>
      </c>
      <c r="N120" s="55">
        <f>Anchoveta!M89</f>
        <v>0</v>
      </c>
      <c r="O120" s="34">
        <f>RESUMEN!$B$3</f>
        <v>44020</v>
      </c>
      <c r="P120" s="11">
        <v>2020</v>
      </c>
    </row>
    <row r="121" spans="1:16">
      <c r="A121" s="11" t="s">
        <v>255</v>
      </c>
      <c r="B121" s="11" t="s">
        <v>217</v>
      </c>
      <c r="C121" s="11" t="s">
        <v>277</v>
      </c>
      <c r="D121" s="11" t="s">
        <v>272</v>
      </c>
      <c r="E121" s="11" t="str">
        <f>Anchoveta!D90</f>
        <v>Sindicato de Trabajadores Independientes, Pescadores Artesanales y Ramos Afines Sta Maria Comuna de Talcahuano, " SIPASMA". Registro Sindical Único 08.05.0602</v>
      </c>
      <c r="F121" s="11" t="s">
        <v>259</v>
      </c>
      <c r="G121" s="11" t="s">
        <v>260</v>
      </c>
      <c r="H121" s="11">
        <f>Anchoveta!F90</f>
        <v>1521.96</v>
      </c>
      <c r="I121" s="11">
        <f>Anchoveta!G90</f>
        <v>0</v>
      </c>
      <c r="J121" s="11">
        <f>Anchoveta!H90</f>
        <v>1521.96</v>
      </c>
      <c r="K121" s="11">
        <f>Anchoveta!I90</f>
        <v>1751.7760000000001</v>
      </c>
      <c r="L121" s="11">
        <f>Anchoveta!K90</f>
        <v>-229.81600000000003</v>
      </c>
      <c r="M121" s="49">
        <f>Anchoveta!L90</f>
        <v>1.1510000262818996</v>
      </c>
      <c r="N121" s="55">
        <f>Anchoveta!M90</f>
        <v>0</v>
      </c>
      <c r="O121" s="34">
        <f>RESUMEN!$B$3</f>
        <v>44020</v>
      </c>
      <c r="P121" s="11">
        <v>2020</v>
      </c>
    </row>
    <row r="122" spans="1:16">
      <c r="A122" s="11" t="s">
        <v>255</v>
      </c>
      <c r="B122" s="11" t="s">
        <v>217</v>
      </c>
      <c r="C122" s="11" t="s">
        <v>277</v>
      </c>
      <c r="D122" s="11" t="s">
        <v>272</v>
      </c>
      <c r="E122" s="11" t="str">
        <f>Anchoveta!D91</f>
        <v>Sindicato de Trabajadores Independientes, Pescadores Artesanales, Armadores Artesanales y Actividades Conexas de la Caleta de Lota VIII Región "SIPAR GENTE DE MAR". Registros Sindical Único 08.07.0326</v>
      </c>
      <c r="F122" s="11" t="s">
        <v>259</v>
      </c>
      <c r="G122" s="11" t="s">
        <v>260</v>
      </c>
      <c r="H122" s="11">
        <f>Anchoveta!F91</f>
        <v>1836.5170000000001</v>
      </c>
      <c r="I122" s="11">
        <f>Anchoveta!G91</f>
        <v>0</v>
      </c>
      <c r="J122" s="11">
        <f>Anchoveta!H91</f>
        <v>1836.5170000000001</v>
      </c>
      <c r="K122" s="11">
        <f>Anchoveta!I91</f>
        <v>1812.0440000000001</v>
      </c>
      <c r="L122" s="11">
        <f>Anchoveta!K91</f>
        <v>24.472999999999956</v>
      </c>
      <c r="M122" s="49">
        <f>Anchoveta!L91</f>
        <v>0.98667423171144075</v>
      </c>
      <c r="N122" s="55">
        <f>Anchoveta!M91</f>
        <v>0</v>
      </c>
      <c r="O122" s="34">
        <f>RESUMEN!$B$3</f>
        <v>44020</v>
      </c>
      <c r="P122" s="11">
        <v>2020</v>
      </c>
    </row>
    <row r="123" spans="1:16">
      <c r="A123" s="11" t="s">
        <v>255</v>
      </c>
      <c r="B123" s="11" t="s">
        <v>217</v>
      </c>
      <c r="C123" s="11" t="s">
        <v>277</v>
      </c>
      <c r="D123" s="11" t="s">
        <v>272</v>
      </c>
      <c r="E123" s="11" t="str">
        <f>Anchoveta!D92</f>
        <v>Sindicato de Trabajadores Independientes, Pescadores Artesanales, Armadores Artesanales, "Rio Maipo" de la Caleta de San Vicente de la Comuna de Talcahuano; Registro Sindical Único 08.05.0488.</v>
      </c>
      <c r="F123" s="11" t="s">
        <v>259</v>
      </c>
      <c r="G123" s="11" t="s">
        <v>260</v>
      </c>
      <c r="H123" s="11">
        <f>Anchoveta!F92</f>
        <v>556.41899999999998</v>
      </c>
      <c r="I123" s="11">
        <f>Anchoveta!G92</f>
        <v>0</v>
      </c>
      <c r="J123" s="11">
        <f>Anchoveta!H92</f>
        <v>556.41899999999998</v>
      </c>
      <c r="K123" s="11">
        <f>Anchoveta!I92</f>
        <v>239.61799999999999</v>
      </c>
      <c r="L123" s="11">
        <f>Anchoveta!K92</f>
        <v>316.80099999999999</v>
      </c>
      <c r="M123" s="49">
        <f>Anchoveta!L92</f>
        <v>0.43064309450252419</v>
      </c>
      <c r="N123" s="55">
        <f>Anchoveta!M92</f>
        <v>0</v>
      </c>
      <c r="O123" s="34">
        <f>RESUMEN!$B$3</f>
        <v>44020</v>
      </c>
      <c r="P123" s="11">
        <v>2020</v>
      </c>
    </row>
    <row r="124" spans="1:16">
      <c r="A124" s="11" t="s">
        <v>255</v>
      </c>
      <c r="B124" s="11" t="s">
        <v>217</v>
      </c>
      <c r="C124" s="11" t="s">
        <v>277</v>
      </c>
      <c r="D124" s="11" t="s">
        <v>272</v>
      </c>
      <c r="E124" s="11" t="str">
        <f>Anchoveta!D93</f>
        <v>Sindicato de Trabajadores Independientes, Pescadores Artesanales, Armadores Artesanales, Buzos Mariscadores y Recolectores de Orilla Isla Santa Maria Puerto Sur, Registro Sindical Único 08.07.0364.</v>
      </c>
      <c r="F124" s="11" t="s">
        <v>259</v>
      </c>
      <c r="G124" s="11" t="s">
        <v>260</v>
      </c>
      <c r="H124" s="11">
        <f>Anchoveta!F93</f>
        <v>8.2759999999999998</v>
      </c>
      <c r="I124" s="11">
        <f>Anchoveta!G93</f>
        <v>-8</v>
      </c>
      <c r="J124" s="11">
        <f>Anchoveta!H93</f>
        <v>0.2759999999999998</v>
      </c>
      <c r="K124" s="11">
        <f>Anchoveta!I93</f>
        <v>0</v>
      </c>
      <c r="L124" s="11">
        <f>Anchoveta!K93</f>
        <v>0.2759999999999998</v>
      </c>
      <c r="M124" s="49">
        <f>Anchoveta!L93</f>
        <v>1</v>
      </c>
      <c r="N124" s="55">
        <f>Anchoveta!M93</f>
        <v>0</v>
      </c>
      <c r="O124" s="34">
        <f>RESUMEN!$B$3</f>
        <v>44020</v>
      </c>
      <c r="P124" s="11">
        <v>2020</v>
      </c>
    </row>
    <row r="125" spans="1:16">
      <c r="A125" s="11" t="s">
        <v>255</v>
      </c>
      <c r="B125" s="11" t="s">
        <v>217</v>
      </c>
      <c r="C125" s="11" t="s">
        <v>277</v>
      </c>
      <c r="D125" s="11" t="s">
        <v>272</v>
      </c>
      <c r="E125" s="11" t="str">
        <f>Anchoveta!D94</f>
        <v>Sindicato de Trabajadores Independientes, Tripulantes y Armadores de Botes, Pescadores Artesanales, Algueros, Mariscadores y Actividades conexas de la caleta Tumbes de la comuna de Talcahuano. Registro Sindical Único 08.050.0495</v>
      </c>
      <c r="F125" s="11" t="s">
        <v>259</v>
      </c>
      <c r="G125" s="11" t="s">
        <v>260</v>
      </c>
      <c r="H125" s="11">
        <f>Anchoveta!F94</f>
        <v>246.42099999999999</v>
      </c>
      <c r="I125" s="11">
        <f>Anchoveta!G94</f>
        <v>-18</v>
      </c>
      <c r="J125" s="11">
        <f>Anchoveta!H94</f>
        <v>228.42099999999999</v>
      </c>
      <c r="K125" s="11">
        <f>Anchoveta!I94</f>
        <v>78.168000000000006</v>
      </c>
      <c r="L125" s="11">
        <f>Anchoveta!K94</f>
        <v>150.25299999999999</v>
      </c>
      <c r="M125" s="49">
        <f>Anchoveta!L94</f>
        <v>0.34221021709912841</v>
      </c>
      <c r="N125" s="55">
        <f>Anchoveta!M94</f>
        <v>0</v>
      </c>
      <c r="O125" s="34">
        <f>RESUMEN!$B$3</f>
        <v>44020</v>
      </c>
      <c r="P125" s="11">
        <v>2020</v>
      </c>
    </row>
    <row r="126" spans="1:16">
      <c r="A126" s="11" t="s">
        <v>255</v>
      </c>
      <c r="B126" s="11" t="s">
        <v>217</v>
      </c>
      <c r="C126" s="11" t="s">
        <v>277</v>
      </c>
      <c r="D126" s="11" t="s">
        <v>272</v>
      </c>
      <c r="E126" s="11" t="str">
        <f>Anchoveta!D95</f>
        <v>Sindicato Independiente de Armadores Pescadores Artesanales Tripulantes y Ramas Similares "Bahia Concepción", Registro Sindical Unico 08.05.0648</v>
      </c>
      <c r="F126" s="11" t="s">
        <v>259</v>
      </c>
      <c r="G126" s="11" t="s">
        <v>260</v>
      </c>
      <c r="H126" s="11">
        <f>Anchoveta!F95</f>
        <v>605.39</v>
      </c>
      <c r="I126" s="11">
        <f>Anchoveta!G95</f>
        <v>100</v>
      </c>
      <c r="J126" s="11">
        <f>Anchoveta!H95</f>
        <v>705.39</v>
      </c>
      <c r="K126" s="11">
        <f>Anchoveta!I95</f>
        <v>373.46199999999999</v>
      </c>
      <c r="L126" s="11">
        <f>Anchoveta!K95</f>
        <v>331.928</v>
      </c>
      <c r="M126" s="49">
        <f>Anchoveta!L95</f>
        <v>0.52944045138150531</v>
      </c>
      <c r="N126" s="55">
        <f>Anchoveta!M95</f>
        <v>0</v>
      </c>
      <c r="O126" s="34">
        <f>RESUMEN!$B$3</f>
        <v>44020</v>
      </c>
      <c r="P126" s="11">
        <v>2020</v>
      </c>
    </row>
    <row r="127" spans="1:16">
      <c r="A127" s="11" t="s">
        <v>255</v>
      </c>
      <c r="B127" s="11" t="s">
        <v>217</v>
      </c>
      <c r="C127" s="11" t="s">
        <v>277</v>
      </c>
      <c r="D127" s="11" t="s">
        <v>272</v>
      </c>
      <c r="E127" s="11" t="str">
        <f>Anchoveta!D96</f>
        <v>Sindicato Independiente de Armadores y Pescadores Artesanales Afines "SARPE". Registro Sindical Único 08.05.0398</v>
      </c>
      <c r="F127" s="11" t="s">
        <v>259</v>
      </c>
      <c r="G127" s="11" t="s">
        <v>260</v>
      </c>
      <c r="H127" s="11">
        <f>Anchoveta!F96</f>
        <v>3082.556</v>
      </c>
      <c r="I127" s="11">
        <f>Anchoveta!G96</f>
        <v>260</v>
      </c>
      <c r="J127" s="11">
        <f>Anchoveta!H96</f>
        <v>3342.556</v>
      </c>
      <c r="K127" s="11">
        <f>Anchoveta!I96</f>
        <v>3304.643</v>
      </c>
      <c r="L127" s="11">
        <f>Anchoveta!K96</f>
        <v>37.913000000000011</v>
      </c>
      <c r="M127" s="49">
        <f>Anchoveta!L96</f>
        <v>0.98865748247748131</v>
      </c>
      <c r="N127" s="55">
        <f>Anchoveta!M96</f>
        <v>0</v>
      </c>
      <c r="O127" s="34">
        <f>RESUMEN!$B$3</f>
        <v>44020</v>
      </c>
      <c r="P127" s="11">
        <v>2020</v>
      </c>
    </row>
    <row r="128" spans="1:16">
      <c r="A128" s="11" t="s">
        <v>255</v>
      </c>
      <c r="B128" s="11" t="s">
        <v>217</v>
      </c>
      <c r="C128" s="11" t="s">
        <v>277</v>
      </c>
      <c r="D128" s="11" t="s">
        <v>272</v>
      </c>
      <c r="E128" s="11" t="str">
        <f>Anchoveta!D97</f>
        <v>Sindicato Independiente de Pequeños Armadores Artesanales de Cerco y otras actividades Afines de Coronel y Lota, "SIPAC" Registro Sindical Único 08.07.0373</v>
      </c>
      <c r="F128" s="11" t="s">
        <v>259</v>
      </c>
      <c r="G128" s="11" t="s">
        <v>260</v>
      </c>
      <c r="H128" s="11">
        <f>Anchoveta!F97</f>
        <v>307.25299999999999</v>
      </c>
      <c r="I128" s="11">
        <f>Anchoveta!G97</f>
        <v>-7</v>
      </c>
      <c r="J128" s="11">
        <f>Anchoveta!H97</f>
        <v>300.25299999999999</v>
      </c>
      <c r="K128" s="11">
        <f>Anchoveta!I97</f>
        <v>790.47799999999995</v>
      </c>
      <c r="L128" s="11">
        <f>Anchoveta!K97</f>
        <v>-490.22499999999997</v>
      </c>
      <c r="M128" s="49">
        <f>Anchoveta!L97</f>
        <v>2.6327064175878343</v>
      </c>
      <c r="N128" s="55">
        <f>Anchoveta!M97</f>
        <v>43943</v>
      </c>
      <c r="O128" s="34">
        <f>RESUMEN!$B$3</f>
        <v>44020</v>
      </c>
      <c r="P128" s="11">
        <v>2020</v>
      </c>
    </row>
    <row r="129" spans="1:16" s="11" customFormat="1">
      <c r="A129" s="11" t="s">
        <v>255</v>
      </c>
      <c r="B129" s="11" t="s">
        <v>217</v>
      </c>
      <c r="C129" s="11" t="s">
        <v>277</v>
      </c>
      <c r="D129" s="11" t="s">
        <v>272</v>
      </c>
      <c r="E129" s="11" t="str">
        <f>Anchoveta!D98</f>
        <v>Sindicato Independiente de Pescadores Artesanales, Tripulantes Artesanales de Cerco y Ramos Conexos. RSU 8070220</v>
      </c>
      <c r="F129" s="11" t="s">
        <v>259</v>
      </c>
      <c r="G129" s="11" t="s">
        <v>260</v>
      </c>
      <c r="H129" s="11">
        <f>Anchoveta!F98</f>
        <v>31.370999999999999</v>
      </c>
      <c r="I129" s="11">
        <f>Anchoveta!G98</f>
        <v>-5</v>
      </c>
      <c r="J129" s="11">
        <f>Anchoveta!H98</f>
        <v>26.370999999999999</v>
      </c>
      <c r="K129" s="11">
        <f>Anchoveta!I98</f>
        <v>0</v>
      </c>
      <c r="L129" s="11">
        <f>Anchoveta!K98</f>
        <v>26.370999999999999</v>
      </c>
      <c r="M129" s="49">
        <f>Anchoveta!L98</f>
        <v>0</v>
      </c>
      <c r="N129" s="55">
        <f>Anchoveta!M98</f>
        <v>0</v>
      </c>
      <c r="O129" s="34">
        <f>RESUMEN!$B$3</f>
        <v>44020</v>
      </c>
      <c r="P129" s="11">
        <v>2020</v>
      </c>
    </row>
    <row r="130" spans="1:16" s="11" customFormat="1">
      <c r="A130" s="11" t="s">
        <v>255</v>
      </c>
      <c r="B130" s="11" t="s">
        <v>217</v>
      </c>
      <c r="C130" s="11" t="s">
        <v>277</v>
      </c>
      <c r="D130" s="11" t="s">
        <v>272</v>
      </c>
      <c r="E130" s="11" t="str">
        <f>Anchoveta!D99</f>
        <v>Sociedad Cooperativa Benesino Limitada ROL 5871</v>
      </c>
      <c r="F130" s="11" t="s">
        <v>259</v>
      </c>
      <c r="G130" s="11" t="s">
        <v>260</v>
      </c>
      <c r="H130" s="11">
        <f>Anchoveta!F99</f>
        <v>134.74799999999999</v>
      </c>
      <c r="I130" s="11">
        <f>Anchoveta!G99</f>
        <v>0</v>
      </c>
      <c r="J130" s="11">
        <f>Anchoveta!H99</f>
        <v>134.74799999999999</v>
      </c>
      <c r="K130" s="11">
        <f>Anchoveta!I99</f>
        <v>0</v>
      </c>
      <c r="L130" s="11">
        <f>Anchoveta!K99</f>
        <v>134.74799999999999</v>
      </c>
      <c r="M130" s="49">
        <f>Anchoveta!L99</f>
        <v>0</v>
      </c>
      <c r="N130" s="55">
        <f>Anchoveta!M99</f>
        <v>0</v>
      </c>
      <c r="O130" s="34">
        <f>RESUMEN!$B$3</f>
        <v>44020</v>
      </c>
      <c r="P130" s="11">
        <v>2020</v>
      </c>
    </row>
    <row r="131" spans="1:16">
      <c r="A131" s="11" t="s">
        <v>255</v>
      </c>
      <c r="B131" s="11" t="s">
        <v>217</v>
      </c>
      <c r="C131" s="11" t="s">
        <v>277</v>
      </c>
      <c r="D131" s="11" t="s">
        <v>272</v>
      </c>
      <c r="E131" s="11" t="str">
        <f>Anchoveta!D100</f>
        <v>STI Armadores y Pescadores artesanales, Acuicultores, Algueros (as) y Ramos afines "MAFMAR", Registro Sindical Unico 08.05.0645</v>
      </c>
      <c r="F131" s="11" t="s">
        <v>259</v>
      </c>
      <c r="G131" s="11" t="s">
        <v>260</v>
      </c>
      <c r="H131" s="11">
        <f>Anchoveta!F100</f>
        <v>1199.9680000000001</v>
      </c>
      <c r="I131" s="11">
        <f>Anchoveta!G100</f>
        <v>-211</v>
      </c>
      <c r="J131" s="11">
        <f>Anchoveta!H100</f>
        <v>988.96800000000007</v>
      </c>
      <c r="K131" s="11">
        <f>Anchoveta!I100</f>
        <v>318.839</v>
      </c>
      <c r="L131" s="11">
        <f>Anchoveta!K100</f>
        <v>670.12900000000013</v>
      </c>
      <c r="M131" s="49">
        <f>Anchoveta!L100</f>
        <v>0.3223956690206356</v>
      </c>
      <c r="N131" s="55">
        <f>Anchoveta!M100</f>
        <v>0</v>
      </c>
      <c r="O131" s="34">
        <f>RESUMEN!$B$3</f>
        <v>44020</v>
      </c>
      <c r="P131" s="11">
        <v>2020</v>
      </c>
    </row>
    <row r="132" spans="1:16">
      <c r="A132" s="11" t="s">
        <v>255</v>
      </c>
      <c r="B132" s="11" t="s">
        <v>217</v>
      </c>
      <c r="C132" s="11" t="s">
        <v>277</v>
      </c>
      <c r="D132" s="11" t="s">
        <v>272</v>
      </c>
      <c r="E132" s="11" t="str">
        <f>Anchoveta!D101</f>
        <v>CUOTA RESIDUAL VIII</v>
      </c>
      <c r="F132" s="11" t="s">
        <v>259</v>
      </c>
      <c r="G132" s="11" t="s">
        <v>260</v>
      </c>
      <c r="H132" s="11">
        <f>Anchoveta!F101</f>
        <v>63.262</v>
      </c>
      <c r="I132" s="11">
        <f>Anchoveta!G101</f>
        <v>0</v>
      </c>
      <c r="J132" s="11">
        <f>Anchoveta!H101</f>
        <v>63.262</v>
      </c>
      <c r="K132" s="11">
        <f>Anchoveta!I101</f>
        <v>68.486000000000004</v>
      </c>
      <c r="L132" s="11">
        <f>Anchoveta!K101</f>
        <v>-5.2240000000000038</v>
      </c>
      <c r="M132" s="49">
        <f>Anchoveta!L101</f>
        <v>1.0825772185514211</v>
      </c>
      <c r="N132" s="55">
        <f>Anchoveta!M101</f>
        <v>43917</v>
      </c>
      <c r="O132" s="34">
        <f>RESUMEN!$B$3</f>
        <v>44020</v>
      </c>
      <c r="P132" s="11">
        <v>2020</v>
      </c>
    </row>
    <row r="133" spans="1:16">
      <c r="A133" s="43" t="s">
        <v>255</v>
      </c>
      <c r="B133" s="43" t="s">
        <v>217</v>
      </c>
      <c r="C133" s="43" t="s">
        <v>277</v>
      </c>
      <c r="D133" s="43" t="s">
        <v>46</v>
      </c>
      <c r="E133" s="43" t="str">
        <f>Anchoveta!D103</f>
        <v>Total Región del Biobio y el Ñuble</v>
      </c>
      <c r="F133" s="43" t="s">
        <v>259</v>
      </c>
      <c r="G133" s="43" t="s">
        <v>260</v>
      </c>
      <c r="H133" s="43">
        <f>Anchoveta!F103</f>
        <v>99054.969000000012</v>
      </c>
      <c r="I133" s="43">
        <f>Anchoveta!G103</f>
        <v>32792.303</v>
      </c>
      <c r="J133" s="43">
        <f>Anchoveta!H103</f>
        <v>131847.272</v>
      </c>
      <c r="K133" s="43">
        <f>Anchoveta!I103</f>
        <v>87730.27</v>
      </c>
      <c r="L133" s="43">
        <f>Anchoveta!K103</f>
        <v>44117.001999999993</v>
      </c>
      <c r="M133" s="51">
        <f>Anchoveta!L103</f>
        <v>0.66539313759938856</v>
      </c>
      <c r="N133" s="56">
        <f>Anchoveta!M103</f>
        <v>0</v>
      </c>
      <c r="O133" s="34">
        <f>RESUMEN!$B$3</f>
        <v>44020</v>
      </c>
      <c r="P133" s="11">
        <v>2020</v>
      </c>
    </row>
    <row r="134" spans="1:16">
      <c r="A134" t="s">
        <v>255</v>
      </c>
      <c r="B134" t="s">
        <v>217</v>
      </c>
      <c r="C134" t="s">
        <v>239</v>
      </c>
      <c r="D134" t="s">
        <v>46</v>
      </c>
      <c r="E134" t="str">
        <f>Anchoveta!D105</f>
        <v>Región de la Araucanía</v>
      </c>
      <c r="F134" t="s">
        <v>259</v>
      </c>
      <c r="G134" t="s">
        <v>260</v>
      </c>
      <c r="H134">
        <f>Anchoveta!F105</f>
        <v>1543</v>
      </c>
      <c r="I134" s="11">
        <f>Anchoveta!G105</f>
        <v>0</v>
      </c>
      <c r="J134" s="11">
        <f>Anchoveta!H105</f>
        <v>1543</v>
      </c>
      <c r="K134" s="11">
        <f>Anchoveta!I105</f>
        <v>964.32</v>
      </c>
      <c r="L134">
        <f>Anchoveta!K105</f>
        <v>578.67999999999995</v>
      </c>
      <c r="M134" s="49">
        <f>Anchoveta!L105</f>
        <v>0.62496435515230075</v>
      </c>
      <c r="N134" s="55">
        <f>Anchoveta!M105</f>
        <v>43956</v>
      </c>
      <c r="O134" s="34">
        <f>RESUMEN!$B$3</f>
        <v>44020</v>
      </c>
      <c r="P134" s="11">
        <v>2020</v>
      </c>
    </row>
    <row r="135" spans="1:16">
      <c r="A135" s="43" t="s">
        <v>255</v>
      </c>
      <c r="B135" s="43" t="s">
        <v>217</v>
      </c>
      <c r="C135" s="43" t="s">
        <v>239</v>
      </c>
      <c r="D135" s="43" t="s">
        <v>46</v>
      </c>
      <c r="E135" s="43" t="str">
        <f>Anchoveta!D107</f>
        <v>Total Región de la Araucanía</v>
      </c>
      <c r="F135" s="43" t="s">
        <v>259</v>
      </c>
      <c r="G135" s="43" t="s">
        <v>260</v>
      </c>
      <c r="H135" s="43">
        <f>Anchoveta!F107</f>
        <v>1543</v>
      </c>
      <c r="I135" s="43">
        <f>Anchoveta!G107</f>
        <v>900</v>
      </c>
      <c r="J135" s="43">
        <f>Anchoveta!H107</f>
        <v>2443</v>
      </c>
      <c r="K135" s="43">
        <f>Anchoveta!I107</f>
        <v>964.32</v>
      </c>
      <c r="L135" s="43">
        <f>Anchoveta!K107</f>
        <v>1478.6799999999998</v>
      </c>
      <c r="M135" s="51">
        <f>Anchoveta!L107</f>
        <v>0.39472779369627509</v>
      </c>
      <c r="N135" s="56">
        <f>Anchoveta!M107</f>
        <v>0</v>
      </c>
      <c r="O135" s="34">
        <f>RESUMEN!$B$3</f>
        <v>44020</v>
      </c>
      <c r="P135" s="11">
        <v>2020</v>
      </c>
    </row>
    <row r="136" spans="1:16">
      <c r="A136" t="s">
        <v>255</v>
      </c>
      <c r="B136" t="s">
        <v>217</v>
      </c>
      <c r="C136" t="s">
        <v>238</v>
      </c>
      <c r="D136" t="s">
        <v>272</v>
      </c>
      <c r="E136" t="str">
        <f>Anchoveta!D109</f>
        <v>AG APEVAL. RAG 29-14</v>
      </c>
      <c r="F136" s="11" t="s">
        <v>259</v>
      </c>
      <c r="G136" s="11" t="s">
        <v>260</v>
      </c>
      <c r="H136">
        <f>Anchoveta!F109</f>
        <v>714.06100000000004</v>
      </c>
      <c r="I136" s="11">
        <f>Anchoveta!G109</f>
        <v>0</v>
      </c>
      <c r="J136" s="11">
        <f>Anchoveta!H109</f>
        <v>714.06100000000004</v>
      </c>
      <c r="K136" s="11">
        <f>Anchoveta!I109</f>
        <v>86.872</v>
      </c>
      <c r="L136">
        <f>Anchoveta!K109</f>
        <v>627.18900000000008</v>
      </c>
      <c r="M136" s="49">
        <f>Anchoveta!L109</f>
        <v>0.12165907394466298</v>
      </c>
      <c r="N136" s="55">
        <f>Anchoveta!M109</f>
        <v>0</v>
      </c>
      <c r="O136" s="34">
        <f>RESUMEN!$B$3</f>
        <v>44020</v>
      </c>
      <c r="P136" s="11">
        <v>2020</v>
      </c>
    </row>
    <row r="137" spans="1:16">
      <c r="A137" t="s">
        <v>255</v>
      </c>
      <c r="B137" t="s">
        <v>217</v>
      </c>
      <c r="C137" t="s">
        <v>238</v>
      </c>
      <c r="D137" t="s">
        <v>272</v>
      </c>
      <c r="E137" s="11" t="str">
        <f>Anchoveta!D110</f>
        <v xml:space="preserve"> AG ACERVAL. RAG 207-10</v>
      </c>
      <c r="F137" s="11" t="s">
        <v>259</v>
      </c>
      <c r="G137" s="11" t="s">
        <v>260</v>
      </c>
      <c r="H137" s="11">
        <f>Anchoveta!F110</f>
        <v>1273.114</v>
      </c>
      <c r="I137" s="11">
        <f>Anchoveta!G110</f>
        <v>0</v>
      </c>
      <c r="J137" s="11">
        <f>Anchoveta!H110</f>
        <v>1273.114</v>
      </c>
      <c r="K137" s="11">
        <f>Anchoveta!I110</f>
        <v>384.976</v>
      </c>
      <c r="L137" s="11">
        <f>Anchoveta!K110</f>
        <v>888.13800000000003</v>
      </c>
      <c r="M137" s="49">
        <f>Anchoveta!L110</f>
        <v>0.30238925972065345</v>
      </c>
      <c r="N137" s="55">
        <f>Anchoveta!M110</f>
        <v>0</v>
      </c>
      <c r="O137" s="34">
        <f>RESUMEN!$B$3</f>
        <v>44020</v>
      </c>
      <c r="P137" s="11">
        <v>2020</v>
      </c>
    </row>
    <row r="138" spans="1:16">
      <c r="A138" t="s">
        <v>255</v>
      </c>
      <c r="B138" t="s">
        <v>217</v>
      </c>
      <c r="C138" t="s">
        <v>238</v>
      </c>
      <c r="D138" t="s">
        <v>272</v>
      </c>
      <c r="E138" s="11" t="str">
        <f>Anchoveta!D111</f>
        <v>AG ACERMAR. RAG 4205</v>
      </c>
      <c r="F138" s="11" t="s">
        <v>259</v>
      </c>
      <c r="G138" s="11" t="s">
        <v>260</v>
      </c>
      <c r="H138" s="11">
        <f>Anchoveta!F111</f>
        <v>1008.612</v>
      </c>
      <c r="I138" s="11">
        <f>Anchoveta!G111</f>
        <v>0</v>
      </c>
      <c r="J138" s="11">
        <f>Anchoveta!H111</f>
        <v>1008.612</v>
      </c>
      <c r="K138" s="11">
        <f>Anchoveta!I111</f>
        <v>531.61400000000003</v>
      </c>
      <c r="L138" s="11">
        <f>Anchoveta!K111</f>
        <v>476.99799999999993</v>
      </c>
      <c r="M138" s="49">
        <f>Anchoveta!L111</f>
        <v>0.52707483155068557</v>
      </c>
      <c r="N138" s="55">
        <f>Anchoveta!M111</f>
        <v>0</v>
      </c>
      <c r="O138" s="34">
        <f>RESUMEN!$B$3</f>
        <v>44020</v>
      </c>
      <c r="P138" s="11">
        <v>2020</v>
      </c>
    </row>
    <row r="139" spans="1:16">
      <c r="A139" t="s">
        <v>255</v>
      </c>
      <c r="B139" t="s">
        <v>217</v>
      </c>
      <c r="C139" t="s">
        <v>238</v>
      </c>
      <c r="D139" t="s">
        <v>272</v>
      </c>
      <c r="E139" s="11" t="str">
        <f>Anchoveta!D112</f>
        <v xml:space="preserve"> AG ACER. RAG 3793</v>
      </c>
      <c r="F139" s="11" t="s">
        <v>259</v>
      </c>
      <c r="G139" s="11" t="s">
        <v>260</v>
      </c>
      <c r="H139" s="11">
        <f>Anchoveta!F112</f>
        <v>756.68100000000004</v>
      </c>
      <c r="I139" s="11">
        <f>Anchoveta!G112</f>
        <v>0</v>
      </c>
      <c r="J139" s="11">
        <f>Anchoveta!H112</f>
        <v>756.68100000000004</v>
      </c>
      <c r="K139" s="11">
        <f>Anchoveta!I112</f>
        <v>412.78899999999999</v>
      </c>
      <c r="L139" s="11">
        <f>Anchoveta!K112</f>
        <v>343.89200000000005</v>
      </c>
      <c r="M139" s="49">
        <f>Anchoveta!L112</f>
        <v>0.5455257895995802</v>
      </c>
      <c r="N139" s="55">
        <f>Anchoveta!M112</f>
        <v>0</v>
      </c>
      <c r="O139" s="34">
        <f>RESUMEN!$B$3</f>
        <v>44020</v>
      </c>
      <c r="P139" s="11">
        <v>2020</v>
      </c>
    </row>
    <row r="140" spans="1:16">
      <c r="A140" s="11" t="s">
        <v>255</v>
      </c>
      <c r="B140" s="11" t="s">
        <v>217</v>
      </c>
      <c r="C140" s="11" t="s">
        <v>238</v>
      </c>
      <c r="D140" t="s">
        <v>272</v>
      </c>
      <c r="E140" s="11" t="str">
        <f>Anchoveta!D113</f>
        <v>AG SIPACERVAL RAG 44-14</v>
      </c>
      <c r="F140" s="11" t="s">
        <v>259</v>
      </c>
      <c r="G140" s="11" t="s">
        <v>260</v>
      </c>
      <c r="H140" s="11">
        <f>Anchoveta!F113</f>
        <v>3161.1570000000002</v>
      </c>
      <c r="I140" s="11">
        <f>Anchoveta!G113</f>
        <v>0</v>
      </c>
      <c r="J140" s="11">
        <f>Anchoveta!H113</f>
        <v>3161.1570000000002</v>
      </c>
      <c r="K140" s="11">
        <f>Anchoveta!I113</f>
        <v>1399.8549999999998</v>
      </c>
      <c r="L140" s="11">
        <f>Anchoveta!K113</f>
        <v>1761.3020000000004</v>
      </c>
      <c r="M140" s="49">
        <f>Anchoveta!L113</f>
        <v>0.44282995118559432</v>
      </c>
      <c r="N140" s="55">
        <f>Anchoveta!M113</f>
        <v>0</v>
      </c>
      <c r="O140" s="34">
        <f>RESUMEN!$B$3</f>
        <v>44020</v>
      </c>
      <c r="P140" s="11">
        <v>2020</v>
      </c>
    </row>
    <row r="141" spans="1:16">
      <c r="A141" s="11" t="s">
        <v>255</v>
      </c>
      <c r="B141" s="11" t="s">
        <v>217</v>
      </c>
      <c r="C141" s="11" t="s">
        <v>238</v>
      </c>
      <c r="D141" t="s">
        <v>272</v>
      </c>
      <c r="E141" s="11" t="str">
        <f>Anchoveta!D114</f>
        <v>AG ARMAPES. RAG 264-10</v>
      </c>
      <c r="F141" s="11" t="s">
        <v>259</v>
      </c>
      <c r="G141" s="11" t="s">
        <v>260</v>
      </c>
      <c r="H141" s="11">
        <f>Anchoveta!F114</f>
        <v>553.16399999999999</v>
      </c>
      <c r="I141" s="11">
        <f>Anchoveta!G114</f>
        <v>0</v>
      </c>
      <c r="J141" s="11">
        <f>Anchoveta!H114</f>
        <v>553.16399999999999</v>
      </c>
      <c r="K141" s="11">
        <f>Anchoveta!I114</f>
        <v>266.60700000000003</v>
      </c>
      <c r="L141" s="11">
        <f>Anchoveta!K114</f>
        <v>286.55699999999996</v>
      </c>
      <c r="M141" s="49">
        <f>Anchoveta!L114</f>
        <v>0.48196737314792726</v>
      </c>
      <c r="N141" s="55">
        <f>Anchoveta!M114</f>
        <v>0</v>
      </c>
      <c r="O141" s="34">
        <f>RESUMEN!$B$3</f>
        <v>44020</v>
      </c>
      <c r="P141" s="11">
        <v>2020</v>
      </c>
    </row>
    <row r="142" spans="1:16">
      <c r="A142" s="11" t="s">
        <v>255</v>
      </c>
      <c r="B142" s="11" t="s">
        <v>217</v>
      </c>
      <c r="C142" s="11" t="s">
        <v>238</v>
      </c>
      <c r="D142" t="s">
        <v>272</v>
      </c>
      <c r="E142" s="11" t="str">
        <f>Anchoveta!D115</f>
        <v xml:space="preserve"> AG APACER. RAG 46-14</v>
      </c>
      <c r="F142" s="11" t="s">
        <v>259</v>
      </c>
      <c r="G142" s="11" t="s">
        <v>260</v>
      </c>
      <c r="H142" s="11">
        <f>Anchoveta!F115</f>
        <v>567.66300000000001</v>
      </c>
      <c r="I142" s="11">
        <f>Anchoveta!G115</f>
        <v>0</v>
      </c>
      <c r="J142" s="11">
        <f>Anchoveta!H115</f>
        <v>567.66300000000001</v>
      </c>
      <c r="K142" s="11">
        <f>Anchoveta!I115</f>
        <v>302.80100000000004</v>
      </c>
      <c r="L142" s="11">
        <f>Anchoveta!K115</f>
        <v>264.86199999999997</v>
      </c>
      <c r="M142" s="49">
        <f>Anchoveta!L115</f>
        <v>0.53341683357907776</v>
      </c>
      <c r="N142" s="55">
        <f>Anchoveta!M115</f>
        <v>0</v>
      </c>
      <c r="O142" s="34">
        <f>RESUMEN!$B$3</f>
        <v>44020</v>
      </c>
      <c r="P142" s="11">
        <v>2020</v>
      </c>
    </row>
    <row r="143" spans="1:16">
      <c r="A143" s="11" t="s">
        <v>255</v>
      </c>
      <c r="B143" s="11" t="s">
        <v>217</v>
      </c>
      <c r="C143" s="11" t="s">
        <v>238</v>
      </c>
      <c r="D143" t="s">
        <v>272</v>
      </c>
      <c r="E143" s="11" t="str">
        <f>Anchoveta!D116</f>
        <v xml:space="preserve"> STI DE AMARGO. RSU 14.01.0105</v>
      </c>
      <c r="F143" s="11" t="s">
        <v>259</v>
      </c>
      <c r="G143" s="11" t="s">
        <v>260</v>
      </c>
      <c r="H143" s="11">
        <f>Anchoveta!F116</f>
        <v>660.65899999999999</v>
      </c>
      <c r="I143" s="11">
        <f>Anchoveta!G116</f>
        <v>0</v>
      </c>
      <c r="J143" s="11">
        <f>Anchoveta!H116</f>
        <v>660.65899999999999</v>
      </c>
      <c r="K143" s="11">
        <f>Anchoveta!I116</f>
        <v>233.65300000000002</v>
      </c>
      <c r="L143" s="11">
        <f>Anchoveta!K116</f>
        <v>427.00599999999997</v>
      </c>
      <c r="M143" s="49">
        <f>Anchoveta!L116</f>
        <v>0.35366656626186888</v>
      </c>
      <c r="N143" s="55">
        <f>Anchoveta!M116</f>
        <v>0</v>
      </c>
      <c r="O143" s="34">
        <f>RESUMEN!$B$3</f>
        <v>44020</v>
      </c>
      <c r="P143" s="11">
        <v>2020</v>
      </c>
    </row>
    <row r="144" spans="1:16">
      <c r="A144" s="11" t="s">
        <v>255</v>
      </c>
      <c r="B144" s="11" t="s">
        <v>217</v>
      </c>
      <c r="C144" s="11" t="s">
        <v>238</v>
      </c>
      <c r="D144" t="s">
        <v>272</v>
      </c>
      <c r="E144" s="11" t="str">
        <f>Anchoveta!D117</f>
        <v>STI DEL BALNEARIO DE NIEBLA. RSU 14.01.0127</v>
      </c>
      <c r="F144" s="11" t="s">
        <v>259</v>
      </c>
      <c r="G144" s="11" t="s">
        <v>260</v>
      </c>
      <c r="H144" s="11">
        <f>Anchoveta!F117</f>
        <v>246.363</v>
      </c>
      <c r="I144" s="11">
        <f>Anchoveta!G117</f>
        <v>0</v>
      </c>
      <c r="J144" s="11">
        <f>Anchoveta!H117</f>
        <v>246.363</v>
      </c>
      <c r="K144" s="11">
        <f>Anchoveta!I117</f>
        <v>56.246999999999993</v>
      </c>
      <c r="L144" s="11">
        <f>Anchoveta!K117</f>
        <v>190.11600000000001</v>
      </c>
      <c r="M144" s="49">
        <f>Anchoveta!L117</f>
        <v>0.2283094458177567</v>
      </c>
      <c r="N144" s="55">
        <f>Anchoveta!M117</f>
        <v>0</v>
      </c>
      <c r="O144" s="34">
        <f>RESUMEN!$B$3</f>
        <v>44020</v>
      </c>
      <c r="P144" s="11">
        <v>2020</v>
      </c>
    </row>
    <row r="145" spans="1:16">
      <c r="A145" s="11" t="s">
        <v>255</v>
      </c>
      <c r="B145" s="11" t="s">
        <v>217</v>
      </c>
      <c r="C145" s="11" t="s">
        <v>238</v>
      </c>
      <c r="D145" t="s">
        <v>272</v>
      </c>
      <c r="E145" s="11" t="str">
        <f>Anchoveta!D118</f>
        <v xml:space="preserve"> STI ARPAVAL. RSU 14.01.0514</v>
      </c>
      <c r="F145" s="11" t="s">
        <v>259</v>
      </c>
      <c r="G145" s="11" t="s">
        <v>260</v>
      </c>
      <c r="H145" s="11">
        <f>Anchoveta!F118</f>
        <v>240.339</v>
      </c>
      <c r="I145" s="11">
        <f>Anchoveta!G118</f>
        <v>-95.64</v>
      </c>
      <c r="J145" s="11">
        <f>Anchoveta!H118</f>
        <v>144.69900000000001</v>
      </c>
      <c r="K145" s="11">
        <f>Anchoveta!I118</f>
        <v>0</v>
      </c>
      <c r="L145" s="11">
        <f>Anchoveta!K118</f>
        <v>144.69900000000001</v>
      </c>
      <c r="M145" s="49">
        <f>Anchoveta!L118</f>
        <v>0</v>
      </c>
      <c r="N145" s="55">
        <f>Anchoveta!M118</f>
        <v>0</v>
      </c>
      <c r="O145" s="34">
        <f>RESUMEN!$B$3</f>
        <v>44020</v>
      </c>
      <c r="P145" s="11">
        <v>2020</v>
      </c>
    </row>
    <row r="146" spans="1:16">
      <c r="A146" s="11" t="s">
        <v>255</v>
      </c>
      <c r="B146" s="11" t="s">
        <v>217</v>
      </c>
      <c r="C146" s="11" t="s">
        <v>238</v>
      </c>
      <c r="D146" t="s">
        <v>272</v>
      </c>
      <c r="E146" s="11" t="str">
        <f>Anchoveta!D119</f>
        <v>CUOTA RESIDUAL XIV</v>
      </c>
      <c r="F146" s="11" t="s">
        <v>259</v>
      </c>
      <c r="G146" s="11" t="s">
        <v>260</v>
      </c>
      <c r="H146" s="11">
        <f>Anchoveta!F119</f>
        <v>119.187</v>
      </c>
      <c r="I146" s="11">
        <f>Anchoveta!G119</f>
        <v>0</v>
      </c>
      <c r="J146" s="11">
        <f>Anchoveta!H119</f>
        <v>119.187</v>
      </c>
      <c r="K146" s="11">
        <f>Anchoveta!I119</f>
        <v>58.856000000000002</v>
      </c>
      <c r="L146" s="11">
        <f>Anchoveta!K119</f>
        <v>60.330999999999996</v>
      </c>
      <c r="M146" s="49">
        <f>Anchoveta!L119</f>
        <v>0.49381224462399426</v>
      </c>
      <c r="N146" s="55">
        <f>Anchoveta!M119</f>
        <v>0</v>
      </c>
      <c r="O146" s="34">
        <f>RESUMEN!$B$3</f>
        <v>44020</v>
      </c>
      <c r="P146" s="11">
        <v>2020</v>
      </c>
    </row>
    <row r="147" spans="1:16">
      <c r="A147" s="43" t="s">
        <v>255</v>
      </c>
      <c r="B147" s="43" t="s">
        <v>217</v>
      </c>
      <c r="C147" s="43" t="s">
        <v>238</v>
      </c>
      <c r="D147" s="43" t="s">
        <v>46</v>
      </c>
      <c r="E147" s="43" t="str">
        <f>Anchoveta!D121</f>
        <v xml:space="preserve">Total Región de Los Rios </v>
      </c>
      <c r="F147" s="43" t="s">
        <v>259</v>
      </c>
      <c r="G147" s="43" t="s">
        <v>260</v>
      </c>
      <c r="H147" s="43">
        <f>Anchoveta!F121</f>
        <v>9300.9999999999982</v>
      </c>
      <c r="I147" s="43">
        <f>Anchoveta!G121</f>
        <v>3736.3209999999999</v>
      </c>
      <c r="J147" s="43">
        <f>Anchoveta!H121</f>
        <v>13037.320999999998</v>
      </c>
      <c r="K147" s="43">
        <f>Anchoveta!I121</f>
        <v>3734.2699999999995</v>
      </c>
      <c r="L147" s="43">
        <f>Anchoveta!K121</f>
        <v>9303.0509999999995</v>
      </c>
      <c r="M147" s="51">
        <f>Anchoveta!L121</f>
        <v>0.28642924416757093</v>
      </c>
      <c r="N147" s="56">
        <f>Anchoveta!M121</f>
        <v>0</v>
      </c>
      <c r="O147" s="34">
        <f>RESUMEN!$B$3</f>
        <v>44020</v>
      </c>
      <c r="P147" s="11">
        <v>2020</v>
      </c>
    </row>
    <row r="148" spans="1:16">
      <c r="A148" s="11" t="s">
        <v>255</v>
      </c>
      <c r="B148" s="11" t="s">
        <v>217</v>
      </c>
      <c r="C148" t="s">
        <v>279</v>
      </c>
      <c r="D148" t="s">
        <v>272</v>
      </c>
      <c r="E148" t="str">
        <f>Anchoveta!D123</f>
        <v>ARMAR AG. RAG 320-10</v>
      </c>
      <c r="F148" t="s">
        <v>259</v>
      </c>
      <c r="G148" t="s">
        <v>260</v>
      </c>
      <c r="H148">
        <f>Anchoveta!F123</f>
        <v>327.43</v>
      </c>
      <c r="I148" s="11">
        <f>Anchoveta!G123</f>
        <v>-290</v>
      </c>
      <c r="J148" s="11">
        <f>Anchoveta!H123</f>
        <v>37.430000000000007</v>
      </c>
      <c r="K148" s="11">
        <f>Anchoveta!I123</f>
        <v>8.4789999999999992</v>
      </c>
      <c r="L148">
        <f>Anchoveta!K123</f>
        <v>28.951000000000008</v>
      </c>
      <c r="M148" s="49">
        <f>Anchoveta!L123</f>
        <v>0.22652952177397803</v>
      </c>
      <c r="N148" s="55">
        <f>Anchoveta!M123</f>
        <v>0</v>
      </c>
      <c r="O148" s="34">
        <f>RESUMEN!$B$3</f>
        <v>44020</v>
      </c>
      <c r="P148" s="11">
        <v>2020</v>
      </c>
    </row>
    <row r="149" spans="1:16">
      <c r="A149" s="11" t="s">
        <v>255</v>
      </c>
      <c r="B149" s="11" t="s">
        <v>217</v>
      </c>
      <c r="C149" s="11" t="s">
        <v>279</v>
      </c>
      <c r="D149" s="11" t="s">
        <v>272</v>
      </c>
      <c r="E149" s="11" t="str">
        <f>Anchoveta!D124</f>
        <v>ASOGFER AG. RAG 310-10</v>
      </c>
      <c r="F149" s="11" t="s">
        <v>259</v>
      </c>
      <c r="G149" s="11" t="s">
        <v>260</v>
      </c>
      <c r="H149" s="11">
        <f>Anchoveta!F124</f>
        <v>1168.421</v>
      </c>
      <c r="I149" s="11">
        <f>Anchoveta!G124</f>
        <v>-350</v>
      </c>
      <c r="J149" s="11">
        <f>Anchoveta!H124</f>
        <v>818.42100000000005</v>
      </c>
      <c r="K149" s="11">
        <f>Anchoveta!I124</f>
        <v>281.84199999999998</v>
      </c>
      <c r="L149" s="11">
        <f>Anchoveta!K124</f>
        <v>536.57900000000006</v>
      </c>
      <c r="M149" s="49">
        <f>Anchoveta!L124</f>
        <v>0.34437288388250054</v>
      </c>
      <c r="N149" s="55">
        <f>Anchoveta!M124</f>
        <v>0</v>
      </c>
      <c r="O149" s="34">
        <f>RESUMEN!$B$3</f>
        <v>44020</v>
      </c>
      <c r="P149" s="11">
        <v>2020</v>
      </c>
    </row>
    <row r="150" spans="1:16">
      <c r="A150" s="11" t="s">
        <v>255</v>
      </c>
      <c r="B150" s="11" t="s">
        <v>217</v>
      </c>
      <c r="C150" s="11" t="s">
        <v>279</v>
      </c>
      <c r="D150" s="11" t="s">
        <v>272</v>
      </c>
      <c r="E150" s="11" t="str">
        <f>Anchoveta!D125</f>
        <v>AGARMAR.  RAG 156-10</v>
      </c>
      <c r="F150" s="11" t="s">
        <v>259</v>
      </c>
      <c r="G150" s="11" t="s">
        <v>260</v>
      </c>
      <c r="H150" s="11">
        <f>Anchoveta!F125</f>
        <v>1379.3019999999999</v>
      </c>
      <c r="I150" s="11">
        <f>Anchoveta!G125</f>
        <v>-365</v>
      </c>
      <c r="J150" s="11">
        <f>Anchoveta!H125</f>
        <v>1014.3019999999999</v>
      </c>
      <c r="K150" s="11">
        <f>Anchoveta!I125</f>
        <v>400.63600000000002</v>
      </c>
      <c r="L150" s="11">
        <f>Anchoveta!K125</f>
        <v>613.66599999999994</v>
      </c>
      <c r="M150" s="49">
        <f>Anchoveta!L125</f>
        <v>0.39498689739347853</v>
      </c>
      <c r="N150" s="55">
        <f>Anchoveta!M125</f>
        <v>0</v>
      </c>
      <c r="O150" s="34">
        <f>RESUMEN!$B$3</f>
        <v>44020</v>
      </c>
      <c r="P150" s="11">
        <v>2020</v>
      </c>
    </row>
    <row r="151" spans="1:16">
      <c r="A151" s="11" t="s">
        <v>255</v>
      </c>
      <c r="B151" s="11" t="s">
        <v>217</v>
      </c>
      <c r="C151" s="11" t="s">
        <v>279</v>
      </c>
      <c r="D151" s="11" t="s">
        <v>272</v>
      </c>
      <c r="E151" s="11" t="str">
        <f>Anchoveta!D126</f>
        <v>PESCA AUSTRAL. RAG 326-10</v>
      </c>
      <c r="F151" s="11" t="s">
        <v>259</v>
      </c>
      <c r="G151" s="11" t="s">
        <v>260</v>
      </c>
      <c r="H151" s="11">
        <f>Anchoveta!F126</f>
        <v>429.01499999999999</v>
      </c>
      <c r="I151" s="11">
        <f>Anchoveta!G126</f>
        <v>-350</v>
      </c>
      <c r="J151" s="11">
        <f>Anchoveta!H126</f>
        <v>79.014999999999986</v>
      </c>
      <c r="K151" s="11">
        <f>Anchoveta!I126</f>
        <v>0</v>
      </c>
      <c r="L151" s="11">
        <f>Anchoveta!K126</f>
        <v>79.014999999999986</v>
      </c>
      <c r="M151" s="49">
        <f>Anchoveta!L126</f>
        <v>0</v>
      </c>
      <c r="N151" s="55">
        <f>Anchoveta!M126</f>
        <v>0</v>
      </c>
      <c r="O151" s="34">
        <f>RESUMEN!$B$3</f>
        <v>44020</v>
      </c>
      <c r="P151" s="11">
        <v>2020</v>
      </c>
    </row>
    <row r="152" spans="1:16">
      <c r="A152" s="11" t="s">
        <v>255</v>
      </c>
      <c r="B152" s="11" t="s">
        <v>217</v>
      </c>
      <c r="C152" s="11" t="s">
        <v>279</v>
      </c>
      <c r="D152" s="11" t="s">
        <v>272</v>
      </c>
      <c r="E152" s="11" t="str">
        <f>Anchoveta!D127</f>
        <v>ASOGPESCA ANCUD. AG 4266</v>
      </c>
      <c r="F152" s="11" t="s">
        <v>259</v>
      </c>
      <c r="G152" s="11" t="s">
        <v>260</v>
      </c>
      <c r="H152" s="11">
        <f>Anchoveta!F127</f>
        <v>450.798</v>
      </c>
      <c r="I152" s="11">
        <f>Anchoveta!G127</f>
        <v>-60</v>
      </c>
      <c r="J152" s="11">
        <f>Anchoveta!H127</f>
        <v>390.798</v>
      </c>
      <c r="K152" s="11">
        <f>Anchoveta!I127</f>
        <v>364.33699999999999</v>
      </c>
      <c r="L152" s="11">
        <f>Anchoveta!K127</f>
        <v>26.461000000000013</v>
      </c>
      <c r="M152" s="49">
        <f>Anchoveta!L127</f>
        <v>0.93228982748120515</v>
      </c>
      <c r="N152" s="55">
        <f>Anchoveta!M127</f>
        <v>0</v>
      </c>
      <c r="O152" s="34">
        <f>RESUMEN!$B$3</f>
        <v>44020</v>
      </c>
      <c r="P152" s="11">
        <v>2020</v>
      </c>
    </row>
    <row r="153" spans="1:16">
      <c r="A153" s="11" t="s">
        <v>255</v>
      </c>
      <c r="B153" s="11" t="s">
        <v>217</v>
      </c>
      <c r="C153" s="11" t="s">
        <v>279</v>
      </c>
      <c r="D153" s="11" t="s">
        <v>272</v>
      </c>
      <c r="E153" s="11" t="str">
        <f>Anchoveta!D128</f>
        <v>AQUEPESCA. AG 270-10</v>
      </c>
      <c r="F153" s="11" t="s">
        <v>259</v>
      </c>
      <c r="G153" s="11" t="s">
        <v>260</v>
      </c>
      <c r="H153" s="11">
        <f>Anchoveta!F128</f>
        <v>260.93900000000002</v>
      </c>
      <c r="I153" s="11">
        <f>Anchoveta!G128</f>
        <v>-214</v>
      </c>
      <c r="J153" s="11">
        <f>Anchoveta!H128</f>
        <v>46.939000000000021</v>
      </c>
      <c r="K153" s="11">
        <f>Anchoveta!I128</f>
        <v>0</v>
      </c>
      <c r="L153" s="11">
        <f>Anchoveta!K128</f>
        <v>46.939000000000021</v>
      </c>
      <c r="M153" s="49">
        <f>Anchoveta!L128</f>
        <v>0</v>
      </c>
      <c r="N153" s="55">
        <f>Anchoveta!M128</f>
        <v>0</v>
      </c>
      <c r="O153" s="34">
        <f>RESUMEN!$B$3</f>
        <v>44020</v>
      </c>
      <c r="P153" s="11">
        <v>2020</v>
      </c>
    </row>
    <row r="154" spans="1:16">
      <c r="A154" s="11" t="s">
        <v>255</v>
      </c>
      <c r="B154" s="11" t="s">
        <v>217</v>
      </c>
      <c r="C154" s="11" t="s">
        <v>279</v>
      </c>
      <c r="D154" s="11" t="s">
        <v>272</v>
      </c>
      <c r="E154" s="11" t="str">
        <f>Anchoveta!D129</f>
        <v>STI CAMINO CHINQUIHUE. RSU 10.01.0942</v>
      </c>
      <c r="F154" s="11" t="s">
        <v>259</v>
      </c>
      <c r="G154" s="11" t="s">
        <v>260</v>
      </c>
      <c r="H154" s="11">
        <f>Anchoveta!F129</f>
        <v>225.947</v>
      </c>
      <c r="I154" s="11">
        <f>Anchoveta!G129</f>
        <v>-171</v>
      </c>
      <c r="J154" s="11">
        <f>Anchoveta!H129</f>
        <v>54.947000000000003</v>
      </c>
      <c r="K154" s="11">
        <f>Anchoveta!I129</f>
        <v>2.64</v>
      </c>
      <c r="L154" s="11">
        <f>Anchoveta!K129</f>
        <v>52.307000000000002</v>
      </c>
      <c r="M154" s="49">
        <f>Anchoveta!L129</f>
        <v>4.8046299161009699E-2</v>
      </c>
      <c r="N154" s="55">
        <f>Anchoveta!M129</f>
        <v>0</v>
      </c>
      <c r="O154" s="34">
        <f>RESUMEN!$B$3</f>
        <v>44020</v>
      </c>
      <c r="P154" s="11">
        <v>2020</v>
      </c>
    </row>
    <row r="155" spans="1:16">
      <c r="A155" s="11" t="s">
        <v>255</v>
      </c>
      <c r="B155" s="11" t="s">
        <v>217</v>
      </c>
      <c r="C155" s="11" t="s">
        <v>279</v>
      </c>
      <c r="D155" s="11" t="s">
        <v>272</v>
      </c>
      <c r="E155" s="11" t="str">
        <f>Anchoveta!D130</f>
        <v xml:space="preserve">STI PECERCAL RSU 10.01.0948 </v>
      </c>
      <c r="F155" s="11" t="s">
        <v>259</v>
      </c>
      <c r="G155" s="11" t="s">
        <v>260</v>
      </c>
      <c r="H155" s="11">
        <f>Anchoveta!F130</f>
        <v>1129.6969999999999</v>
      </c>
      <c r="I155" s="11">
        <f>Anchoveta!G130</f>
        <v>-639.88800000000003</v>
      </c>
      <c r="J155" s="11">
        <f>Anchoveta!H130</f>
        <v>489.80899999999986</v>
      </c>
      <c r="K155" s="11">
        <f>Anchoveta!I130</f>
        <v>493.80599999999998</v>
      </c>
      <c r="L155" s="11">
        <f>Anchoveta!K130</f>
        <v>-3.9970000000001278</v>
      </c>
      <c r="M155" s="49">
        <f>Anchoveta!L130</f>
        <v>1.008160323718021</v>
      </c>
      <c r="N155" s="55">
        <f>Anchoveta!M130</f>
        <v>0</v>
      </c>
      <c r="O155" s="34">
        <f>RESUMEN!$B$3</f>
        <v>44020</v>
      </c>
      <c r="P155" s="11">
        <v>2020</v>
      </c>
    </row>
    <row r="156" spans="1:16">
      <c r="A156" s="11" t="s">
        <v>255</v>
      </c>
      <c r="B156" s="11" t="s">
        <v>217</v>
      </c>
      <c r="C156" s="11" t="s">
        <v>279</v>
      </c>
      <c r="D156" s="11" t="s">
        <v>272</v>
      </c>
      <c r="E156" s="11" t="str">
        <f>Anchoveta!D131</f>
        <v>STI PROVEEDORES MARITIMOS DE QUILLAIPE. RSU 10.01.0835</v>
      </c>
      <c r="F156" s="11" t="s">
        <v>259</v>
      </c>
      <c r="G156" s="11" t="s">
        <v>260</v>
      </c>
      <c r="H156" s="11">
        <f>Anchoveta!F131</f>
        <v>199.827</v>
      </c>
      <c r="I156" s="11">
        <f>Anchoveta!G131</f>
        <v>15</v>
      </c>
      <c r="J156" s="11">
        <f>Anchoveta!H131</f>
        <v>214.827</v>
      </c>
      <c r="K156" s="11">
        <f>Anchoveta!I131</f>
        <v>136.36799999999999</v>
      </c>
      <c r="L156" s="11">
        <f>Anchoveta!K131</f>
        <v>78.459000000000003</v>
      </c>
      <c r="M156" s="49">
        <f>Anchoveta!L131</f>
        <v>0.63478054434498454</v>
      </c>
      <c r="N156" s="55">
        <f>Anchoveta!M131</f>
        <v>0</v>
      </c>
      <c r="O156" s="34">
        <f>RESUMEN!$B$3</f>
        <v>44020</v>
      </c>
      <c r="P156" s="11">
        <v>2020</v>
      </c>
    </row>
    <row r="157" spans="1:16">
      <c r="A157" s="11" t="s">
        <v>255</v>
      </c>
      <c r="B157" s="11" t="s">
        <v>217</v>
      </c>
      <c r="C157" s="11" t="s">
        <v>279</v>
      </c>
      <c r="D157" s="11" t="s">
        <v>272</v>
      </c>
      <c r="E157" s="11" t="str">
        <f>Anchoveta!D132</f>
        <v>CUOTA RESIDUAL X</v>
      </c>
      <c r="F157" s="11" t="s">
        <v>259</v>
      </c>
      <c r="G157" s="11" t="s">
        <v>260</v>
      </c>
      <c r="H157" s="11">
        <f>Anchoveta!F132</f>
        <v>145.69</v>
      </c>
      <c r="I157" s="11">
        <f>Anchoveta!G132</f>
        <v>0</v>
      </c>
      <c r="J157" s="11">
        <f>Anchoveta!H132</f>
        <v>145.69</v>
      </c>
      <c r="K157" s="11">
        <f>Anchoveta!I132</f>
        <v>0</v>
      </c>
      <c r="L157" s="11">
        <f>Anchoveta!K132</f>
        <v>145.69</v>
      </c>
      <c r="M157" s="49">
        <f>Anchoveta!L132</f>
        <v>0</v>
      </c>
      <c r="N157" s="55">
        <f>Anchoveta!M132</f>
        <v>0</v>
      </c>
      <c r="O157" s="34">
        <f>RESUMEN!$B$3</f>
        <v>44020</v>
      </c>
      <c r="P157" s="11">
        <v>2020</v>
      </c>
    </row>
    <row r="158" spans="1:16">
      <c r="A158" s="11" t="s">
        <v>255</v>
      </c>
      <c r="B158" s="11" t="s">
        <v>217</v>
      </c>
      <c r="C158" s="11" t="s">
        <v>279</v>
      </c>
      <c r="D158" s="11" t="s">
        <v>272</v>
      </c>
      <c r="E158" s="11" t="str">
        <f>Anchoveta!D133</f>
        <v>STI ESTRELLA SUR DE CALBUCO. RSU 10.01.0571</v>
      </c>
      <c r="F158" s="11" t="s">
        <v>259</v>
      </c>
      <c r="G158" s="11" t="s">
        <v>260</v>
      </c>
      <c r="H158" s="11">
        <f>Anchoveta!F133</f>
        <v>0</v>
      </c>
      <c r="I158" s="11">
        <f>Anchoveta!G133</f>
        <v>0</v>
      </c>
      <c r="J158" s="11">
        <f>Anchoveta!H133</f>
        <v>0</v>
      </c>
      <c r="K158" s="11">
        <f>Anchoveta!I133</f>
        <v>0</v>
      </c>
      <c r="L158" s="11">
        <f>Anchoveta!K133</f>
        <v>0</v>
      </c>
      <c r="M158" s="49">
        <f>Anchoveta!L133</f>
        <v>0</v>
      </c>
      <c r="N158" s="55">
        <f>Anchoveta!M133</f>
        <v>0</v>
      </c>
      <c r="O158" s="34">
        <f>RESUMEN!$B$3</f>
        <v>44020</v>
      </c>
      <c r="P158" s="11">
        <v>2020</v>
      </c>
    </row>
    <row r="159" spans="1:16">
      <c r="A159" s="43" t="s">
        <v>255</v>
      </c>
      <c r="B159" s="43" t="s">
        <v>217</v>
      </c>
      <c r="C159" s="43" t="s">
        <v>279</v>
      </c>
      <c r="D159" s="43" t="s">
        <v>46</v>
      </c>
      <c r="E159" s="43" t="str">
        <f>Anchoveta!D134</f>
        <v xml:space="preserve">Total Región de Los Lagos </v>
      </c>
      <c r="F159" s="43" t="s">
        <v>259</v>
      </c>
      <c r="G159" s="43" t="s">
        <v>260</v>
      </c>
      <c r="H159" s="43">
        <f>Anchoveta!F134</f>
        <v>5717.0659999999998</v>
      </c>
      <c r="I159" s="43">
        <f>Anchoveta!G134</f>
        <v>-2424.8879999999999</v>
      </c>
      <c r="J159" s="43">
        <f>Anchoveta!H134</f>
        <v>3292.1779999999999</v>
      </c>
      <c r="K159" s="43">
        <f>Anchoveta!I134</f>
        <v>1688.1079999999999</v>
      </c>
      <c r="L159" s="43">
        <f>Anchoveta!K134</f>
        <v>1604.07</v>
      </c>
      <c r="M159" s="51">
        <f>Anchoveta!L134</f>
        <v>0.51276328315176156</v>
      </c>
      <c r="N159" s="56">
        <f>Anchoveta!M134</f>
        <v>0</v>
      </c>
      <c r="O159" s="34">
        <f>RESUMEN!$B$3</f>
        <v>44020</v>
      </c>
      <c r="P159" s="11">
        <v>2020</v>
      </c>
    </row>
    <row r="160" spans="1:16">
      <c r="A160" t="s">
        <v>174</v>
      </c>
      <c r="B160" t="s">
        <v>280</v>
      </c>
      <c r="C160" t="s">
        <v>273</v>
      </c>
      <c r="D160" t="s">
        <v>272</v>
      </c>
      <c r="E160" t="str">
        <f>'Sardina comun'!D7</f>
        <v>AG DEL PUERTO DE SAN ANTONIO. RAG 2510</v>
      </c>
      <c r="F160" t="s">
        <v>259</v>
      </c>
      <c r="G160" t="s">
        <v>260</v>
      </c>
      <c r="H160">
        <f>'Sardina comun'!F7</f>
        <v>2717.2139999999999</v>
      </c>
      <c r="I160" s="11">
        <f>'Sardina comun'!G7</f>
        <v>-2578</v>
      </c>
      <c r="J160" s="11">
        <f>'Sardina comun'!H7</f>
        <v>139.21399999999994</v>
      </c>
      <c r="K160" s="11">
        <f>'Sardina comun'!I7</f>
        <v>0</v>
      </c>
      <c r="L160">
        <f>'Sardina comun'!K7</f>
        <v>139.21399999999994</v>
      </c>
      <c r="M160" s="49">
        <f>'Sardina comun'!L7</f>
        <v>0</v>
      </c>
      <c r="N160" s="55">
        <f>'Sardina comun'!M7</f>
        <v>43965</v>
      </c>
      <c r="O160" s="34">
        <f>RESUMEN!$B$3</f>
        <v>44020</v>
      </c>
      <c r="P160" s="11">
        <v>2020</v>
      </c>
    </row>
    <row r="161" spans="1:16">
      <c r="A161" s="11" t="s">
        <v>174</v>
      </c>
      <c r="B161" t="s">
        <v>280</v>
      </c>
      <c r="C161" t="s">
        <v>281</v>
      </c>
      <c r="D161" t="s">
        <v>272</v>
      </c>
      <c r="E161" s="11" t="str">
        <f>'Sardina comun'!D8</f>
        <v>ASOCIACION GREMIAL AGRAPES DE SAN ANTONIO "AG AGRAPESCA" RAG 4399</v>
      </c>
      <c r="F161" t="s">
        <v>259</v>
      </c>
      <c r="G161" t="s">
        <v>260</v>
      </c>
      <c r="H161" s="11">
        <f>'Sardina comun'!F8</f>
        <v>180.905</v>
      </c>
      <c r="I161" s="11">
        <f>'Sardina comun'!G8</f>
        <v>-180.905</v>
      </c>
      <c r="J161" s="11">
        <f>'Sardina comun'!H8</f>
        <v>0</v>
      </c>
      <c r="K161" s="11">
        <f>'Sardina comun'!I8</f>
        <v>0</v>
      </c>
      <c r="L161" s="11">
        <f>'Sardina comun'!K8</f>
        <v>0</v>
      </c>
      <c r="M161" s="49">
        <f>'Sardina comun'!L8</f>
        <v>1</v>
      </c>
      <c r="N161" s="55">
        <f>'Sardina comun'!M8</f>
        <v>43966</v>
      </c>
      <c r="O161" s="34">
        <f>RESUMEN!$B$3</f>
        <v>44020</v>
      </c>
      <c r="P161" s="11">
        <v>2020</v>
      </c>
    </row>
    <row r="162" spans="1:16">
      <c r="A162" s="11" t="s">
        <v>174</v>
      </c>
      <c r="B162" t="s">
        <v>280</v>
      </c>
      <c r="C162" t="s">
        <v>281</v>
      </c>
      <c r="D162" t="s">
        <v>272</v>
      </c>
      <c r="E162" s="11" t="str">
        <f>'Sardina comun'!D9</f>
        <v>STI MUELLE SUD AMERICANA. RSU 05.01.0462</v>
      </c>
      <c r="F162" t="s">
        <v>259</v>
      </c>
      <c r="G162" t="s">
        <v>260</v>
      </c>
      <c r="H162" s="11">
        <f>'Sardina comun'!F9</f>
        <v>2.7229999999999999</v>
      </c>
      <c r="I162" s="11">
        <f>'Sardina comun'!G9</f>
        <v>0</v>
      </c>
      <c r="J162" s="11">
        <f>'Sardina comun'!H9</f>
        <v>2.7229999999999999</v>
      </c>
      <c r="K162" s="11">
        <f>'Sardina comun'!I9</f>
        <v>0.8</v>
      </c>
      <c r="L162" s="11">
        <f>'Sardina comun'!K9</f>
        <v>1.9229999999999998</v>
      </c>
      <c r="M162" s="49">
        <f>'Sardina comun'!L9</f>
        <v>0.2937936099889828</v>
      </c>
      <c r="N162" s="55">
        <f>'Sardina comun'!M9</f>
        <v>0</v>
      </c>
      <c r="O162" s="34">
        <f>RESUMEN!$B$3</f>
        <v>44020</v>
      </c>
      <c r="P162" s="11">
        <v>2020</v>
      </c>
    </row>
    <row r="163" spans="1:16" s="11" customFormat="1">
      <c r="A163" s="11" t="s">
        <v>174</v>
      </c>
      <c r="B163" s="11" t="s">
        <v>280</v>
      </c>
      <c r="C163" s="11" t="s">
        <v>281</v>
      </c>
      <c r="D163" s="11" t="s">
        <v>272</v>
      </c>
      <c r="E163" s="11" t="str">
        <f>'Sardina comun'!D10</f>
        <v>Sindicato  de Trabajadores  Independientes de Pescadores Montemar, de la Comuna de San Antonio, provincia de San Antonio, V region. Registro Único Sindical  N° 05040117</v>
      </c>
      <c r="F163" s="11" t="s">
        <v>259</v>
      </c>
      <c r="G163" s="11" t="s">
        <v>260</v>
      </c>
      <c r="H163" s="11">
        <f>'Sardina comun'!F10</f>
        <v>31.510999999999999</v>
      </c>
      <c r="I163" s="11">
        <f>'Sardina comun'!G10</f>
        <v>0</v>
      </c>
      <c r="J163" s="11">
        <f>'Sardina comun'!H10</f>
        <v>31.510999999999999</v>
      </c>
      <c r="K163" s="11">
        <f>'Sardina comun'!I10</f>
        <v>0</v>
      </c>
      <c r="L163" s="11">
        <f>'Sardina comun'!K10</f>
        <v>31.510999999999999</v>
      </c>
      <c r="M163" s="49">
        <f>'Sardina comun'!L10</f>
        <v>0</v>
      </c>
      <c r="N163" s="55">
        <f>'Sardina comun'!M10</f>
        <v>0</v>
      </c>
      <c r="O163" s="34">
        <f>RESUMEN!$B$3</f>
        <v>44020</v>
      </c>
      <c r="P163" s="11">
        <v>2020</v>
      </c>
    </row>
    <row r="164" spans="1:16" s="11" customFormat="1">
      <c r="A164" s="11" t="s">
        <v>174</v>
      </c>
      <c r="B164" s="11" t="s">
        <v>280</v>
      </c>
      <c r="C164" s="11" t="s">
        <v>281</v>
      </c>
      <c r="D164" s="11" t="s">
        <v>272</v>
      </c>
      <c r="E164" s="11" t="str">
        <f>'Sardina comun'!D11</f>
        <v>Sindicato de Trabajadores Independientes Pescadores Artesanales de Caleta Higuerilla, Concon. Registro Unico Sindical N° 5060048</v>
      </c>
      <c r="F164" s="11" t="s">
        <v>259</v>
      </c>
      <c r="G164" s="11" t="s">
        <v>260</v>
      </c>
      <c r="H164" s="11">
        <f>'Sardina comun'!F11</f>
        <v>1.6990000000000001</v>
      </c>
      <c r="I164" s="11">
        <f>'Sardina comun'!G11</f>
        <v>0</v>
      </c>
      <c r="J164" s="11">
        <f>'Sardina comun'!H11</f>
        <v>1.6990000000000001</v>
      </c>
      <c r="K164" s="11">
        <f>'Sardina comun'!I11</f>
        <v>0</v>
      </c>
      <c r="L164" s="11">
        <f>'Sardina comun'!K11</f>
        <v>1.6990000000000001</v>
      </c>
      <c r="M164" s="49">
        <f>'Sardina comun'!L11</f>
        <v>0</v>
      </c>
      <c r="N164" s="55">
        <f>'Sardina comun'!M11</f>
        <v>0</v>
      </c>
      <c r="O164" s="34">
        <f>RESUMEN!$B$3</f>
        <v>44020</v>
      </c>
      <c r="P164" s="11">
        <v>2020</v>
      </c>
    </row>
    <row r="165" spans="1:16">
      <c r="A165" s="11" t="s">
        <v>174</v>
      </c>
      <c r="B165" t="s">
        <v>280</v>
      </c>
      <c r="C165" t="s">
        <v>281</v>
      </c>
      <c r="D165" t="s">
        <v>272</v>
      </c>
      <c r="E165" s="11" t="str">
        <f>'Sardina comun'!D12</f>
        <v>Cuota Residual V</v>
      </c>
      <c r="F165" t="s">
        <v>259</v>
      </c>
      <c r="G165" t="s">
        <v>260</v>
      </c>
      <c r="H165" s="11">
        <f>'Sardina comun'!F12</f>
        <v>544.947</v>
      </c>
      <c r="I165" s="11">
        <f>'Sardina comun'!G12</f>
        <v>219.45099999999999</v>
      </c>
      <c r="J165" s="11">
        <f>'Sardina comun'!H12</f>
        <v>764.39800000000002</v>
      </c>
      <c r="K165" s="11">
        <f>'Sardina comun'!I12</f>
        <v>403.67700000000002</v>
      </c>
      <c r="L165" s="11">
        <f>'Sardina comun'!K12</f>
        <v>360.721</v>
      </c>
      <c r="M165" s="49">
        <f>'Sardina comun'!L12</f>
        <v>0.52809792804272127</v>
      </c>
      <c r="N165" s="90">
        <f>'Sardina comun'!M12</f>
        <v>43937</v>
      </c>
      <c r="O165" s="34">
        <f>RESUMEN!$B$3</f>
        <v>44020</v>
      </c>
      <c r="P165" s="11">
        <v>2020</v>
      </c>
    </row>
    <row r="166" spans="1:16">
      <c r="A166" s="43" t="s">
        <v>174</v>
      </c>
      <c r="B166" s="43" t="s">
        <v>280</v>
      </c>
      <c r="C166" s="43" t="s">
        <v>281</v>
      </c>
      <c r="D166" s="43" t="s">
        <v>46</v>
      </c>
      <c r="E166" s="43" t="str">
        <f>'Sardina comun'!D13</f>
        <v xml:space="preserve">Total Región de Valparaíso </v>
      </c>
      <c r="F166" s="43" t="s">
        <v>259</v>
      </c>
      <c r="G166" s="43" t="s">
        <v>260</v>
      </c>
      <c r="H166" s="43">
        <f>'Sardina comun'!F13</f>
        <v>3478.9990000000003</v>
      </c>
      <c r="I166" s="43">
        <f>'Sardina comun'!G13</f>
        <v>-2539.4540000000002</v>
      </c>
      <c r="J166" s="43">
        <f>'Sardina comun'!H13</f>
        <v>939.54500000000007</v>
      </c>
      <c r="K166" s="43">
        <f>'Sardina comun'!I13</f>
        <v>404.47700000000003</v>
      </c>
      <c r="L166" s="43">
        <f>'Sardina comun'!K13</f>
        <v>535.06799999999998</v>
      </c>
      <c r="M166" s="51">
        <f>'Sardina comun'!L13</f>
        <v>0.43050306265266697</v>
      </c>
      <c r="N166" s="56">
        <f>'Sardina comun'!M13</f>
        <v>0</v>
      </c>
      <c r="O166" s="34">
        <f>RESUMEN!$B$3</f>
        <v>44020</v>
      </c>
      <c r="P166" s="11">
        <v>2020</v>
      </c>
    </row>
    <row r="167" spans="1:16">
      <c r="A167" t="s">
        <v>174</v>
      </c>
      <c r="B167" t="s">
        <v>280</v>
      </c>
      <c r="C167" t="s">
        <v>274</v>
      </c>
      <c r="D167" t="s">
        <v>46</v>
      </c>
      <c r="E167" t="str">
        <f>'Sardina comun'!D15</f>
        <v>Región de O´Higgins</v>
      </c>
      <c r="F167" t="s">
        <v>259</v>
      </c>
      <c r="G167" t="s">
        <v>260</v>
      </c>
      <c r="H167">
        <f>'Sardina comun'!F15</f>
        <v>82</v>
      </c>
      <c r="I167" s="11">
        <f>'Sardina comun'!G15</f>
        <v>0</v>
      </c>
      <c r="J167" s="11">
        <f>'Sardina comun'!H15</f>
        <v>82</v>
      </c>
      <c r="K167" s="11">
        <f>'Sardina comun'!I15</f>
        <v>0</v>
      </c>
      <c r="L167">
        <f>'Sardina comun'!K15</f>
        <v>82</v>
      </c>
      <c r="M167" s="49">
        <f>'Sardina comun'!L15</f>
        <v>0</v>
      </c>
      <c r="N167" s="55">
        <f>'Sardina comun'!M15</f>
        <v>0</v>
      </c>
      <c r="O167" s="34">
        <f>RESUMEN!$B$3</f>
        <v>44020</v>
      </c>
      <c r="P167" s="11">
        <v>2020</v>
      </c>
    </row>
    <row r="168" spans="1:16">
      <c r="A168" s="43" t="s">
        <v>174</v>
      </c>
      <c r="B168" s="43" t="s">
        <v>280</v>
      </c>
      <c r="C168" s="43" t="s">
        <v>274</v>
      </c>
      <c r="D168" s="43" t="s">
        <v>46</v>
      </c>
      <c r="E168" s="43" t="str">
        <f>'Sardina comun'!D16</f>
        <v>Total Región de O´Higgins</v>
      </c>
      <c r="F168" s="43" t="s">
        <v>259</v>
      </c>
      <c r="G168" s="43" t="s">
        <v>260</v>
      </c>
      <c r="H168" s="43">
        <f>'Sardina comun'!F16</f>
        <v>82</v>
      </c>
      <c r="I168" s="43">
        <f>'Sardina comun'!G16</f>
        <v>0</v>
      </c>
      <c r="J168" s="43">
        <f>'Sardina comun'!H16</f>
        <v>82</v>
      </c>
      <c r="K168" s="43">
        <f>'Sardina comun'!I16</f>
        <v>0</v>
      </c>
      <c r="L168" s="43">
        <f>'Sardina comun'!K16</f>
        <v>82</v>
      </c>
      <c r="M168" s="51">
        <f>'Sardina comun'!L16</f>
        <v>0</v>
      </c>
      <c r="N168" s="56">
        <f>'Sardina comun'!M16</f>
        <v>0</v>
      </c>
      <c r="O168" s="34">
        <f>RESUMEN!$B$3</f>
        <v>44020</v>
      </c>
      <c r="P168" s="11">
        <v>2020</v>
      </c>
    </row>
    <row r="169" spans="1:16">
      <c r="A169" t="s">
        <v>174</v>
      </c>
      <c r="B169" t="s">
        <v>280</v>
      </c>
      <c r="C169" t="s">
        <v>275</v>
      </c>
      <c r="D169" t="s">
        <v>272</v>
      </c>
      <c r="E169" t="str">
        <f>'Sardina comun'!D18</f>
        <v>Sindicato de Pescadores "Pelágicos del Maule" Constitución, Registro Sindical Único 07.05.0150</v>
      </c>
      <c r="F169" t="s">
        <v>259</v>
      </c>
      <c r="G169" t="s">
        <v>260</v>
      </c>
      <c r="H169">
        <f>'Sardina comun'!F18</f>
        <v>735.75400000000002</v>
      </c>
      <c r="I169" s="11">
        <f>'Sardina comun'!G18</f>
        <v>0</v>
      </c>
      <c r="J169" s="11">
        <f>'Sardina comun'!H18</f>
        <v>735.75400000000002</v>
      </c>
      <c r="K169" s="11">
        <f>'Sardina comun'!I18</f>
        <v>105.934</v>
      </c>
      <c r="L169">
        <f>'Sardina comun'!K18</f>
        <v>629.82000000000005</v>
      </c>
      <c r="M169" s="49">
        <f>'Sardina comun'!L18</f>
        <v>0.14398018903057272</v>
      </c>
      <c r="N169" s="55">
        <f>'Sardina comun'!M18</f>
        <v>0</v>
      </c>
      <c r="O169" s="34">
        <f>RESUMEN!$B$3</f>
        <v>44020</v>
      </c>
      <c r="P169" s="11">
        <v>2020</v>
      </c>
    </row>
    <row r="170" spans="1:16">
      <c r="A170" s="52" t="s">
        <v>174</v>
      </c>
      <c r="B170" s="52" t="s">
        <v>280</v>
      </c>
      <c r="C170" s="52" t="s">
        <v>275</v>
      </c>
      <c r="D170" s="52" t="s">
        <v>272</v>
      </c>
      <c r="E170" s="11" t="str">
        <f>'Sardina comun'!D19</f>
        <v>STI Pescadores Artesanales de Constitución SIPARCON, RSU 07.05.0193</v>
      </c>
      <c r="F170" s="52" t="s">
        <v>259</v>
      </c>
      <c r="G170" s="52" t="s">
        <v>260</v>
      </c>
      <c r="H170" s="11">
        <f>'Sardina comun'!F19</f>
        <v>398.92200000000003</v>
      </c>
      <c r="I170" s="11">
        <f>'Sardina comun'!G19</f>
        <v>-398.92</v>
      </c>
      <c r="J170" s="11">
        <f>'Sardina comun'!H19</f>
        <v>2.0000000000095497E-3</v>
      </c>
      <c r="K170" s="11">
        <f>'Sardina comun'!I19</f>
        <v>0</v>
      </c>
      <c r="L170" s="11">
        <f>'Sardina comun'!K19</f>
        <v>2.0000000000095497E-3</v>
      </c>
      <c r="M170" s="49">
        <f>'Sardina comun'!L19</f>
        <v>0</v>
      </c>
      <c r="N170" s="55">
        <f>'Sardina comun'!M19</f>
        <v>0</v>
      </c>
      <c r="O170" s="34">
        <f>RESUMEN!$B$3</f>
        <v>44020</v>
      </c>
      <c r="P170" s="11">
        <v>2020</v>
      </c>
    </row>
    <row r="171" spans="1:16">
      <c r="A171" t="s">
        <v>174</v>
      </c>
      <c r="B171" t="s">
        <v>280</v>
      </c>
      <c r="C171" t="s">
        <v>275</v>
      </c>
      <c r="D171" t="s">
        <v>272</v>
      </c>
      <c r="E171" s="11" t="str">
        <f>'Sardina comun'!D20</f>
        <v>Cuota Residual VII</v>
      </c>
      <c r="F171" t="s">
        <v>259</v>
      </c>
      <c r="G171" t="s">
        <v>260</v>
      </c>
      <c r="H171" s="11">
        <f>'Sardina comun'!F20</f>
        <v>123.325</v>
      </c>
      <c r="I171" s="11">
        <f>'Sardina comun'!G20</f>
        <v>0</v>
      </c>
      <c r="J171" s="11">
        <f>'Sardina comun'!H20</f>
        <v>123.325</v>
      </c>
      <c r="K171" s="11">
        <f>'Sardina comun'!I20</f>
        <v>0</v>
      </c>
      <c r="L171" s="11">
        <f>'Sardina comun'!K20</f>
        <v>123.325</v>
      </c>
      <c r="M171" s="49">
        <f>'Sardina comun'!L20</f>
        <v>0</v>
      </c>
      <c r="N171" s="55">
        <f>'Sardina comun'!M20</f>
        <v>0</v>
      </c>
      <c r="O171" s="34">
        <f>RESUMEN!$B$3</f>
        <v>44020</v>
      </c>
      <c r="P171" s="11">
        <v>2020</v>
      </c>
    </row>
    <row r="172" spans="1:16">
      <c r="A172" s="43" t="s">
        <v>174</v>
      </c>
      <c r="B172" s="43" t="s">
        <v>280</v>
      </c>
      <c r="C172" s="43" t="s">
        <v>275</v>
      </c>
      <c r="D172" s="43" t="s">
        <v>46</v>
      </c>
      <c r="E172" s="43" t="str">
        <f>'Sardina comun'!D21</f>
        <v>Total Región del Maule</v>
      </c>
      <c r="F172" s="43" t="s">
        <v>259</v>
      </c>
      <c r="G172" s="43" t="s">
        <v>260</v>
      </c>
      <c r="H172" s="11">
        <f>'Sardina comun'!F21</f>
        <v>1258.001</v>
      </c>
      <c r="I172" s="11">
        <f>'Sardina comun'!G21</f>
        <v>-398.92</v>
      </c>
      <c r="J172" s="11">
        <f>'Sardina comun'!H21</f>
        <v>859.0809999999999</v>
      </c>
      <c r="K172" s="11">
        <f>'Sardina comun'!I21</f>
        <v>105.934</v>
      </c>
      <c r="L172" s="11">
        <f>'Sardina comun'!K21</f>
        <v>753.14699999999993</v>
      </c>
      <c r="M172" s="49">
        <f>'Sardina comun'!L21</f>
        <v>0.12331084030493052</v>
      </c>
      <c r="N172" s="55">
        <f>'Sardina comun'!M21</f>
        <v>0</v>
      </c>
      <c r="O172" s="34">
        <f>RESUMEN!$B$3</f>
        <v>44020</v>
      </c>
      <c r="P172" s="11">
        <v>2020</v>
      </c>
    </row>
    <row r="173" spans="1:16">
      <c r="A173" t="s">
        <v>174</v>
      </c>
      <c r="B173" t="s">
        <v>280</v>
      </c>
      <c r="C173" t="s">
        <v>277</v>
      </c>
      <c r="D173" t="s">
        <v>272</v>
      </c>
      <c r="E173" t="str">
        <f>'Sardina comun'!D23</f>
        <v>Agrupación de Armadores Golfo de Arauco, Personalidad Jurídica N° 621</v>
      </c>
      <c r="F173" t="s">
        <v>259</v>
      </c>
      <c r="G173" t="s">
        <v>260</v>
      </c>
      <c r="H173">
        <f>'Sardina comun'!F23</f>
        <v>480.16500000000002</v>
      </c>
      <c r="I173" s="11">
        <f>'Sardina comun'!G23</f>
        <v>-377.5</v>
      </c>
      <c r="J173" s="11">
        <f>'Sardina comun'!H23</f>
        <v>102.66500000000002</v>
      </c>
      <c r="K173" s="11">
        <f>'Sardina comun'!I23</f>
        <v>106.078</v>
      </c>
      <c r="L173">
        <f>'Sardina comun'!K23</f>
        <v>-3.4129999999999825</v>
      </c>
      <c r="M173" s="49">
        <f>'Sardina comun'!L23</f>
        <v>1.0332440461695804</v>
      </c>
      <c r="N173" s="55">
        <f>'Sardina comun'!M23</f>
        <v>0</v>
      </c>
      <c r="O173" s="34">
        <f>RESUMEN!$B$3</f>
        <v>44020</v>
      </c>
      <c r="P173" s="11">
        <v>2020</v>
      </c>
    </row>
    <row r="174" spans="1:16">
      <c r="A174" t="s">
        <v>174</v>
      </c>
      <c r="B174" t="s">
        <v>280</v>
      </c>
      <c r="C174" t="s">
        <v>277</v>
      </c>
      <c r="D174" t="s">
        <v>272</v>
      </c>
      <c r="E174" s="11" t="str">
        <f>'Sardina comun'!D24</f>
        <v xml:space="preserve"> Agrupación de Armadores y Pescadores Artesanales Pelágicos Puerto Sur Isla Santa María. Personalidad Jurídica N° 1728</v>
      </c>
      <c r="F174" t="s">
        <v>259</v>
      </c>
      <c r="G174" t="s">
        <v>260</v>
      </c>
      <c r="H174" s="11">
        <f>'Sardina comun'!F24</f>
        <v>254.072</v>
      </c>
      <c r="I174" s="11">
        <f>'Sardina comun'!G24</f>
        <v>-40</v>
      </c>
      <c r="J174" s="11">
        <f>'Sardina comun'!H24</f>
        <v>214.072</v>
      </c>
      <c r="K174" s="11">
        <f>'Sardina comun'!I24</f>
        <v>191.23099999999999</v>
      </c>
      <c r="L174" s="11">
        <f>'Sardina comun'!K24</f>
        <v>22.841000000000008</v>
      </c>
      <c r="M174" s="49">
        <f>'Sardina comun'!L24</f>
        <v>0.89330225344743819</v>
      </c>
      <c r="N174" s="55">
        <f>'Sardina comun'!M24</f>
        <v>0</v>
      </c>
      <c r="O174" s="34">
        <f>RESUMEN!$B$3</f>
        <v>44020</v>
      </c>
      <c r="P174" s="11">
        <v>2020</v>
      </c>
    </row>
    <row r="175" spans="1:16">
      <c r="A175" t="s">
        <v>174</v>
      </c>
      <c r="B175" t="s">
        <v>280</v>
      </c>
      <c r="C175" t="s">
        <v>277</v>
      </c>
      <c r="D175" t="s">
        <v>272</v>
      </c>
      <c r="E175" s="11" t="str">
        <f>'Sardina comun'!D25</f>
        <v>Agrupación de Armadores y Pescadores Pelágicos de Caleta Tubul, Registro de Organización Comunitaria Funcional 478-2007</v>
      </c>
      <c r="F175" t="s">
        <v>259</v>
      </c>
      <c r="G175" t="s">
        <v>260</v>
      </c>
      <c r="H175" s="11">
        <f>'Sardina comun'!F25</f>
        <v>1542.8989999999999</v>
      </c>
      <c r="I175" s="11">
        <f>'Sardina comun'!G25</f>
        <v>-1263.8</v>
      </c>
      <c r="J175" s="11">
        <f>'Sardina comun'!H25</f>
        <v>279.09899999999993</v>
      </c>
      <c r="K175" s="11">
        <f>'Sardina comun'!I25</f>
        <v>186.33500000000001</v>
      </c>
      <c r="L175" s="11">
        <f>'Sardina comun'!K25</f>
        <v>92.763999999999925</v>
      </c>
      <c r="M175" s="49">
        <f>'Sardina comun'!L25</f>
        <v>0.6676304823736382</v>
      </c>
      <c r="N175" s="55">
        <f>'Sardina comun'!M25</f>
        <v>0</v>
      </c>
      <c r="O175" s="34">
        <f>RESUMEN!$B$3</f>
        <v>44020</v>
      </c>
      <c r="P175" s="11">
        <v>2020</v>
      </c>
    </row>
    <row r="176" spans="1:16">
      <c r="A176" s="11" t="s">
        <v>174</v>
      </c>
      <c r="B176" s="11" t="s">
        <v>280</v>
      </c>
      <c r="C176" s="11" t="s">
        <v>277</v>
      </c>
      <c r="D176" s="11" t="s">
        <v>272</v>
      </c>
      <c r="E176" s="11" t="str">
        <f>'Sardina comun'!D26</f>
        <v>Agrupación Gremial de Productores Pelágicos, Armadores Artesanales de Talcahuano, Región del Bío Bío "AGREPAR BIO BIO A.G". Registro de Asociaciones Gremiales N° 468-8</v>
      </c>
      <c r="F176" t="s">
        <v>259</v>
      </c>
      <c r="G176" t="s">
        <v>260</v>
      </c>
      <c r="H176" s="11">
        <f>'Sardina comun'!F26</f>
        <v>1808.2550000000001</v>
      </c>
      <c r="I176" s="11">
        <f>'Sardina comun'!G26</f>
        <v>0</v>
      </c>
      <c r="J176" s="11">
        <f>'Sardina comun'!H26</f>
        <v>1808.2550000000001</v>
      </c>
      <c r="K176" s="11">
        <f>'Sardina comun'!I26</f>
        <v>1407.306</v>
      </c>
      <c r="L176" s="11">
        <f>'Sardina comun'!K26</f>
        <v>400.94900000000007</v>
      </c>
      <c r="M176" s="49">
        <f>'Sardina comun'!L26</f>
        <v>0.77826744568658734</v>
      </c>
      <c r="N176" s="55">
        <f>'Sardina comun'!M26</f>
        <v>0</v>
      </c>
      <c r="O176" s="34">
        <f>RESUMEN!$B$3</f>
        <v>44020</v>
      </c>
      <c r="P176" s="11">
        <v>2020</v>
      </c>
    </row>
    <row r="177" spans="1:16">
      <c r="A177" s="11" t="s">
        <v>174</v>
      </c>
      <c r="B177" s="11" t="s">
        <v>280</v>
      </c>
      <c r="C177" s="11" t="s">
        <v>277</v>
      </c>
      <c r="D177" s="11" t="s">
        <v>272</v>
      </c>
      <c r="E177" s="11" t="str">
        <f>'Sardina comun'!D27</f>
        <v>Asociación de Armadores, Pescadores Artesanales y Actividades Afines de la Octava Región, Asociación Gremial ARPESCA A.G., Registro de Asociaciones Gremiales 429-8</v>
      </c>
      <c r="F177" t="s">
        <v>259</v>
      </c>
      <c r="G177" t="s">
        <v>260</v>
      </c>
      <c r="H177" s="11">
        <f>'Sardina comun'!F27</f>
        <v>3041.9479999999999</v>
      </c>
      <c r="I177" s="11">
        <f>'Sardina comun'!G27</f>
        <v>-2165</v>
      </c>
      <c r="J177" s="11">
        <f>'Sardina comun'!H27</f>
        <v>876.94799999999987</v>
      </c>
      <c r="K177" s="11">
        <f>'Sardina comun'!I27</f>
        <v>832.39599999999996</v>
      </c>
      <c r="L177" s="11">
        <f>'Sardina comun'!K27</f>
        <v>44.551999999999907</v>
      </c>
      <c r="M177" s="49">
        <f>'Sardina comun'!L27</f>
        <v>0.9491965316073474</v>
      </c>
      <c r="N177" s="55">
        <f>'Sardina comun'!M27</f>
        <v>0</v>
      </c>
      <c r="O177" s="34">
        <f>RESUMEN!$B$3</f>
        <v>44020</v>
      </c>
      <c r="P177" s="11">
        <v>2020</v>
      </c>
    </row>
    <row r="178" spans="1:16">
      <c r="A178" s="11" t="s">
        <v>174</v>
      </c>
      <c r="B178" s="11" t="s">
        <v>280</v>
      </c>
      <c r="C178" s="11" t="s">
        <v>277</v>
      </c>
      <c r="D178" s="11" t="s">
        <v>272</v>
      </c>
      <c r="E178" s="11" t="str">
        <f>'Sardina comun'!D28</f>
        <v>Asociación Gremial Armadores Artesanales Pelágico Coronel-Lota del Bío Bío, ARPES BIO BIO A.G., Registro de Asociaciones Gremiales 445-8</v>
      </c>
      <c r="F178" s="11" t="s">
        <v>259</v>
      </c>
      <c r="G178" s="11" t="s">
        <v>260</v>
      </c>
      <c r="H178" s="11">
        <f>'Sardina comun'!F28</f>
        <v>5258.1080000000002</v>
      </c>
      <c r="I178" s="11">
        <f>'Sardina comun'!G28</f>
        <v>0</v>
      </c>
      <c r="J178" s="11">
        <f>'Sardina comun'!H28</f>
        <v>5258.1080000000002</v>
      </c>
      <c r="K178" s="11">
        <f>'Sardina comun'!I28</f>
        <v>2338.4549999999999</v>
      </c>
      <c r="L178" s="11">
        <f>'Sardina comun'!K28</f>
        <v>2919.6530000000002</v>
      </c>
      <c r="M178" s="49">
        <f>'Sardina comun'!L28</f>
        <v>0.44473316257482726</v>
      </c>
      <c r="N178" s="55">
        <f>'Sardina comun'!M28</f>
        <v>0</v>
      </c>
      <c r="O178" s="34">
        <f>RESUMEN!$B$3</f>
        <v>44020</v>
      </c>
      <c r="P178" s="11">
        <v>2020</v>
      </c>
    </row>
    <row r="179" spans="1:16">
      <c r="A179" s="11" t="s">
        <v>174</v>
      </c>
      <c r="B179" s="11" t="s">
        <v>280</v>
      </c>
      <c r="C179" s="11" t="s">
        <v>277</v>
      </c>
      <c r="D179" s="11" t="s">
        <v>272</v>
      </c>
      <c r="E179" s="11" t="str">
        <f>'Sardina comun'!D29</f>
        <v>Asociación Gremial de Armadores Artesanales "ARMAR A.G.". Registro de Asociaciones Gremiales 384-8</v>
      </c>
      <c r="F179" s="11" t="s">
        <v>259</v>
      </c>
      <c r="G179" s="11" t="s">
        <v>260</v>
      </c>
      <c r="H179" s="11">
        <f>'Sardina comun'!F29</f>
        <v>7956.2920000000004</v>
      </c>
      <c r="I179" s="11">
        <f>'Sardina comun'!G29</f>
        <v>0</v>
      </c>
      <c r="J179" s="11">
        <f>'Sardina comun'!H29</f>
        <v>7956.2920000000004</v>
      </c>
      <c r="K179" s="11">
        <f>'Sardina comun'!I29</f>
        <v>4268.1970000000001</v>
      </c>
      <c r="L179" s="11">
        <f>'Sardina comun'!K29</f>
        <v>3688.0950000000003</v>
      </c>
      <c r="M179" s="49">
        <f>'Sardina comun'!L29</f>
        <v>0.53645554989686151</v>
      </c>
      <c r="N179" s="55">
        <f>'Sardina comun'!M29</f>
        <v>0</v>
      </c>
      <c r="O179" s="34">
        <f>RESUMEN!$B$3</f>
        <v>44020</v>
      </c>
      <c r="P179" s="11">
        <v>2020</v>
      </c>
    </row>
    <row r="180" spans="1:16">
      <c r="A180" s="11" t="s">
        <v>174</v>
      </c>
      <c r="B180" s="11" t="s">
        <v>280</v>
      </c>
      <c r="C180" s="11" t="s">
        <v>277</v>
      </c>
      <c r="D180" s="11" t="s">
        <v>272</v>
      </c>
      <c r="E180" s="11" t="str">
        <f>'Sardina comun'!D30</f>
        <v xml:space="preserve">Asociación Gremial de Armadores Artesanales VALLEMAR LOTA, Registro de Asociaciones Gremiales 548-8 </v>
      </c>
      <c r="F180" s="11" t="s">
        <v>259</v>
      </c>
      <c r="G180" s="11" t="s">
        <v>260</v>
      </c>
      <c r="H180" s="11">
        <f>'Sardina comun'!F30</f>
        <v>3027.9319999999998</v>
      </c>
      <c r="I180" s="11">
        <f>'Sardina comun'!G30</f>
        <v>0</v>
      </c>
      <c r="J180" s="11">
        <f>'Sardina comun'!H30</f>
        <v>3027.9319999999998</v>
      </c>
      <c r="K180" s="11">
        <f>'Sardina comun'!I30</f>
        <v>1348.03</v>
      </c>
      <c r="L180" s="11">
        <f>'Sardina comun'!K30</f>
        <v>1679.9019999999998</v>
      </c>
      <c r="M180" s="49">
        <f>'Sardina comun'!L30</f>
        <v>0.44519824091161891</v>
      </c>
      <c r="N180" s="55">
        <f>'Sardina comun'!M30</f>
        <v>0</v>
      </c>
      <c r="O180" s="34">
        <f>RESUMEN!$B$3</f>
        <v>44020</v>
      </c>
      <c r="P180" s="11">
        <v>2020</v>
      </c>
    </row>
    <row r="181" spans="1:16">
      <c r="A181" s="11" t="s">
        <v>174</v>
      </c>
      <c r="B181" s="11" t="s">
        <v>280</v>
      </c>
      <c r="C181" s="11" t="s">
        <v>277</v>
      </c>
      <c r="D181" s="11" t="s">
        <v>272</v>
      </c>
      <c r="E181" s="11" t="str">
        <f>'Sardina comun'!D31</f>
        <v>Asociación Gremial de Armadores Artesanales y Productores Pelágicos de la Caleta el Morro de Talcahuano - AGEMAPAR, Registro de Asociaciones Gremiales 376-8</v>
      </c>
      <c r="F181" s="11" t="s">
        <v>259</v>
      </c>
      <c r="G181" s="11" t="s">
        <v>260</v>
      </c>
      <c r="H181" s="11">
        <f>'Sardina comun'!F31</f>
        <v>3641.15</v>
      </c>
      <c r="I181" s="11">
        <f>'Sardina comun'!G31</f>
        <v>0</v>
      </c>
      <c r="J181" s="11">
        <f>'Sardina comun'!H31</f>
        <v>3641.15</v>
      </c>
      <c r="K181" s="11">
        <f>'Sardina comun'!I31</f>
        <v>1416.617</v>
      </c>
      <c r="L181" s="11">
        <f>'Sardina comun'!K31</f>
        <v>2224.5330000000004</v>
      </c>
      <c r="M181" s="49">
        <f>'Sardina comun'!L31</f>
        <v>0.38905757796300616</v>
      </c>
      <c r="N181" s="55">
        <f>'Sardina comun'!M31</f>
        <v>0</v>
      </c>
      <c r="O181" s="34">
        <f>RESUMEN!$B$3</f>
        <v>44020</v>
      </c>
      <c r="P181" s="11">
        <v>2020</v>
      </c>
    </row>
    <row r="182" spans="1:16">
      <c r="A182" s="11" t="s">
        <v>174</v>
      </c>
      <c r="B182" s="11" t="s">
        <v>280</v>
      </c>
      <c r="C182" s="11" t="s">
        <v>277</v>
      </c>
      <c r="D182" s="11" t="s">
        <v>272</v>
      </c>
      <c r="E182" s="11" t="str">
        <f>'Sardina comun'!D32</f>
        <v>Asociación Gremial de Armadores Embarcaciones Menores "AG MENOR COLIUMO". Registro de Asociaciones Gremiales 507-8</v>
      </c>
      <c r="F182" s="11" t="s">
        <v>259</v>
      </c>
      <c r="G182" s="11" t="s">
        <v>260</v>
      </c>
      <c r="H182" s="11">
        <f>'Sardina comun'!F32</f>
        <v>334.6</v>
      </c>
      <c r="I182" s="11">
        <f>'Sardina comun'!G32</f>
        <v>-33</v>
      </c>
      <c r="J182" s="11">
        <f>'Sardina comun'!H32</f>
        <v>301.60000000000002</v>
      </c>
      <c r="K182" s="11">
        <f>'Sardina comun'!I32</f>
        <v>372.34300000000002</v>
      </c>
      <c r="L182" s="11">
        <f>'Sardina comun'!K32</f>
        <v>-70.742999999999995</v>
      </c>
      <c r="M182" s="49">
        <f>'Sardina comun'!L32</f>
        <v>1.2345590185676392</v>
      </c>
      <c r="N182" s="55">
        <f>'Sardina comun'!M32</f>
        <v>43986</v>
      </c>
      <c r="O182" s="34">
        <f>RESUMEN!$B$3</f>
        <v>44020</v>
      </c>
      <c r="P182" s="11">
        <v>2020</v>
      </c>
    </row>
    <row r="183" spans="1:16">
      <c r="A183" s="11" t="s">
        <v>174</v>
      </c>
      <c r="B183" s="11" t="s">
        <v>280</v>
      </c>
      <c r="C183" s="11" t="s">
        <v>277</v>
      </c>
      <c r="D183" s="11" t="s">
        <v>272</v>
      </c>
      <c r="E183" s="11" t="str">
        <f>'Sardina comun'!D33</f>
        <v>Asociación Gremial de Armadores y Pescadores Artesanales  Miramar BioBio " MIRAMAR BIOBIO  A.G." Registro de Organizaciones Gremiales 633-8</v>
      </c>
      <c r="F183" s="11" t="s">
        <v>259</v>
      </c>
      <c r="G183" s="11" t="s">
        <v>260</v>
      </c>
      <c r="H183" s="11">
        <f>'Sardina comun'!F33</f>
        <v>2034.568</v>
      </c>
      <c r="I183" s="11">
        <f>'Sardina comun'!G33</f>
        <v>-100</v>
      </c>
      <c r="J183" s="11">
        <f>'Sardina comun'!H33</f>
        <v>1934.568</v>
      </c>
      <c r="K183" s="11">
        <f>'Sardina comun'!I33</f>
        <v>1713.259</v>
      </c>
      <c r="L183" s="11">
        <f>'Sardina comun'!K33</f>
        <v>221.30899999999997</v>
      </c>
      <c r="M183" s="49">
        <f>'Sardina comun'!L33</f>
        <v>0.88560288395135245</v>
      </c>
      <c r="N183" s="55">
        <f>'Sardina comun'!M33</f>
        <v>0</v>
      </c>
      <c r="O183" s="34">
        <f>RESUMEN!$B$3</f>
        <v>44020</v>
      </c>
      <c r="P183" s="11">
        <v>2020</v>
      </c>
    </row>
    <row r="184" spans="1:16">
      <c r="A184" s="11" t="s">
        <v>174</v>
      </c>
      <c r="B184" s="11" t="s">
        <v>280</v>
      </c>
      <c r="C184" s="11" t="s">
        <v>277</v>
      </c>
      <c r="D184" s="11" t="s">
        <v>272</v>
      </c>
      <c r="E184" s="11" t="str">
        <f>'Sardina comun'!D34</f>
        <v xml:space="preserve"> ASOCIACION GREMIAL DE ARMADORES, PESCADORES ARTESANALES Y ACTIVIDADES AFINES ARMAPESCA A.G.(RAG 635-8)</v>
      </c>
      <c r="F184" s="11" t="s">
        <v>259</v>
      </c>
      <c r="G184" s="11" t="s">
        <v>260</v>
      </c>
      <c r="H184" s="11">
        <f>'Sardina comun'!F34</f>
        <v>296.45600000000002</v>
      </c>
      <c r="I184" s="11">
        <f>'Sardina comun'!G34</f>
        <v>35</v>
      </c>
      <c r="J184" s="11">
        <f>'Sardina comun'!H34</f>
        <v>331.45600000000002</v>
      </c>
      <c r="K184" s="11">
        <f>'Sardina comun'!I34</f>
        <v>208.26300000000001</v>
      </c>
      <c r="L184" s="11">
        <f>'Sardina comun'!K34</f>
        <v>123.19300000000001</v>
      </c>
      <c r="M184" s="49">
        <f>'Sardina comun'!L34</f>
        <v>0.62832774184205442</v>
      </c>
      <c r="N184" s="55">
        <f>'Sardina comun'!M34</f>
        <v>43956</v>
      </c>
      <c r="O184" s="34">
        <f>RESUMEN!$B$3</f>
        <v>44020</v>
      </c>
      <c r="P184" s="11">
        <v>2020</v>
      </c>
    </row>
    <row r="185" spans="1:16">
      <c r="A185" s="11" t="s">
        <v>174</v>
      </c>
      <c r="B185" s="11" t="s">
        <v>280</v>
      </c>
      <c r="C185" s="11" t="s">
        <v>277</v>
      </c>
      <c r="D185" s="11" t="s">
        <v>272</v>
      </c>
      <c r="E185" s="11" t="str">
        <f>'Sardina comun'!D35</f>
        <v xml:space="preserve"> Asociación Gremial de Armadores, Pescadores Artesanales y Actividades Afines de Lota, Octava región, Registro de Asociaciones Gremiales 577-8</v>
      </c>
      <c r="F185" s="11" t="s">
        <v>259</v>
      </c>
      <c r="G185" s="11" t="s">
        <v>260</v>
      </c>
      <c r="H185" s="11">
        <f>'Sardina comun'!F35</f>
        <v>2572.1860000000001</v>
      </c>
      <c r="I185" s="11">
        <f>'Sardina comun'!G35</f>
        <v>2249.6999999999998</v>
      </c>
      <c r="J185" s="11">
        <f>'Sardina comun'!H35</f>
        <v>4821.8860000000004</v>
      </c>
      <c r="K185" s="11">
        <f>'Sardina comun'!I35</f>
        <v>2566.933</v>
      </c>
      <c r="L185" s="11">
        <f>'Sardina comun'!K35</f>
        <v>2254.9530000000004</v>
      </c>
      <c r="M185" s="49">
        <f>'Sardina comun'!L35</f>
        <v>0.53235041226607183</v>
      </c>
      <c r="N185" s="55">
        <f>'Sardina comun'!M35</f>
        <v>0</v>
      </c>
      <c r="O185" s="34">
        <f>RESUMEN!$B$3</f>
        <v>44020</v>
      </c>
      <c r="P185" s="11">
        <v>2020</v>
      </c>
    </row>
    <row r="186" spans="1:16">
      <c r="A186" s="11" t="s">
        <v>174</v>
      </c>
      <c r="B186" s="11" t="s">
        <v>280</v>
      </c>
      <c r="C186" s="11" t="s">
        <v>277</v>
      </c>
      <c r="D186" s="11" t="s">
        <v>272</v>
      </c>
      <c r="E186" s="11" t="str">
        <f>'Sardina comun'!D36</f>
        <v>Asociacion Gremial de Armadores, Pescadores artesanales, Buzos mariscadores, Recolectores de orilla y Ramos afines "A.G. ESCAFANDRAS CON HISTORIA DE TALCAHUANO" Registro Asociaciones Gremiales 62-8</v>
      </c>
      <c r="F186" s="11" t="s">
        <v>259</v>
      </c>
      <c r="G186" s="11" t="s">
        <v>260</v>
      </c>
      <c r="H186" s="11">
        <f>'Sardina comun'!F36</f>
        <v>891.202</v>
      </c>
      <c r="I186" s="11">
        <f>'Sardina comun'!G36</f>
        <v>0</v>
      </c>
      <c r="J186" s="11">
        <f>'Sardina comun'!H36</f>
        <v>891.202</v>
      </c>
      <c r="K186" s="11">
        <f>'Sardina comun'!I36</f>
        <v>773.59699999999998</v>
      </c>
      <c r="L186" s="11">
        <f>'Sardina comun'!K36</f>
        <v>117.60500000000002</v>
      </c>
      <c r="M186" s="49">
        <f>'Sardina comun'!L36</f>
        <v>0.86803777370338031</v>
      </c>
      <c r="N186" s="55">
        <f>'Sardina comun'!M36</f>
        <v>0</v>
      </c>
      <c r="O186" s="34">
        <f>RESUMEN!$B$3</f>
        <v>44020</v>
      </c>
      <c r="P186" s="11">
        <v>2020</v>
      </c>
    </row>
    <row r="187" spans="1:16" s="11" customFormat="1">
      <c r="A187" s="11" t="s">
        <v>174</v>
      </c>
      <c r="B187" s="11" t="s">
        <v>280</v>
      </c>
      <c r="C187" s="11" t="s">
        <v>277</v>
      </c>
      <c r="D187" s="11" t="s">
        <v>272</v>
      </c>
      <c r="E187" s="11" t="str">
        <f>'Sardina comun'!D37</f>
        <v>Asociación Gremial de Pescadores Artesanales BLUE A.G. – BLUE A.G. Registro de Asociaciones Gremiales RAG N° 661-8</v>
      </c>
      <c r="F187" s="11" t="s">
        <v>259</v>
      </c>
      <c r="G187" s="11" t="s">
        <v>260</v>
      </c>
      <c r="H187" s="11">
        <f>'Sardina comun'!F37</f>
        <v>4828.232</v>
      </c>
      <c r="I187" s="11">
        <f>'Sardina comun'!G37</f>
        <v>0</v>
      </c>
      <c r="J187" s="11">
        <f>'Sardina comun'!H37</f>
        <v>4828.232</v>
      </c>
      <c r="K187" s="11">
        <f>'Sardina comun'!I37</f>
        <v>2428.3609999999999</v>
      </c>
      <c r="L187" s="11">
        <f>'Sardina comun'!K37</f>
        <v>2399.8710000000001</v>
      </c>
      <c r="M187" s="49">
        <f>'Sardina comun'!L37</f>
        <v>0.50295035532675314</v>
      </c>
      <c r="N187" s="55">
        <f>'Sardina comun'!M37</f>
        <v>0</v>
      </c>
      <c r="O187" s="34">
        <f>RESUMEN!$B$3</f>
        <v>44020</v>
      </c>
      <c r="P187" s="11">
        <v>2020</v>
      </c>
    </row>
    <row r="188" spans="1:16">
      <c r="A188" s="11" t="s">
        <v>174</v>
      </c>
      <c r="B188" s="11" t="s">
        <v>280</v>
      </c>
      <c r="C188" s="11" t="s">
        <v>277</v>
      </c>
      <c r="D188" s="11" t="s">
        <v>272</v>
      </c>
      <c r="E188" s="11" t="str">
        <f>'Sardina comun'!D38</f>
        <v>Asociación Gremial de Pescadores Artesanales de caleta INFIERNILLO, Registro de Asociaciones Gremiales 98-8</v>
      </c>
      <c r="F188" s="11" t="s">
        <v>259</v>
      </c>
      <c r="G188" s="11" t="s">
        <v>260</v>
      </c>
      <c r="H188" s="11">
        <f>'Sardina comun'!F38</f>
        <v>57.225000000000001</v>
      </c>
      <c r="I188" s="11">
        <f>'Sardina comun'!G38</f>
        <v>0</v>
      </c>
      <c r="J188" s="11">
        <f>'Sardina comun'!H38</f>
        <v>57.225000000000001</v>
      </c>
      <c r="K188" s="11">
        <f>'Sardina comun'!I38</f>
        <v>65.989999999999995</v>
      </c>
      <c r="L188" s="11">
        <f>'Sardina comun'!K38</f>
        <v>-8.7649999999999935</v>
      </c>
      <c r="M188" s="49">
        <f>'Sardina comun'!L38</f>
        <v>1.1531673219746612</v>
      </c>
      <c r="N188" s="55">
        <f>'Sardina comun'!M38</f>
        <v>0</v>
      </c>
      <c r="O188" s="34">
        <f>RESUMEN!$B$3</f>
        <v>44020</v>
      </c>
      <c r="P188" s="11">
        <v>2020</v>
      </c>
    </row>
    <row r="189" spans="1:16">
      <c r="A189" s="11" t="s">
        <v>174</v>
      </c>
      <c r="B189" s="11" t="s">
        <v>280</v>
      </c>
      <c r="C189" s="11" t="s">
        <v>277</v>
      </c>
      <c r="D189" s="11" t="s">
        <v>272</v>
      </c>
      <c r="E189" s="11" t="str">
        <f>'Sardina comun'!D39</f>
        <v>Asociación Gremial de Pescadores Artesanales de Coronel, Registro de Asociaciones Gremiales 5-8</v>
      </c>
      <c r="F189" s="11" t="s">
        <v>259</v>
      </c>
      <c r="G189" s="11" t="s">
        <v>260</v>
      </c>
      <c r="H189" s="11">
        <f>'Sardina comun'!F39</f>
        <v>20850.108</v>
      </c>
      <c r="I189" s="11">
        <f>'Sardina comun'!G39</f>
        <v>4684.2</v>
      </c>
      <c r="J189" s="11">
        <f>'Sardina comun'!H39</f>
        <v>25534.308000000001</v>
      </c>
      <c r="K189" s="11">
        <f>'Sardina comun'!I39</f>
        <v>17337.12</v>
      </c>
      <c r="L189" s="11">
        <f>'Sardina comun'!K39</f>
        <v>8197.1880000000019</v>
      </c>
      <c r="M189" s="49">
        <f>'Sardina comun'!L39</f>
        <v>0.67897355980823915</v>
      </c>
      <c r="N189" s="55">
        <f>'Sardina comun'!M39</f>
        <v>0</v>
      </c>
      <c r="O189" s="34">
        <f>RESUMEN!$B$3</f>
        <v>44020</v>
      </c>
      <c r="P189" s="11">
        <v>2020</v>
      </c>
    </row>
    <row r="190" spans="1:16">
      <c r="A190" s="11" t="s">
        <v>174</v>
      </c>
      <c r="B190" s="11" t="s">
        <v>280</v>
      </c>
      <c r="C190" s="11" t="s">
        <v>277</v>
      </c>
      <c r="D190" s="11" t="s">
        <v>272</v>
      </c>
      <c r="E190" s="11" t="str">
        <f>'Sardina comun'!D40</f>
        <v>Asociación Gremial de Pescadores Artesanales de Lota - A.G. APESCA Lota, Registro de Asociaciones Gremiales 428-8</v>
      </c>
      <c r="F190" s="11" t="s">
        <v>259</v>
      </c>
      <c r="G190" s="11" t="s">
        <v>260</v>
      </c>
      <c r="H190" s="11">
        <f>'Sardina comun'!F40</f>
        <v>309.03699999999998</v>
      </c>
      <c r="I190" s="11">
        <f>'Sardina comun'!G40</f>
        <v>-80</v>
      </c>
      <c r="J190" s="11">
        <f>'Sardina comun'!H40</f>
        <v>229.03699999999998</v>
      </c>
      <c r="K190" s="11">
        <f>'Sardina comun'!I40</f>
        <v>117.30200000000001</v>
      </c>
      <c r="L190" s="11">
        <f>'Sardina comun'!K40</f>
        <v>111.73499999999997</v>
      </c>
      <c r="M190" s="49">
        <f>'Sardina comun'!L40</f>
        <v>0.51215305823949853</v>
      </c>
      <c r="N190" s="55">
        <f>'Sardina comun'!M40</f>
        <v>0</v>
      </c>
      <c r="O190" s="34">
        <f>RESUMEN!$B$3</f>
        <v>44020</v>
      </c>
      <c r="P190" s="11">
        <v>2020</v>
      </c>
    </row>
    <row r="191" spans="1:16">
      <c r="A191" s="11" t="s">
        <v>174</v>
      </c>
      <c r="B191" s="11" t="s">
        <v>280</v>
      </c>
      <c r="C191" s="11" t="s">
        <v>277</v>
      </c>
      <c r="D191" s="11" t="s">
        <v>272</v>
      </c>
      <c r="E191" s="11" t="str">
        <f>'Sardina comun'!D41</f>
        <v>Asociación Gremial de Pescadores Artesanales de San Vicente – Talcahuano, Registro de Asociaciones Gremiales 18-8</v>
      </c>
      <c r="F191" s="11" t="s">
        <v>259</v>
      </c>
      <c r="G191" s="11" t="s">
        <v>260</v>
      </c>
      <c r="H191" s="11">
        <f>'Sardina comun'!F41</f>
        <v>3712.1350000000002</v>
      </c>
      <c r="I191" s="11">
        <f>'Sardina comun'!G41</f>
        <v>356</v>
      </c>
      <c r="J191" s="11">
        <f>'Sardina comun'!H41</f>
        <v>4068.1350000000002</v>
      </c>
      <c r="K191" s="11">
        <f>'Sardina comun'!I41</f>
        <v>2409.0209999999997</v>
      </c>
      <c r="L191" s="11">
        <f>'Sardina comun'!K41</f>
        <v>1659.1140000000005</v>
      </c>
      <c r="M191" s="49">
        <f>'Sardina comun'!L41</f>
        <v>0.59216840149110084</v>
      </c>
      <c r="N191" s="55">
        <f>'Sardina comun'!M41</f>
        <v>0</v>
      </c>
      <c r="O191" s="34">
        <f>RESUMEN!$B$3</f>
        <v>44020</v>
      </c>
      <c r="P191" s="11">
        <v>2020</v>
      </c>
    </row>
    <row r="192" spans="1:16">
      <c r="A192" s="11" t="s">
        <v>174</v>
      </c>
      <c r="B192" s="11" t="s">
        <v>280</v>
      </c>
      <c r="C192" s="11" t="s">
        <v>277</v>
      </c>
      <c r="D192" s="11" t="s">
        <v>272</v>
      </c>
      <c r="E192" s="11" t="str">
        <f>'Sardina comun'!D42</f>
        <v>Asociación Gremial de Pescadores Artesanales, Armadores Artesanales Pelágicos y actividades Afines de la Caleta de LOTA VIII Región A.G.-SIERRA AZUL A.G., Registro de Asociaciones Gremiales 576-8</v>
      </c>
      <c r="F192" s="11" t="s">
        <v>259</v>
      </c>
      <c r="G192" s="11" t="s">
        <v>260</v>
      </c>
      <c r="H192" s="11">
        <f>'Sardina comun'!F42</f>
        <v>2282.4279999999999</v>
      </c>
      <c r="I192" s="11">
        <f>'Sardina comun'!G42</f>
        <v>200</v>
      </c>
      <c r="J192" s="11">
        <f>'Sardina comun'!H42</f>
        <v>2482.4279999999999</v>
      </c>
      <c r="K192" s="11">
        <f>'Sardina comun'!I42</f>
        <v>641.86800000000005</v>
      </c>
      <c r="L192" s="11">
        <f>'Sardina comun'!K42</f>
        <v>1840.56</v>
      </c>
      <c r="M192" s="49">
        <f>'Sardina comun'!L42</f>
        <v>0.2585645988524139</v>
      </c>
      <c r="N192" s="55">
        <f>'Sardina comun'!M42</f>
        <v>0</v>
      </c>
      <c r="O192" s="34">
        <f>RESUMEN!$B$3</f>
        <v>44020</v>
      </c>
      <c r="P192" s="11">
        <v>2020</v>
      </c>
    </row>
    <row r="193" spans="1:16">
      <c r="A193" s="11" t="s">
        <v>174</v>
      </c>
      <c r="B193" s="11" t="s">
        <v>280</v>
      </c>
      <c r="C193" s="11" t="s">
        <v>277</v>
      </c>
      <c r="D193" s="11" t="s">
        <v>272</v>
      </c>
      <c r="E193" s="11" t="str">
        <f>'Sardina comun'!D43</f>
        <v>Asociación Gremial de Pescadores y Armadores Artesanales Pelágicos de la Región del Bío Bío, "PESCA MAR A.G.", Registro de Asociaciones Gremiales 450-8</v>
      </c>
      <c r="F193" s="11" t="s">
        <v>259</v>
      </c>
      <c r="G193" s="11" t="s">
        <v>260</v>
      </c>
      <c r="H193" s="11">
        <f>'Sardina comun'!F43</f>
        <v>2625.5720000000001</v>
      </c>
      <c r="I193" s="11">
        <f>'Sardina comun'!G43</f>
        <v>0</v>
      </c>
      <c r="J193" s="11">
        <f>'Sardina comun'!H43</f>
        <v>2625.5720000000001</v>
      </c>
      <c r="K193" s="11">
        <f>'Sardina comun'!I43</f>
        <v>1319.94</v>
      </c>
      <c r="L193" s="11">
        <f>'Sardina comun'!K43</f>
        <v>1305.6320000000001</v>
      </c>
      <c r="M193" s="49">
        <f>'Sardina comun'!L43</f>
        <v>0.50272473959959962</v>
      </c>
      <c r="N193" s="55">
        <f>'Sardina comun'!M43</f>
        <v>0</v>
      </c>
      <c r="O193" s="34">
        <f>RESUMEN!$B$3</f>
        <v>44020</v>
      </c>
      <c r="P193" s="11">
        <v>2020</v>
      </c>
    </row>
    <row r="194" spans="1:16">
      <c r="A194" s="11" t="s">
        <v>174</v>
      </c>
      <c r="B194" s="11" t="s">
        <v>280</v>
      </c>
      <c r="C194" s="11" t="s">
        <v>277</v>
      </c>
      <c r="D194" s="11" t="s">
        <v>272</v>
      </c>
      <c r="E194" s="11" t="str">
        <f>'Sardina comun'!D44</f>
        <v xml:space="preserve"> Asociación Gremial de Pescadores y Armadores Artesanales Pelágicos Región Bío Bío A.G. ALTAMAR, Registro de Asociaciones Gremiales  555-8</v>
      </c>
      <c r="F194" s="11" t="s">
        <v>259</v>
      </c>
      <c r="G194" s="11" t="s">
        <v>260</v>
      </c>
      <c r="H194" s="11">
        <f>'Sardina comun'!F44</f>
        <v>4851.567</v>
      </c>
      <c r="I194" s="11">
        <f>'Sardina comun'!G44</f>
        <v>0</v>
      </c>
      <c r="J194" s="11">
        <f>'Sardina comun'!H44</f>
        <v>4851.567</v>
      </c>
      <c r="K194" s="11">
        <f>'Sardina comun'!I44</f>
        <v>3095.5169999999998</v>
      </c>
      <c r="L194" s="11">
        <f>'Sardina comun'!K44</f>
        <v>1756.0500000000002</v>
      </c>
      <c r="M194" s="49">
        <f>'Sardina comun'!L44</f>
        <v>0.63804478017102517</v>
      </c>
      <c r="N194" s="55">
        <f>'Sardina comun'!M44</f>
        <v>0</v>
      </c>
      <c r="O194" s="34">
        <f>RESUMEN!$B$3</f>
        <v>44020</v>
      </c>
      <c r="P194" s="11">
        <v>2020</v>
      </c>
    </row>
    <row r="195" spans="1:16">
      <c r="A195" s="11" t="s">
        <v>174</v>
      </c>
      <c r="B195" s="11" t="s">
        <v>280</v>
      </c>
      <c r="C195" s="11" t="s">
        <v>277</v>
      </c>
      <c r="D195" s="11" t="s">
        <v>272</v>
      </c>
      <c r="E195" s="11" t="str">
        <f>'Sardina comun'!D45</f>
        <v>Asociación Gremial de Productores Pelágicos Artesanales de las Caletas de Talcahuano y San Vicente de la VIII Región GEMAR A.G., Registro de Asociaciones Gremiales 464-8</v>
      </c>
      <c r="F195" s="11" t="s">
        <v>259</v>
      </c>
      <c r="G195" s="11" t="s">
        <v>260</v>
      </c>
      <c r="H195" s="11">
        <f>'Sardina comun'!F45</f>
        <v>3882.6170000000002</v>
      </c>
      <c r="I195" s="11">
        <f>'Sardina comun'!G45</f>
        <v>0</v>
      </c>
      <c r="J195" s="11">
        <f>'Sardina comun'!H45</f>
        <v>3882.6170000000002</v>
      </c>
      <c r="K195" s="11">
        <f>'Sardina comun'!I45</f>
        <v>3304.8310000000001</v>
      </c>
      <c r="L195" s="11">
        <f>'Sardina comun'!K45</f>
        <v>577.78600000000006</v>
      </c>
      <c r="M195" s="49">
        <f>'Sardina comun'!L45</f>
        <v>0.85118645490915024</v>
      </c>
      <c r="N195" s="55">
        <f>'Sardina comun'!M45</f>
        <v>0</v>
      </c>
      <c r="O195" s="34">
        <f>RESUMEN!$B$3</f>
        <v>44020</v>
      </c>
      <c r="P195" s="11">
        <v>2020</v>
      </c>
    </row>
    <row r="196" spans="1:16">
      <c r="A196" s="11" t="s">
        <v>174</v>
      </c>
      <c r="B196" s="11" t="s">
        <v>280</v>
      </c>
      <c r="C196" s="11" t="s">
        <v>277</v>
      </c>
      <c r="D196" s="11" t="s">
        <v>272</v>
      </c>
      <c r="E196" s="11" t="str">
        <f>'Sardina comun'!D46</f>
        <v>Asociación Gremial Productores Pelágicos, Armadores Artesanales de la Comuna de Coronel, VIII Región, ARPESCA A.G., Registro de Asociaciones Gremiales 447-8</v>
      </c>
      <c r="F196" s="11" t="s">
        <v>259</v>
      </c>
      <c r="G196" s="11" t="s">
        <v>260</v>
      </c>
      <c r="H196" s="11">
        <f>'Sardina comun'!F46</f>
        <v>0</v>
      </c>
      <c r="I196" s="11">
        <f>'Sardina comun'!G46</f>
        <v>0</v>
      </c>
      <c r="J196" s="11">
        <f>'Sardina comun'!H46</f>
        <v>0</v>
      </c>
      <c r="K196" s="11">
        <f>'Sardina comun'!I46</f>
        <v>0</v>
      </c>
      <c r="L196" s="11">
        <f>'Sardina comun'!K46</f>
        <v>0</v>
      </c>
      <c r="M196" s="49">
        <v>0</v>
      </c>
      <c r="N196" s="55">
        <f>'Sardina comun'!M46</f>
        <v>0</v>
      </c>
      <c r="O196" s="34">
        <f>RESUMEN!$B$3</f>
        <v>44020</v>
      </c>
      <c r="P196" s="11">
        <v>2020</v>
      </c>
    </row>
    <row r="197" spans="1:16">
      <c r="A197" s="11" t="s">
        <v>174</v>
      </c>
      <c r="B197" s="11" t="s">
        <v>280</v>
      </c>
      <c r="C197" s="11" t="s">
        <v>277</v>
      </c>
      <c r="D197" s="11" t="s">
        <v>272</v>
      </c>
      <c r="E197" s="11" t="str">
        <f>'Sardina comun'!D47</f>
        <v>Cooperativa de Pescadores Sol de Israel Limitada "COOPES LTDA". Rol 5483</v>
      </c>
      <c r="F197" s="11" t="s">
        <v>259</v>
      </c>
      <c r="G197" s="11" t="s">
        <v>260</v>
      </c>
      <c r="H197" s="11">
        <f>'Sardina comun'!F47</f>
        <v>235.99100000000001</v>
      </c>
      <c r="I197" s="11">
        <f>'Sardina comun'!G47</f>
        <v>5</v>
      </c>
      <c r="J197" s="11">
        <f>'Sardina comun'!H47</f>
        <v>240.99100000000001</v>
      </c>
      <c r="K197" s="11">
        <f>'Sardina comun'!I47</f>
        <v>78.106999999999999</v>
      </c>
      <c r="L197" s="11">
        <f>'Sardina comun'!K47</f>
        <v>162.88400000000001</v>
      </c>
      <c r="M197" s="49">
        <f>'Sardina comun'!L47</f>
        <v>0.32410753928569946</v>
      </c>
      <c r="N197" s="55">
        <f>'Sardina comun'!M47</f>
        <v>0</v>
      </c>
      <c r="O197" s="34">
        <f>RESUMEN!$B$3</f>
        <v>44020</v>
      </c>
      <c r="P197" s="11">
        <v>2020</v>
      </c>
    </row>
    <row r="198" spans="1:16">
      <c r="A198" s="11" t="s">
        <v>174</v>
      </c>
      <c r="B198" s="11" t="s">
        <v>280</v>
      </c>
      <c r="C198" s="11" t="s">
        <v>277</v>
      </c>
      <c r="D198" s="11" t="s">
        <v>272</v>
      </c>
      <c r="E198" s="11" t="str">
        <f>'Sardina comun'!D48</f>
        <v>Cooperativa de Pescadores y Armadores Artesanales de Lota "GEVIMAR". Registro de Cooperativa Rol 4465</v>
      </c>
      <c r="F198" s="11" t="s">
        <v>259</v>
      </c>
      <c r="G198" s="11" t="s">
        <v>260</v>
      </c>
      <c r="H198" s="11">
        <f>'Sardina comun'!F48</f>
        <v>2990.9810000000002</v>
      </c>
      <c r="I198" s="11">
        <f>'Sardina comun'!G48</f>
        <v>0</v>
      </c>
      <c r="J198" s="11">
        <f>'Sardina comun'!H48</f>
        <v>2990.9810000000002</v>
      </c>
      <c r="K198" s="11">
        <f>'Sardina comun'!I48</f>
        <v>2789.2579999999998</v>
      </c>
      <c r="L198" s="11">
        <f>'Sardina comun'!K48</f>
        <v>201.72300000000041</v>
      </c>
      <c r="M198" s="49">
        <f>'Sardina comun'!L48</f>
        <v>0.93255624158093942</v>
      </c>
      <c r="N198" s="55">
        <f>'Sardina comun'!M48</f>
        <v>0</v>
      </c>
      <c r="O198" s="34">
        <f>RESUMEN!$B$3</f>
        <v>44020</v>
      </c>
      <c r="P198" s="11">
        <v>2020</v>
      </c>
    </row>
    <row r="199" spans="1:16">
      <c r="A199" s="11" t="s">
        <v>174</v>
      </c>
      <c r="B199" s="11" t="s">
        <v>280</v>
      </c>
      <c r="C199" s="11" t="s">
        <v>277</v>
      </c>
      <c r="D199" s="11" t="s">
        <v>272</v>
      </c>
      <c r="E199" s="11" t="str">
        <f>'Sardina comun'!D49</f>
        <v xml:space="preserve"> Cooperativa Pesquera Artesanal de Coronel Limitada. ROL 5472</v>
      </c>
      <c r="F199" s="11" t="s">
        <v>259</v>
      </c>
      <c r="G199" s="11" t="s">
        <v>260</v>
      </c>
      <c r="H199" s="11">
        <f>'Sardina comun'!F49</f>
        <v>11.847</v>
      </c>
      <c r="I199" s="11">
        <f>'Sardina comun'!G49</f>
        <v>-11.8</v>
      </c>
      <c r="J199" s="11">
        <f>'Sardina comun'!H49</f>
        <v>4.699999999999882E-2</v>
      </c>
      <c r="K199" s="11">
        <f>'Sardina comun'!I49</f>
        <v>0</v>
      </c>
      <c r="L199" s="11">
        <f>'Sardina comun'!K49</f>
        <v>4.699999999999882E-2</v>
      </c>
      <c r="M199" s="49">
        <f>'Sardina comun'!L49</f>
        <v>0</v>
      </c>
      <c r="N199" s="55">
        <f>'Sardina comun'!M49</f>
        <v>0</v>
      </c>
      <c r="O199" s="34">
        <f>RESUMEN!$B$3</f>
        <v>44020</v>
      </c>
      <c r="P199" s="11">
        <v>2020</v>
      </c>
    </row>
    <row r="200" spans="1:16">
      <c r="A200" s="11" t="s">
        <v>174</v>
      </c>
      <c r="B200" s="11" t="s">
        <v>280</v>
      </c>
      <c r="C200" s="11" t="s">
        <v>277</v>
      </c>
      <c r="D200" s="11" t="s">
        <v>272</v>
      </c>
      <c r="E200" s="11" t="str">
        <f>'Sardina comun'!D50</f>
        <v>Sindicato de  Pescadores Artesanales, Armadores Pelágicos y Actividades Conexas de la Caleta Vegas de Coliumo. Registro Sindical Único 08.06.0113</v>
      </c>
      <c r="F200" s="11" t="s">
        <v>259</v>
      </c>
      <c r="G200" s="11" t="s">
        <v>260</v>
      </c>
      <c r="H200" s="11">
        <f>'Sardina comun'!F50</f>
        <v>2325.8029999999999</v>
      </c>
      <c r="I200" s="11">
        <f>'Sardina comun'!G50</f>
        <v>-321.7</v>
      </c>
      <c r="J200" s="11">
        <f>'Sardina comun'!H50</f>
        <v>2004.1029999999998</v>
      </c>
      <c r="K200" s="11">
        <f>'Sardina comun'!I50</f>
        <v>1738.7239999999999</v>
      </c>
      <c r="L200" s="11">
        <f>'Sardina comun'!K50</f>
        <v>265.37899999999991</v>
      </c>
      <c r="M200" s="49">
        <f>'Sardina comun'!L50</f>
        <v>0.86758215520858961</v>
      </c>
      <c r="N200" s="55">
        <f>'Sardina comun'!M50</f>
        <v>0</v>
      </c>
      <c r="O200" s="34">
        <f>RESUMEN!$B$3</f>
        <v>44020</v>
      </c>
      <c r="P200" s="11">
        <v>2020</v>
      </c>
    </row>
    <row r="201" spans="1:16">
      <c r="A201" s="11" t="s">
        <v>174</v>
      </c>
      <c r="B201" s="11" t="s">
        <v>280</v>
      </c>
      <c r="C201" s="11" t="s">
        <v>277</v>
      </c>
      <c r="D201" s="11" t="s">
        <v>272</v>
      </c>
      <c r="E201" s="11" t="str">
        <f>'Sardina comun'!D51</f>
        <v>Sindicato de Armadores y Pescadores Mares Profundo. Registro Sindical Unico 08.04.0179</v>
      </c>
      <c r="F201" s="11" t="s">
        <v>259</v>
      </c>
      <c r="G201" s="11" t="s">
        <v>260</v>
      </c>
      <c r="H201" s="11">
        <f>'Sardina comun'!F51</f>
        <v>296.67599999999999</v>
      </c>
      <c r="I201" s="11">
        <f>'Sardina comun'!G51</f>
        <v>-296.60000000000002</v>
      </c>
      <c r="J201" s="11">
        <f>'Sardina comun'!H51</f>
        <v>7.5999999999964984E-2</v>
      </c>
      <c r="K201" s="11">
        <f>'Sardina comun'!I51</f>
        <v>0</v>
      </c>
      <c r="L201" s="11">
        <f>'Sardina comun'!K51</f>
        <v>7.5999999999964984E-2</v>
      </c>
      <c r="M201" s="49">
        <f>'Sardina comun'!L51</f>
        <v>0</v>
      </c>
      <c r="N201" s="55">
        <f>'Sardina comun'!M51</f>
        <v>0</v>
      </c>
      <c r="O201" s="34">
        <f>RESUMEN!$B$3</f>
        <v>44020</v>
      </c>
      <c r="P201" s="11">
        <v>2020</v>
      </c>
    </row>
    <row r="202" spans="1:16">
      <c r="A202" s="11" t="s">
        <v>174</v>
      </c>
      <c r="B202" s="11" t="s">
        <v>280</v>
      </c>
      <c r="C202" s="11" t="s">
        <v>277</v>
      </c>
      <c r="D202" s="11" t="s">
        <v>272</v>
      </c>
      <c r="E202" s="11" t="str">
        <f>'Sardina comun'!D52</f>
        <v>Sindicato de Pescadores Artesanales y Armadores Artesanales de la Octava Región "SPAADA SD". Registro Sindical Único 08.05.0339</v>
      </c>
      <c r="F202" s="11" t="s">
        <v>259</v>
      </c>
      <c r="G202" s="11" t="s">
        <v>260</v>
      </c>
      <c r="H202" s="11">
        <f>'Sardina comun'!F52</f>
        <v>4387.4350000000004</v>
      </c>
      <c r="I202" s="11">
        <f>'Sardina comun'!G52</f>
        <v>361.8</v>
      </c>
      <c r="J202" s="11">
        <f>'Sardina comun'!H52</f>
        <v>4749.2350000000006</v>
      </c>
      <c r="K202" s="11">
        <f>'Sardina comun'!I52</f>
        <v>3317.8980000000001</v>
      </c>
      <c r="L202" s="11">
        <f>'Sardina comun'!K52</f>
        <v>1431.3370000000004</v>
      </c>
      <c r="M202" s="49">
        <f>'Sardina comun'!L52</f>
        <v>0.69861735626895693</v>
      </c>
      <c r="N202" s="55">
        <f>'Sardina comun'!M52</f>
        <v>0</v>
      </c>
      <c r="O202" s="34">
        <f>RESUMEN!$B$3</f>
        <v>44020</v>
      </c>
      <c r="P202" s="11">
        <v>2020</v>
      </c>
    </row>
    <row r="203" spans="1:16">
      <c r="A203" s="11" t="s">
        <v>174</v>
      </c>
      <c r="B203" s="11" t="s">
        <v>280</v>
      </c>
      <c r="C203" s="11" t="s">
        <v>277</v>
      </c>
      <c r="D203" s="11" t="s">
        <v>272</v>
      </c>
      <c r="E203" s="11" t="str">
        <f>'Sardina comun'!D53</f>
        <v>Sindicato de Pescadores y Armadores Artesanales del Mar "SIPARMAR - Talcahuano". Registro Sindical Único 08.05.0399</v>
      </c>
      <c r="F203" s="11" t="s">
        <v>259</v>
      </c>
      <c r="G203" s="11" t="s">
        <v>260</v>
      </c>
      <c r="H203" s="11">
        <f>'Sardina comun'!F53</f>
        <v>6696.4049999999997</v>
      </c>
      <c r="I203" s="11">
        <f>'Sardina comun'!G53</f>
        <v>937</v>
      </c>
      <c r="J203" s="11">
        <f>'Sardina comun'!H53</f>
        <v>7633.4049999999997</v>
      </c>
      <c r="K203" s="11">
        <f>'Sardina comun'!I53</f>
        <v>4188.7449999999999</v>
      </c>
      <c r="L203" s="11">
        <f>'Sardina comun'!K53</f>
        <v>3444.66</v>
      </c>
      <c r="M203" s="49">
        <f>'Sardina comun'!L53</f>
        <v>0.5487387345489988</v>
      </c>
      <c r="N203" s="55">
        <f>'Sardina comun'!M53</f>
        <v>0</v>
      </c>
      <c r="O203" s="34">
        <f>RESUMEN!$B$3</f>
        <v>44020</v>
      </c>
      <c r="P203" s="11">
        <v>2020</v>
      </c>
    </row>
    <row r="204" spans="1:16">
      <c r="A204" s="11" t="s">
        <v>174</v>
      </c>
      <c r="B204" s="11" t="s">
        <v>280</v>
      </c>
      <c r="C204" s="11" t="s">
        <v>277</v>
      </c>
      <c r="D204" s="11" t="s">
        <v>272</v>
      </c>
      <c r="E204" s="11" t="str">
        <f>'Sardina comun'!D54</f>
        <v>Sindicato de Trabajadores Independientes "Brisas del Mar". Registro Sindical Único 08.04.0115</v>
      </c>
      <c r="F204" s="11" t="s">
        <v>259</v>
      </c>
      <c r="G204" s="11" t="s">
        <v>260</v>
      </c>
      <c r="H204" s="11">
        <f>'Sardina comun'!F54</f>
        <v>1.7999999999999999E-2</v>
      </c>
      <c r="I204" s="11">
        <f>'Sardina comun'!G54</f>
        <v>0</v>
      </c>
      <c r="J204" s="11">
        <f>'Sardina comun'!H54</f>
        <v>1.7999999999999999E-2</v>
      </c>
      <c r="K204" s="11">
        <f>'Sardina comun'!I54</f>
        <v>0</v>
      </c>
      <c r="L204" s="11">
        <f>'Sardina comun'!K54</f>
        <v>1.7999999999999999E-2</v>
      </c>
      <c r="M204" s="49">
        <f>'Sardina comun'!L54</f>
        <v>0</v>
      </c>
      <c r="N204" s="55">
        <f>'Sardina comun'!M54</f>
        <v>0</v>
      </c>
      <c r="O204" s="34">
        <f>RESUMEN!$B$3</f>
        <v>44020</v>
      </c>
      <c r="P204" s="11">
        <v>2020</v>
      </c>
    </row>
    <row r="205" spans="1:16">
      <c r="A205" s="11" t="s">
        <v>174</v>
      </c>
      <c r="B205" s="11" t="s">
        <v>280</v>
      </c>
      <c r="C205" s="11" t="s">
        <v>277</v>
      </c>
      <c r="D205" s="11" t="s">
        <v>272</v>
      </c>
      <c r="E205" s="11" t="str">
        <f>'Sardina comun'!D55</f>
        <v>Sindicato de Trabajadores Independientes Armadores  y Pescadores Artesanales, Buzos Mariscadores, Algueros acuicultores y Actividades conexas de la Región del Bio Bio (BIO BIO PESCA), Registro Sindical Único 08.05.0555</v>
      </c>
      <c r="F205" s="11" t="s">
        <v>259</v>
      </c>
      <c r="G205" s="11" t="s">
        <v>260</v>
      </c>
      <c r="H205" s="11">
        <f>'Sardina comun'!F55</f>
        <v>1176.057</v>
      </c>
      <c r="I205" s="11">
        <f>'Sardina comun'!G55</f>
        <v>-558</v>
      </c>
      <c r="J205" s="11">
        <f>'Sardina comun'!H55</f>
        <v>618.05700000000002</v>
      </c>
      <c r="K205" s="11">
        <f>'Sardina comun'!I55</f>
        <v>376.60500000000002</v>
      </c>
      <c r="L205" s="11">
        <f>'Sardina comun'!K55</f>
        <v>241.452</v>
      </c>
      <c r="M205" s="49">
        <f>'Sardina comun'!L55</f>
        <v>0.60933700289779102</v>
      </c>
      <c r="N205" s="55">
        <f>'Sardina comun'!M55</f>
        <v>0</v>
      </c>
      <c r="O205" s="34">
        <f>RESUMEN!$B$3</f>
        <v>44020</v>
      </c>
      <c r="P205" s="11">
        <v>2020</v>
      </c>
    </row>
    <row r="206" spans="1:16">
      <c r="A206" s="11" t="s">
        <v>174</v>
      </c>
      <c r="B206" s="11" t="s">
        <v>280</v>
      </c>
      <c r="C206" s="11" t="s">
        <v>277</v>
      </c>
      <c r="D206" s="11" t="s">
        <v>272</v>
      </c>
      <c r="E206" s="11" t="str">
        <f>'Sardina comun'!D56</f>
        <v>Sindicato de Trabajadores Independientes Armadores Pescadores Artesanales, Algueros y Ramos Afines "MEDITERRANEO". Registro Sindical Único 08.05.0605</v>
      </c>
      <c r="F206" s="11" t="s">
        <v>259</v>
      </c>
      <c r="G206" s="11" t="s">
        <v>260</v>
      </c>
      <c r="H206" s="11">
        <f>'Sardina comun'!F56</f>
        <v>1751.4110000000001</v>
      </c>
      <c r="I206" s="11">
        <f>'Sardina comun'!G56</f>
        <v>-290</v>
      </c>
      <c r="J206" s="11">
        <f>'Sardina comun'!H56</f>
        <v>1461.4110000000001</v>
      </c>
      <c r="K206" s="11">
        <f>'Sardina comun'!I56</f>
        <v>955.19399999999996</v>
      </c>
      <c r="L206" s="11">
        <f>'Sardina comun'!K56</f>
        <v>506.2170000000001</v>
      </c>
      <c r="M206" s="49">
        <f>'Sardina comun'!L56</f>
        <v>0.65361079121479171</v>
      </c>
      <c r="N206" s="55">
        <f>'Sardina comun'!M56</f>
        <v>0</v>
      </c>
      <c r="O206" s="34">
        <f>RESUMEN!$B$3</f>
        <v>44020</v>
      </c>
      <c r="P206" s="11">
        <v>2020</v>
      </c>
    </row>
    <row r="207" spans="1:16">
      <c r="A207" s="11" t="s">
        <v>174</v>
      </c>
      <c r="B207" s="11" t="s">
        <v>280</v>
      </c>
      <c r="C207" s="11" t="s">
        <v>277</v>
      </c>
      <c r="D207" s="11" t="s">
        <v>272</v>
      </c>
      <c r="E207" s="11" t="str">
        <f>'Sardina comun'!D57</f>
        <v>Sindicato de Trabajadores Independientes Armadores Pescadores del Mar "SIARPEMAR". Registro Sindical Único 08.05.0459.</v>
      </c>
      <c r="F207" s="11" t="s">
        <v>259</v>
      </c>
      <c r="G207" s="11" t="s">
        <v>260</v>
      </c>
      <c r="H207" s="11">
        <f>'Sardina comun'!F57</f>
        <v>585.46199999999999</v>
      </c>
      <c r="I207" s="11">
        <f>'Sardina comun'!G57</f>
        <v>718</v>
      </c>
      <c r="J207" s="11">
        <f>'Sardina comun'!H57</f>
        <v>1303.462</v>
      </c>
      <c r="K207" s="11">
        <f>'Sardina comun'!I57</f>
        <v>1108.75</v>
      </c>
      <c r="L207" s="11">
        <f>'Sardina comun'!K57</f>
        <v>194.71199999999999</v>
      </c>
      <c r="M207" s="49">
        <f>'Sardina comun'!L57</f>
        <v>0.85061935062165217</v>
      </c>
      <c r="N207" s="55">
        <f>'Sardina comun'!M57</f>
        <v>0</v>
      </c>
      <c r="O207" s="34">
        <f>RESUMEN!$B$3</f>
        <v>44020</v>
      </c>
      <c r="P207" s="11">
        <v>2020</v>
      </c>
    </row>
    <row r="208" spans="1:16">
      <c r="A208" s="11" t="s">
        <v>174</v>
      </c>
      <c r="B208" s="11" t="s">
        <v>280</v>
      </c>
      <c r="C208" s="11" t="s">
        <v>277</v>
      </c>
      <c r="D208" s="11" t="s">
        <v>272</v>
      </c>
      <c r="E208" s="11" t="str">
        <f>'Sardina comun'!D58</f>
        <v xml:space="preserve"> Sindicato de Trabajadores Independientes Armadores y Pescadores Artesanales y Ramos Afines  Caleta La Gloria comuna de Talcahuano, Registro Sindical Único 08.05.0603</v>
      </c>
      <c r="F208" s="11" t="s">
        <v>259</v>
      </c>
      <c r="G208" s="11" t="s">
        <v>260</v>
      </c>
      <c r="H208" s="11">
        <f>'Sardina comun'!F58</f>
        <v>3364.8409999999999</v>
      </c>
      <c r="I208" s="11">
        <f>'Sardina comun'!G58</f>
        <v>520.70000000000005</v>
      </c>
      <c r="J208" s="11">
        <f>'Sardina comun'!H58</f>
        <v>3885.5410000000002</v>
      </c>
      <c r="K208" s="11">
        <f>'Sardina comun'!I58</f>
        <v>2562.585</v>
      </c>
      <c r="L208" s="11">
        <f>'Sardina comun'!K58</f>
        <v>1322.9560000000001</v>
      </c>
      <c r="M208" s="49">
        <f>'Sardina comun'!L58</f>
        <v>0.65951819836671388</v>
      </c>
      <c r="N208" s="55">
        <f>'Sardina comun'!M58</f>
        <v>0</v>
      </c>
      <c r="O208" s="34">
        <f>RESUMEN!$B$3</f>
        <v>44020</v>
      </c>
      <c r="P208" s="11">
        <v>2020</v>
      </c>
    </row>
    <row r="209" spans="1:16">
      <c r="A209" s="11" t="s">
        <v>174</v>
      </c>
      <c r="B209" s="11" t="s">
        <v>280</v>
      </c>
      <c r="C209" s="11" t="s">
        <v>277</v>
      </c>
      <c r="D209" s="11" t="s">
        <v>272</v>
      </c>
      <c r="E209" s="11" t="str">
        <f>'Sardina comun'!D59</f>
        <v>Sindicato de Trabajadores Independientes Armadores y Pescadores y Ramos Afines de la Pesca Artesanal de la Caleta Lo Rojas "SITRAL", Registro Sindical Único 08.07.0322</v>
      </c>
      <c r="F209" s="11" t="s">
        <v>259</v>
      </c>
      <c r="G209" s="11" t="s">
        <v>260</v>
      </c>
      <c r="H209" s="11">
        <f>'Sardina comun'!F59</f>
        <v>1839.2729999999999</v>
      </c>
      <c r="I209" s="11">
        <f>'Sardina comun'!G59</f>
        <v>-218</v>
      </c>
      <c r="J209" s="11">
        <f>'Sardina comun'!H59</f>
        <v>1621.2729999999999</v>
      </c>
      <c r="K209" s="11">
        <f>'Sardina comun'!I59</f>
        <v>1532.3579999999999</v>
      </c>
      <c r="L209" s="11">
        <f>'Sardina comun'!K59</f>
        <v>88.914999999999964</v>
      </c>
      <c r="M209" s="49">
        <f>'Sardina comun'!L59</f>
        <v>0.94515729306538754</v>
      </c>
      <c r="N209" s="55">
        <f>'Sardina comun'!M59</f>
        <v>0</v>
      </c>
      <c r="O209" s="34">
        <f>RESUMEN!$B$3</f>
        <v>44020</v>
      </c>
      <c r="P209" s="11">
        <v>2020</v>
      </c>
    </row>
    <row r="210" spans="1:16">
      <c r="A210" s="11" t="s">
        <v>174</v>
      </c>
      <c r="B210" s="11" t="s">
        <v>280</v>
      </c>
      <c r="C210" s="11" t="s">
        <v>277</v>
      </c>
      <c r="D210" s="11" t="s">
        <v>272</v>
      </c>
      <c r="E210" s="11" t="str">
        <f>'Sardina comun'!D60</f>
        <v>Sindicato de Trabajadores Independientes Armadores, Pescadores y Ramos Afines de la Pesca Artesanal de la Región del  Bio-Bio, "SARPAR BIO-BIO". Registro Sindical Único 08.05.0378</v>
      </c>
      <c r="F210" s="11" t="s">
        <v>259</v>
      </c>
      <c r="G210" s="11" t="s">
        <v>260</v>
      </c>
      <c r="H210" s="11">
        <f>'Sardina comun'!F60</f>
        <v>943.28700000000003</v>
      </c>
      <c r="I210" s="11">
        <f>'Sardina comun'!G60</f>
        <v>0</v>
      </c>
      <c r="J210" s="11">
        <f>'Sardina comun'!H60</f>
        <v>943.28700000000003</v>
      </c>
      <c r="K210" s="11">
        <f>'Sardina comun'!I60</f>
        <v>581.73699999999997</v>
      </c>
      <c r="L210" s="11">
        <f>'Sardina comun'!K60</f>
        <v>361.55000000000007</v>
      </c>
      <c r="M210" s="49">
        <f>'Sardina comun'!L60</f>
        <v>0.61671262298748941</v>
      </c>
      <c r="N210" s="55">
        <f>'Sardina comun'!M60</f>
        <v>0</v>
      </c>
      <c r="O210" s="34">
        <f>RESUMEN!$B$3</f>
        <v>44020</v>
      </c>
      <c r="P210" s="11">
        <v>2020</v>
      </c>
    </row>
    <row r="211" spans="1:16">
      <c r="A211" s="11" t="s">
        <v>174</v>
      </c>
      <c r="B211" s="11" t="s">
        <v>280</v>
      </c>
      <c r="C211" s="11" t="s">
        <v>277</v>
      </c>
      <c r="D211" s="11" t="s">
        <v>272</v>
      </c>
      <c r="E211" s="11" t="str">
        <f>'Sardina comun'!D61</f>
        <v>Sindicato de Trabajadores Independientes de Armadores y Pescadores Artesanales y Ramas afines, Registro Sindical Único 08.05.0512</v>
      </c>
      <c r="F211" s="11" t="s">
        <v>259</v>
      </c>
      <c r="G211" s="11" t="s">
        <v>260</v>
      </c>
      <c r="H211" s="11">
        <f>'Sardina comun'!F61</f>
        <v>2951.5039999999999</v>
      </c>
      <c r="I211" s="11">
        <f>'Sardina comun'!G61</f>
        <v>0</v>
      </c>
      <c r="J211" s="11">
        <f>'Sardina comun'!H61</f>
        <v>2951.5039999999999</v>
      </c>
      <c r="K211" s="11">
        <f>'Sardina comun'!I61</f>
        <v>2061.616</v>
      </c>
      <c r="L211" s="11">
        <f>'Sardina comun'!K61</f>
        <v>889.88799999999992</v>
      </c>
      <c r="M211" s="49">
        <f>'Sardina comun'!L61</f>
        <v>0.69849676639435354</v>
      </c>
      <c r="N211" s="55">
        <f>'Sardina comun'!M61</f>
        <v>0</v>
      </c>
      <c r="O211" s="34">
        <f>RESUMEN!$B$3</f>
        <v>44020</v>
      </c>
      <c r="P211" s="11">
        <v>2020</v>
      </c>
    </row>
    <row r="212" spans="1:16">
      <c r="A212" s="11" t="s">
        <v>174</v>
      </c>
      <c r="B212" s="11" t="s">
        <v>280</v>
      </c>
      <c r="C212" s="11" t="s">
        <v>277</v>
      </c>
      <c r="D212" s="11" t="s">
        <v>272</v>
      </c>
      <c r="E212" s="11" t="str">
        <f>'Sardina comun'!D62</f>
        <v>Sindicato de Trabajadores Independientes de la Pesca Artesanal de la Peninsula de Hualpen. Registro Sindical Único 08.05.0502</v>
      </c>
      <c r="F212" s="11" t="s">
        <v>259</v>
      </c>
      <c r="G212" s="11" t="s">
        <v>260</v>
      </c>
      <c r="H212" s="11">
        <f>'Sardina comun'!F62</f>
        <v>191.02699999999999</v>
      </c>
      <c r="I212" s="11">
        <f>'Sardina comun'!G62</f>
        <v>-142</v>
      </c>
      <c r="J212" s="11">
        <f>'Sardina comun'!H62</f>
        <v>49.026999999999987</v>
      </c>
      <c r="K212" s="11">
        <f>'Sardina comun'!I62</f>
        <v>45.25</v>
      </c>
      <c r="L212" s="11">
        <f>'Sardina comun'!K62</f>
        <v>3.7769999999999868</v>
      </c>
      <c r="M212" s="49">
        <f>'Sardina comun'!L62</f>
        <v>0.92296081750871994</v>
      </c>
      <c r="N212" s="55">
        <f>'Sardina comun'!M62</f>
        <v>0</v>
      </c>
      <c r="O212" s="34">
        <f>RESUMEN!$B$3</f>
        <v>44020</v>
      </c>
      <c r="P212" s="11">
        <v>2020</v>
      </c>
    </row>
    <row r="213" spans="1:16">
      <c r="A213" s="11" t="s">
        <v>174</v>
      </c>
      <c r="B213" s="11" t="s">
        <v>280</v>
      </c>
      <c r="C213" s="11" t="s">
        <v>277</v>
      </c>
      <c r="D213" s="11" t="s">
        <v>272</v>
      </c>
      <c r="E213" s="11" t="str">
        <f>'Sardina comun'!D63</f>
        <v>Sindicato de Trabajadores Independientes de la Pesca Artesanal, Armadores Artesanales Pelágicos Actividades Afines y Actividades Conexas de la Comuna de Talcahuano, "MAR AZUL".  Registro Sindical Único 08.05.0434</v>
      </c>
      <c r="F213" s="11" t="s">
        <v>259</v>
      </c>
      <c r="G213" s="11" t="s">
        <v>260</v>
      </c>
      <c r="H213" s="11">
        <f>'Sardina comun'!F63</f>
        <v>1360.4559999999999</v>
      </c>
      <c r="I213" s="11">
        <f>'Sardina comun'!G63</f>
        <v>0</v>
      </c>
      <c r="J213" s="11">
        <f>'Sardina comun'!H63</f>
        <v>1360.4559999999999</v>
      </c>
      <c r="K213" s="11">
        <f>'Sardina comun'!I63</f>
        <v>817.45699999999999</v>
      </c>
      <c r="L213" s="11">
        <f>'Sardina comun'!K63</f>
        <v>542.99899999999991</v>
      </c>
      <c r="M213" s="49">
        <f>'Sardina comun'!L63</f>
        <v>0.60086985540142424</v>
      </c>
      <c r="N213" s="55">
        <f>'Sardina comun'!M63</f>
        <v>0</v>
      </c>
      <c r="O213" s="34">
        <f>RESUMEN!$B$3</f>
        <v>44020</v>
      </c>
      <c r="P213" s="11">
        <v>2020</v>
      </c>
    </row>
    <row r="214" spans="1:16">
      <c r="A214" s="11" t="s">
        <v>174</v>
      </c>
      <c r="B214" s="11" t="s">
        <v>280</v>
      </c>
      <c r="C214" s="11" t="s">
        <v>277</v>
      </c>
      <c r="D214" s="11" t="s">
        <v>272</v>
      </c>
      <c r="E214" s="11" t="str">
        <f>'Sardina comun'!D64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14" s="11" t="s">
        <v>259</v>
      </c>
      <c r="G214" s="11" t="s">
        <v>260</v>
      </c>
      <c r="H214" s="11">
        <f>'Sardina comun'!F64</f>
        <v>2879.4789999999998</v>
      </c>
      <c r="I214" s="11">
        <f>'Sardina comun'!G64</f>
        <v>0</v>
      </c>
      <c r="J214" s="11">
        <f>'Sardina comun'!H64</f>
        <v>2879.4789999999998</v>
      </c>
      <c r="K214" s="11">
        <f>'Sardina comun'!I64</f>
        <v>2068.7530000000002</v>
      </c>
      <c r="L214" s="11">
        <f>'Sardina comun'!K64</f>
        <v>810.72599999999966</v>
      </c>
      <c r="M214" s="49">
        <f>'Sardina comun'!L64</f>
        <v>0.71844698294378961</v>
      </c>
      <c r="N214" s="55">
        <f>'Sardina comun'!M64</f>
        <v>0</v>
      </c>
      <c r="O214" s="34">
        <f>RESUMEN!$B$3</f>
        <v>44020</v>
      </c>
      <c r="P214" s="11">
        <v>2020</v>
      </c>
    </row>
    <row r="215" spans="1:16">
      <c r="A215" s="11" t="s">
        <v>174</v>
      </c>
      <c r="B215" s="11" t="s">
        <v>280</v>
      </c>
      <c r="C215" s="11" t="s">
        <v>277</v>
      </c>
      <c r="D215" s="11" t="s">
        <v>272</v>
      </c>
      <c r="E215" s="11" t="str">
        <f>'Sardina comun'!D65</f>
        <v>Sindicato de Trabajadores Independientes de Pescadores Artesanales Caleta Lo Rojas "SITRAINPAR". Registro Sindical Único 08.07.0287.</v>
      </c>
      <c r="F215" s="11" t="s">
        <v>259</v>
      </c>
      <c r="G215" s="11" t="s">
        <v>260</v>
      </c>
      <c r="H215" s="11">
        <f>'Sardina comun'!F65</f>
        <v>1354.364</v>
      </c>
      <c r="I215" s="11">
        <f>'Sardina comun'!G65</f>
        <v>633</v>
      </c>
      <c r="J215" s="11">
        <f>'Sardina comun'!H65</f>
        <v>1987.364</v>
      </c>
      <c r="K215" s="11">
        <f>'Sardina comun'!I65</f>
        <v>1446.6869999999999</v>
      </c>
      <c r="L215" s="11">
        <f>'Sardina comun'!K65</f>
        <v>540.67700000000013</v>
      </c>
      <c r="M215" s="49">
        <f>'Sardina comun'!L65</f>
        <v>0.72794264160968991</v>
      </c>
      <c r="N215" s="55">
        <f>'Sardina comun'!M65</f>
        <v>0</v>
      </c>
      <c r="O215" s="34">
        <f>RESUMEN!$B$3</f>
        <v>44020</v>
      </c>
      <c r="P215" s="11">
        <v>2020</v>
      </c>
    </row>
    <row r="216" spans="1:16">
      <c r="A216" s="11" t="s">
        <v>174</v>
      </c>
      <c r="B216" s="11" t="s">
        <v>280</v>
      </c>
      <c r="C216" s="11" t="s">
        <v>277</v>
      </c>
      <c r="D216" s="11" t="s">
        <v>272</v>
      </c>
      <c r="E216" s="11" t="str">
        <f>'Sardina comun'!D66</f>
        <v>Sindicato de Trabajadores Independientes de Pescadores Artesanales Lo Rojas y Caletas Anexas del Golfo de Arauco. Registro Sindical Único 08.07.0307</v>
      </c>
      <c r="F216" s="11" t="s">
        <v>259</v>
      </c>
      <c r="G216" s="11" t="s">
        <v>260</v>
      </c>
      <c r="H216" s="11">
        <f>'Sardina comun'!F66</f>
        <v>3549.1689999999999</v>
      </c>
      <c r="I216" s="11">
        <f>'Sardina comun'!G66</f>
        <v>-3539</v>
      </c>
      <c r="J216" s="11">
        <f>'Sardina comun'!H66</f>
        <v>10.168999999999869</v>
      </c>
      <c r="K216" s="11">
        <f>'Sardina comun'!I66</f>
        <v>0</v>
      </c>
      <c r="L216" s="11">
        <f>'Sardina comun'!K66</f>
        <v>10.168999999999869</v>
      </c>
      <c r="M216" s="49">
        <f>'Sardina comun'!L66</f>
        <v>0</v>
      </c>
      <c r="N216" s="55">
        <f>'Sardina comun'!M66</f>
        <v>0</v>
      </c>
      <c r="O216" s="34">
        <f>RESUMEN!$B$3</f>
        <v>44020</v>
      </c>
      <c r="P216" s="11">
        <v>2020</v>
      </c>
    </row>
    <row r="217" spans="1:16">
      <c r="A217" s="11" t="s">
        <v>174</v>
      </c>
      <c r="B217" s="11" t="s">
        <v>280</v>
      </c>
      <c r="C217" s="11" t="s">
        <v>277</v>
      </c>
      <c r="D217" s="11" t="s">
        <v>272</v>
      </c>
      <c r="E217" s="11" t="str">
        <f>'Sardina comun'!D67</f>
        <v>Sindicato de Trabajadores Independientes de Pescadores Artesanales y Actividades Conexas Caleta de Pueblo Hundido, La Conchilla y El Morro - LOTA. Registro Sindical Único 08.07.0061</v>
      </c>
      <c r="F217" s="11" t="s">
        <v>259</v>
      </c>
      <c r="G217" s="11" t="s">
        <v>260</v>
      </c>
      <c r="H217" s="11">
        <f>'Sardina comun'!F67</f>
        <v>22.021999999999998</v>
      </c>
      <c r="I217" s="11">
        <f>'Sardina comun'!G67</f>
        <v>0</v>
      </c>
      <c r="J217" s="11">
        <f>'Sardina comun'!H67</f>
        <v>22.021999999999998</v>
      </c>
      <c r="K217" s="11">
        <f>'Sardina comun'!I67</f>
        <v>3</v>
      </c>
      <c r="L217" s="11">
        <f>'Sardina comun'!K67</f>
        <v>19.021999999999998</v>
      </c>
      <c r="M217" s="49">
        <f>'Sardina comun'!L67</f>
        <v>0.13622740895468169</v>
      </c>
      <c r="N217" s="55">
        <f>'Sardina comun'!M67</f>
        <v>0</v>
      </c>
      <c r="O217" s="34">
        <f>RESUMEN!$B$3</f>
        <v>44020</v>
      </c>
      <c r="P217" s="11">
        <v>2020</v>
      </c>
    </row>
    <row r="218" spans="1:16">
      <c r="A218" s="11" t="s">
        <v>174</v>
      </c>
      <c r="B218" s="11" t="s">
        <v>280</v>
      </c>
      <c r="C218" s="11" t="s">
        <v>277</v>
      </c>
      <c r="D218" s="11" t="s">
        <v>272</v>
      </c>
      <c r="E218" s="11" t="str">
        <f>'Sardina comun'!D68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18" s="11" t="s">
        <v>259</v>
      </c>
      <c r="G218" s="11" t="s">
        <v>260</v>
      </c>
      <c r="H218" s="11">
        <f>'Sardina comun'!F68</f>
        <v>4814.58</v>
      </c>
      <c r="I218" s="11">
        <f>'Sardina comun'!G68</f>
        <v>0</v>
      </c>
      <c r="J218" s="11">
        <f>'Sardina comun'!H68</f>
        <v>4814.58</v>
      </c>
      <c r="K218" s="11">
        <f>'Sardina comun'!I68</f>
        <v>3404.9349999999999</v>
      </c>
      <c r="L218" s="11">
        <f>'Sardina comun'!K68</f>
        <v>1409.645</v>
      </c>
      <c r="M218" s="49">
        <f>'Sardina comun'!L68</f>
        <v>0.70721329794083809</v>
      </c>
      <c r="N218" s="55">
        <f>'Sardina comun'!M68</f>
        <v>0</v>
      </c>
      <c r="O218" s="34">
        <f>RESUMEN!$B$3</f>
        <v>44020</v>
      </c>
      <c r="P218" s="11">
        <v>2020</v>
      </c>
    </row>
    <row r="219" spans="1:16">
      <c r="A219" s="11" t="s">
        <v>174</v>
      </c>
      <c r="B219" s="11" t="s">
        <v>280</v>
      </c>
      <c r="C219" s="11" t="s">
        <v>277</v>
      </c>
      <c r="D219" s="11" t="s">
        <v>272</v>
      </c>
      <c r="E219" s="11" t="str">
        <f>'Sardina comun'!D69</f>
        <v>Sindicato de Trabajadores Independientes Pescadores Armadores y Ramos Afines de la Pesca Artesanal, APAT, Registro Sindical Único 08.05.0380</v>
      </c>
      <c r="F219" s="11" t="s">
        <v>259</v>
      </c>
      <c r="G219" s="11" t="s">
        <v>260</v>
      </c>
      <c r="H219" s="11">
        <f>'Sardina comun'!F69</f>
        <v>1286.9359999999999</v>
      </c>
      <c r="I219" s="11">
        <f>'Sardina comun'!G69</f>
        <v>0</v>
      </c>
      <c r="J219" s="11">
        <f>'Sardina comun'!H69</f>
        <v>1286.9359999999999</v>
      </c>
      <c r="K219" s="11">
        <f>'Sardina comun'!I69</f>
        <v>1205.5360000000001</v>
      </c>
      <c r="L219" s="11">
        <f>'Sardina comun'!K69</f>
        <v>81.399999999999864</v>
      </c>
      <c r="M219" s="49">
        <f>'Sardina comun'!L69</f>
        <v>0.93674899140283596</v>
      </c>
      <c r="N219" s="55">
        <f>'Sardina comun'!M69</f>
        <v>0</v>
      </c>
      <c r="O219" s="34">
        <f>RESUMEN!$B$3</f>
        <v>44020</v>
      </c>
      <c r="P219" s="11">
        <v>2020</v>
      </c>
    </row>
    <row r="220" spans="1:16">
      <c r="A220" s="11" t="s">
        <v>174</v>
      </c>
      <c r="B220" s="11" t="s">
        <v>280</v>
      </c>
      <c r="C220" s="11" t="s">
        <v>277</v>
      </c>
      <c r="D220" s="11" t="s">
        <v>272</v>
      </c>
      <c r="E220" s="11" t="str">
        <f>'Sardina comun'!D70</f>
        <v>Sindicato de Trabajadores Independientes Pescadores Artesanales de Caleta Tumbes - Talcahuano, Registro Sindical Único 08.05.0057</v>
      </c>
      <c r="F220" s="11" t="s">
        <v>259</v>
      </c>
      <c r="G220" s="11" t="s">
        <v>260</v>
      </c>
      <c r="H220" s="11">
        <f>'Sardina comun'!F70</f>
        <v>6088.9160000000002</v>
      </c>
      <c r="I220" s="11">
        <f>'Sardina comun'!G70</f>
        <v>-2747</v>
      </c>
      <c r="J220" s="11">
        <f>'Sardina comun'!H70</f>
        <v>3341.9160000000002</v>
      </c>
      <c r="K220" s="11">
        <f>'Sardina comun'!I70</f>
        <v>2109.578</v>
      </c>
      <c r="L220" s="11">
        <f>'Sardina comun'!K70</f>
        <v>1232.3380000000002</v>
      </c>
      <c r="M220" s="49">
        <f>'Sardina comun'!L70</f>
        <v>0.63124806248870402</v>
      </c>
      <c r="N220" s="55">
        <f>'Sardina comun'!M70</f>
        <v>0</v>
      </c>
      <c r="O220" s="34">
        <f>RESUMEN!$B$3</f>
        <v>44020</v>
      </c>
      <c r="P220" s="11">
        <v>2020</v>
      </c>
    </row>
    <row r="221" spans="1:16">
      <c r="A221" s="11" t="s">
        <v>174</v>
      </c>
      <c r="B221" s="11" t="s">
        <v>280</v>
      </c>
      <c r="C221" s="11" t="s">
        <v>277</v>
      </c>
      <c r="D221" s="11" t="s">
        <v>272</v>
      </c>
      <c r="E221" s="11" t="str">
        <f>'Sardina comun'!D71</f>
        <v>Sindicato de Trabajadores Independientes Pescadores Artesanales Históricos de Talcahuano, "SPARHITAL". Registro Sindical Único 08.05.0382</v>
      </c>
      <c r="F221" s="11" t="s">
        <v>259</v>
      </c>
      <c r="G221" s="11" t="s">
        <v>260</v>
      </c>
      <c r="H221" s="11">
        <f>'Sardina comun'!F71</f>
        <v>1772.163</v>
      </c>
      <c r="I221" s="11">
        <f>'Sardina comun'!G71</f>
        <v>-1583.5</v>
      </c>
      <c r="J221" s="11">
        <f>'Sardina comun'!H71</f>
        <v>188.66300000000001</v>
      </c>
      <c r="K221" s="11">
        <f>'Sardina comun'!I71</f>
        <v>236.29400000000001</v>
      </c>
      <c r="L221" s="11">
        <f>'Sardina comun'!K71</f>
        <v>-47.631</v>
      </c>
      <c r="M221" s="49">
        <f>'Sardina comun'!L71</f>
        <v>1.2524660373258136</v>
      </c>
      <c r="N221" s="55">
        <f>'Sardina comun'!M71</f>
        <v>0</v>
      </c>
      <c r="O221" s="34">
        <f>RESUMEN!$B$3</f>
        <v>44020</v>
      </c>
      <c r="P221" s="11">
        <v>2020</v>
      </c>
    </row>
    <row r="222" spans="1:16">
      <c r="A222" s="11" t="s">
        <v>174</v>
      </c>
      <c r="B222" s="11" t="s">
        <v>280</v>
      </c>
      <c r="C222" s="11" t="s">
        <v>277</v>
      </c>
      <c r="D222" s="11" t="s">
        <v>272</v>
      </c>
      <c r="E222" s="11" t="str">
        <f>'Sardina comun'!D72</f>
        <v>Sindicato de Trabajadores Independientes Pescadores Artesanales Península de Tumbes, Registro Sindical Único 08.05.0391</v>
      </c>
      <c r="F222" s="11" t="s">
        <v>259</v>
      </c>
      <c r="G222" s="11" t="s">
        <v>260</v>
      </c>
      <c r="H222" s="11">
        <f>'Sardina comun'!F72</f>
        <v>2925.18</v>
      </c>
      <c r="I222" s="11">
        <f>'Sardina comun'!G72</f>
        <v>-245</v>
      </c>
      <c r="J222" s="11">
        <f>'Sardina comun'!H72</f>
        <v>2680.18</v>
      </c>
      <c r="K222" s="11">
        <f>'Sardina comun'!I72</f>
        <v>1965.675</v>
      </c>
      <c r="L222" s="11">
        <f>'Sardina comun'!K72</f>
        <v>714.50499999999988</v>
      </c>
      <c r="M222" s="49">
        <f>'Sardina comun'!L72</f>
        <v>0.73341156191002099</v>
      </c>
      <c r="N222" s="55">
        <f>'Sardina comun'!M72</f>
        <v>0</v>
      </c>
      <c r="O222" s="34">
        <f>RESUMEN!$B$3</f>
        <v>44020</v>
      </c>
      <c r="P222" s="11">
        <v>2020</v>
      </c>
    </row>
    <row r="223" spans="1:16">
      <c r="A223" s="11" t="s">
        <v>174</v>
      </c>
      <c r="B223" s="11" t="s">
        <v>280</v>
      </c>
      <c r="C223" s="11" t="s">
        <v>277</v>
      </c>
      <c r="D223" s="11" t="s">
        <v>272</v>
      </c>
      <c r="E223" s="11" t="str">
        <f>'Sardina comun'!D73</f>
        <v xml:space="preserve"> Sindicato de Trabajadores Independientes Pescadores Artesanales, Armadores y Actividades Conexas de la Caleta Coliumo, Registro Sindical Único 08.06.0150</v>
      </c>
      <c r="F223" s="11" t="s">
        <v>259</v>
      </c>
      <c r="G223" s="11" t="s">
        <v>260</v>
      </c>
      <c r="H223" s="11">
        <f>'Sardina comun'!F73</f>
        <v>5014.7879999999996</v>
      </c>
      <c r="I223" s="11">
        <f>'Sardina comun'!G73</f>
        <v>350</v>
      </c>
      <c r="J223" s="11">
        <f>'Sardina comun'!H73</f>
        <v>5364.7879999999996</v>
      </c>
      <c r="K223" s="11">
        <f>'Sardina comun'!I73</f>
        <v>5464.8419999999996</v>
      </c>
      <c r="L223" s="11">
        <f>'Sardina comun'!K73</f>
        <v>-100.05400000000009</v>
      </c>
      <c r="M223" s="49">
        <f>'Sardina comun'!L73</f>
        <v>1.0186501311887814</v>
      </c>
      <c r="N223" s="55">
        <f>'Sardina comun'!M73</f>
        <v>0</v>
      </c>
      <c r="O223" s="34">
        <f>RESUMEN!$B$3</f>
        <v>44020</v>
      </c>
      <c r="P223" s="11">
        <v>2020</v>
      </c>
    </row>
    <row r="224" spans="1:16">
      <c r="A224" s="11" t="s">
        <v>174</v>
      </c>
      <c r="B224" s="11" t="s">
        <v>280</v>
      </c>
      <c r="C224" s="11" t="s">
        <v>277</v>
      </c>
      <c r="D224" s="11" t="s">
        <v>272</v>
      </c>
      <c r="E224" s="11" t="str">
        <f>'Sardina comun'!D74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24" s="11" t="s">
        <v>259</v>
      </c>
      <c r="G224" s="11" t="s">
        <v>260</v>
      </c>
      <c r="H224" s="11">
        <f>'Sardina comun'!F74</f>
        <v>770.202</v>
      </c>
      <c r="I224" s="11">
        <f>'Sardina comun'!G74</f>
        <v>-530.9</v>
      </c>
      <c r="J224" s="11">
        <f>'Sardina comun'!H74</f>
        <v>239.30200000000002</v>
      </c>
      <c r="K224" s="11">
        <f>'Sardina comun'!I74</f>
        <v>272.29399999999998</v>
      </c>
      <c r="L224" s="11">
        <f>'Sardina comun'!K74</f>
        <v>-32.991999999999962</v>
      </c>
      <c r="M224" s="49">
        <f>'Sardina comun'!L74</f>
        <v>1.1378676316955143</v>
      </c>
      <c r="N224" s="55">
        <f>'Sardina comun'!M74</f>
        <v>43928</v>
      </c>
      <c r="O224" s="34">
        <f>RESUMEN!$B$3</f>
        <v>44020</v>
      </c>
      <c r="P224" s="11">
        <v>2020</v>
      </c>
    </row>
    <row r="225" spans="1:16">
      <c r="A225" s="11" t="s">
        <v>174</v>
      </c>
      <c r="B225" s="11" t="s">
        <v>280</v>
      </c>
      <c r="C225" s="11" t="s">
        <v>277</v>
      </c>
      <c r="D225" s="11" t="s">
        <v>272</v>
      </c>
      <c r="E225" s="11" t="str">
        <f>'Sardina comun'!D75</f>
        <v>Sindicato de Trabajadores Independientes Pescadores Artesanales, Buzos Mariscadores, Armadores Artesanales y Actividades Conexas de Coronel y del Golfo de Arauco VIII Region "SIPARBUMAR CORONEL". Registro Sindical Único 08.07.0183</v>
      </c>
      <c r="F225" s="11" t="s">
        <v>259</v>
      </c>
      <c r="G225" s="11" t="s">
        <v>260</v>
      </c>
      <c r="H225" s="11">
        <f>'Sardina comun'!F75</f>
        <v>7402.1620000000003</v>
      </c>
      <c r="I225" s="11">
        <f>'Sardina comun'!G75</f>
        <v>3039.2669999999998</v>
      </c>
      <c r="J225" s="11">
        <f>'Sardina comun'!H75</f>
        <v>10441.429</v>
      </c>
      <c r="K225" s="11">
        <f>'Sardina comun'!I75</f>
        <v>8051.9229999999998</v>
      </c>
      <c r="L225" s="11">
        <f>'Sardina comun'!K75</f>
        <v>2389.5060000000003</v>
      </c>
      <c r="M225" s="49">
        <f>'Sardina comun'!L75</f>
        <v>0.77115143913730577</v>
      </c>
      <c r="N225" s="55">
        <f>'Sardina comun'!M75</f>
        <v>0</v>
      </c>
      <c r="O225" s="34">
        <f>RESUMEN!$B$3</f>
        <v>44020</v>
      </c>
      <c r="P225" s="11">
        <v>2020</v>
      </c>
    </row>
    <row r="226" spans="1:16">
      <c r="A226" s="11" t="s">
        <v>174</v>
      </c>
      <c r="B226" s="11" t="s">
        <v>280</v>
      </c>
      <c r="C226" s="11" t="s">
        <v>277</v>
      </c>
      <c r="D226" s="11" t="s">
        <v>272</v>
      </c>
      <c r="E226" s="11" t="str">
        <f>'Sardina comun'!D76</f>
        <v xml:space="preserve"> Sindicato de Trabajadores Independientes Pescadores Artesanales, Lancheros, Acuicultores y Actividades Conexas de Caleta Lota Bajo "SIPESCA", Registro Sindical Único 08.07.0106</v>
      </c>
      <c r="F226" s="11" t="s">
        <v>259</v>
      </c>
      <c r="G226" s="11" t="s">
        <v>260</v>
      </c>
      <c r="H226" s="11">
        <f>'Sardina comun'!F76</f>
        <v>55.088000000000001</v>
      </c>
      <c r="I226" s="11">
        <f>'Sardina comun'!G76</f>
        <v>0</v>
      </c>
      <c r="J226" s="11">
        <f>'Sardina comun'!H76</f>
        <v>55.088000000000001</v>
      </c>
      <c r="K226" s="11">
        <f>'Sardina comun'!I76</f>
        <v>84.12</v>
      </c>
      <c r="L226" s="11">
        <f>'Sardina comun'!K76</f>
        <v>-29.032000000000004</v>
      </c>
      <c r="M226" s="49">
        <f>'Sardina comun'!L76</f>
        <v>1.5270113273308161</v>
      </c>
      <c r="N226" s="55">
        <f>'Sardina comun'!M76</f>
        <v>43921</v>
      </c>
      <c r="O226" s="34">
        <f>RESUMEN!$B$3</f>
        <v>44020</v>
      </c>
      <c r="P226" s="11">
        <v>2020</v>
      </c>
    </row>
    <row r="227" spans="1:16">
      <c r="A227" s="11" t="s">
        <v>174</v>
      </c>
      <c r="B227" s="11" t="s">
        <v>280</v>
      </c>
      <c r="C227" s="11" t="s">
        <v>277</v>
      </c>
      <c r="D227" s="11" t="s">
        <v>272</v>
      </c>
      <c r="E227" s="11" t="str">
        <f>'Sardina comun'!D77</f>
        <v>Sindicato de Trabajadores Independientes Pescadores de la Caleta Cocholgüe, Registro Sindical Único 08.06.0023</v>
      </c>
      <c r="F227" s="11" t="s">
        <v>259</v>
      </c>
      <c r="G227" s="11" t="s">
        <v>260</v>
      </c>
      <c r="H227" s="11">
        <f>'Sardina comun'!F77</f>
        <v>2.6579999999999999</v>
      </c>
      <c r="I227" s="11">
        <f>'Sardina comun'!G77</f>
        <v>0</v>
      </c>
      <c r="J227" s="11">
        <f>'Sardina comun'!H77</f>
        <v>2.6579999999999999</v>
      </c>
      <c r="K227" s="11">
        <f>'Sardina comun'!I77</f>
        <v>0</v>
      </c>
      <c r="L227" s="11">
        <f>'Sardina comun'!K77</f>
        <v>2.6579999999999999</v>
      </c>
      <c r="M227" s="49">
        <f>'Sardina comun'!L77</f>
        <v>0</v>
      </c>
      <c r="N227" s="55">
        <f>'Sardina comun'!M77</f>
        <v>0</v>
      </c>
      <c r="O227" s="34">
        <f>RESUMEN!$B$3</f>
        <v>44020</v>
      </c>
      <c r="P227" s="11">
        <v>2020</v>
      </c>
    </row>
    <row r="228" spans="1:16">
      <c r="A228" s="11" t="s">
        <v>174</v>
      </c>
      <c r="B228" s="11" t="s">
        <v>280</v>
      </c>
      <c r="C228" s="11" t="s">
        <v>277</v>
      </c>
      <c r="D228" s="11" t="s">
        <v>272</v>
      </c>
      <c r="E228" s="11" t="str">
        <f>'Sardina comun'!D78</f>
        <v xml:space="preserve"> Sindicato de Trabajadores Independientes Pescadores de la Caleta Coliumo, Registro Sindical Único 08.06.0027</v>
      </c>
      <c r="F228" s="11" t="s">
        <v>259</v>
      </c>
      <c r="G228" s="11" t="s">
        <v>260</v>
      </c>
      <c r="H228" s="11">
        <f>'Sardina comun'!F78</f>
        <v>8597.3870000000006</v>
      </c>
      <c r="I228" s="11">
        <f>'Sardina comun'!G78</f>
        <v>-526.70000000000005</v>
      </c>
      <c r="J228" s="11">
        <f>'Sardina comun'!H78</f>
        <v>8070.6870000000008</v>
      </c>
      <c r="K228" s="11">
        <f>'Sardina comun'!I78</f>
        <v>4635.942</v>
      </c>
      <c r="L228" s="11">
        <f>'Sardina comun'!K78</f>
        <v>3434.7450000000008</v>
      </c>
      <c r="M228" s="49">
        <f>'Sardina comun'!L78</f>
        <v>0.57441727079739302</v>
      </c>
      <c r="N228" s="55">
        <f>'Sardina comun'!M78</f>
        <v>0</v>
      </c>
      <c r="O228" s="34">
        <f>RESUMEN!$B$3</f>
        <v>44020</v>
      </c>
      <c r="P228" s="11">
        <v>2020</v>
      </c>
    </row>
    <row r="229" spans="1:16">
      <c r="A229" s="11" t="s">
        <v>174</v>
      </c>
      <c r="B229" s="11" t="s">
        <v>280</v>
      </c>
      <c r="C229" s="11" t="s">
        <v>277</v>
      </c>
      <c r="D229" s="11" t="s">
        <v>272</v>
      </c>
      <c r="E229" s="11" t="str">
        <f>'Sardina comun'!D79</f>
        <v xml:space="preserve"> Sindicato de Trabajadores Independientes Pescadores y Armadores y Ramos Afines de la Pesca Artesanal, "EPES LOTA"Registro Sindical Único N°08.07.0510</v>
      </c>
      <c r="F229" s="11" t="s">
        <v>259</v>
      </c>
      <c r="G229" s="11" t="s">
        <v>260</v>
      </c>
      <c r="H229" s="11">
        <f>'Sardina comun'!F79</f>
        <v>2345.6260000000002</v>
      </c>
      <c r="I229" s="11">
        <f>'Sardina comun'!G79</f>
        <v>855.6</v>
      </c>
      <c r="J229" s="11">
        <f>'Sardina comun'!H79</f>
        <v>3201.2260000000001</v>
      </c>
      <c r="K229" s="11">
        <f>'Sardina comun'!I79</f>
        <v>2282.7420000000002</v>
      </c>
      <c r="L229" s="11">
        <f>'Sardina comun'!K79</f>
        <v>918.48399999999992</v>
      </c>
      <c r="M229" s="49">
        <f>'Sardina comun'!L79</f>
        <v>0.71308367481708579</v>
      </c>
      <c r="N229" s="55">
        <f>'Sardina comun'!M79</f>
        <v>0</v>
      </c>
      <c r="O229" s="34">
        <f>RESUMEN!$B$3</f>
        <v>44020</v>
      </c>
      <c r="P229" s="11">
        <v>2020</v>
      </c>
    </row>
    <row r="230" spans="1:16">
      <c r="A230" s="11" t="s">
        <v>174</v>
      </c>
      <c r="B230" s="11" t="s">
        <v>280</v>
      </c>
      <c r="C230" s="11" t="s">
        <v>277</v>
      </c>
      <c r="D230" s="11" t="s">
        <v>272</v>
      </c>
      <c r="E230" s="11" t="str">
        <f>'Sardina comun'!D80</f>
        <v>Sindicato de Trabajadores Independientes Pescadores y Armadores y Ramos Afines de la Pesca Artesanal, "LOTA PESCA", Registro Sindical Único 08.07.0495</v>
      </c>
      <c r="F230" s="11" t="s">
        <v>259</v>
      </c>
      <c r="G230" s="11" t="s">
        <v>260</v>
      </c>
      <c r="H230" s="11">
        <f>'Sardina comun'!F80</f>
        <v>2355.3539999999998</v>
      </c>
      <c r="I230" s="11">
        <f>'Sardina comun'!G80</f>
        <v>904.8</v>
      </c>
      <c r="J230" s="11">
        <f>'Sardina comun'!H80</f>
        <v>3260.1539999999995</v>
      </c>
      <c r="K230" s="11">
        <f>'Sardina comun'!I80</f>
        <v>2176.6849999999999</v>
      </c>
      <c r="L230" s="11">
        <f>'Sardina comun'!K80</f>
        <v>1083.4689999999996</v>
      </c>
      <c r="M230" s="49">
        <f>'Sardina comun'!L80</f>
        <v>0.66766324535589427</v>
      </c>
      <c r="N230" s="55">
        <f>'Sardina comun'!M80</f>
        <v>0</v>
      </c>
      <c r="O230" s="34">
        <f>RESUMEN!$B$3</f>
        <v>44020</v>
      </c>
      <c r="P230" s="11">
        <v>2020</v>
      </c>
    </row>
    <row r="231" spans="1:16">
      <c r="A231" s="11" t="s">
        <v>174</v>
      </c>
      <c r="B231" s="11" t="s">
        <v>280</v>
      </c>
      <c r="C231" s="11" t="s">
        <v>277</v>
      </c>
      <c r="D231" s="11" t="s">
        <v>272</v>
      </c>
      <c r="E231" s="11" t="str">
        <f>'Sardina comun'!D81</f>
        <v xml:space="preserve"> Sindicato de Trabajadores Independientes Pescadores,  Armadores y  Buzos Mariscadores  y Actividades conexas de Talcahuano "SIPARBUM". Registro Sindical Único 08.05.0424</v>
      </c>
      <c r="F231" s="11" t="s">
        <v>259</v>
      </c>
      <c r="G231" s="11" t="s">
        <v>260</v>
      </c>
      <c r="H231" s="11">
        <f>'Sardina comun'!F81</f>
        <v>1291.73</v>
      </c>
      <c r="I231" s="11">
        <f>'Sardina comun'!G81</f>
        <v>-361.8</v>
      </c>
      <c r="J231" s="11">
        <f>'Sardina comun'!H81</f>
        <v>929.93000000000006</v>
      </c>
      <c r="K231" s="11">
        <f>'Sardina comun'!I81</f>
        <v>1206.7760000000001</v>
      </c>
      <c r="L231" s="11">
        <f>'Sardina comun'!K81</f>
        <v>-276.846</v>
      </c>
      <c r="M231" s="49">
        <f>'Sardina comun'!L81</f>
        <v>1.297706278967234</v>
      </c>
      <c r="N231" s="55">
        <f>'Sardina comun'!M81</f>
        <v>0</v>
      </c>
      <c r="O231" s="34">
        <f>RESUMEN!$B$3</f>
        <v>44020</v>
      </c>
      <c r="P231" s="11">
        <v>2020</v>
      </c>
    </row>
    <row r="232" spans="1:16">
      <c r="A232" s="11" t="s">
        <v>174</v>
      </c>
      <c r="B232" s="11" t="s">
        <v>280</v>
      </c>
      <c r="C232" s="11" t="s">
        <v>277</v>
      </c>
      <c r="D232" s="11" t="s">
        <v>272</v>
      </c>
      <c r="E232" s="11" t="str">
        <f>'Sardina comun'!D82</f>
        <v xml:space="preserve"> Sindicato de Trabajadores Independientes Pescadores, Armadores  y ramas afines de la Pesca Artesanal "JUANOVOAARCE-LOTA" Registro Sindical Unico 08.07.0485</v>
      </c>
      <c r="F232" s="11" t="s">
        <v>259</v>
      </c>
      <c r="G232" s="11" t="s">
        <v>260</v>
      </c>
      <c r="H232" s="11">
        <f>'Sardina comun'!F82</f>
        <v>677.47900000000004</v>
      </c>
      <c r="I232" s="11">
        <f>'Sardina comun'!G82</f>
        <v>0</v>
      </c>
      <c r="J232" s="11">
        <f>'Sardina comun'!H82</f>
        <v>677.47900000000004</v>
      </c>
      <c r="K232" s="11">
        <f>'Sardina comun'!I82</f>
        <v>417.50799999999998</v>
      </c>
      <c r="L232" s="11">
        <f>'Sardina comun'!K82</f>
        <v>259.97100000000006</v>
      </c>
      <c r="M232" s="49">
        <f>'Sardina comun'!L82</f>
        <v>0.61626707248490353</v>
      </c>
      <c r="N232" s="55">
        <f>'Sardina comun'!M82</f>
        <v>0</v>
      </c>
      <c r="O232" s="34">
        <f>RESUMEN!$B$3</f>
        <v>44020</v>
      </c>
      <c r="P232" s="11">
        <v>2020</v>
      </c>
    </row>
    <row r="233" spans="1:16">
      <c r="A233" s="11" t="s">
        <v>174</v>
      </c>
      <c r="B233" s="11" t="s">
        <v>280</v>
      </c>
      <c r="C233" s="11" t="s">
        <v>277</v>
      </c>
      <c r="D233" s="11" t="s">
        <v>272</v>
      </c>
      <c r="E233" s="11" t="str">
        <f>'Sardina comun'!D83</f>
        <v xml:space="preserve"> Sindicato de Trabajadores Independientes Pescadores, Armadores Artesanales, Buzos, Acuicultores y Ramos Afines de la Pesca Artesanal, Comuna de Talcahuano "SIPEARTAL". Registro Sindical Único 08.05.0487.</v>
      </c>
      <c r="F233" s="11" t="s">
        <v>259</v>
      </c>
      <c r="G233" s="11" t="s">
        <v>260</v>
      </c>
      <c r="H233" s="11">
        <f>'Sardina comun'!F83</f>
        <v>3366.1419999999998</v>
      </c>
      <c r="I233" s="11">
        <f>'Sardina comun'!G83</f>
        <v>500</v>
      </c>
      <c r="J233" s="11">
        <f>'Sardina comun'!H83</f>
        <v>3866.1419999999998</v>
      </c>
      <c r="K233" s="11">
        <f>'Sardina comun'!I83</f>
        <v>3318.4679999999998</v>
      </c>
      <c r="L233" s="11">
        <f>'Sardina comun'!K83</f>
        <v>547.67399999999998</v>
      </c>
      <c r="M233" s="49">
        <f>'Sardina comun'!L83</f>
        <v>0.85834095074624783</v>
      </c>
      <c r="N233" s="55">
        <f>'Sardina comun'!M83</f>
        <v>0</v>
      </c>
      <c r="O233" s="34">
        <f>RESUMEN!$B$3</f>
        <v>44020</v>
      </c>
      <c r="P233" s="11">
        <v>2020</v>
      </c>
    </row>
    <row r="234" spans="1:16">
      <c r="A234" s="11" t="s">
        <v>174</v>
      </c>
      <c r="B234" s="11" t="s">
        <v>280</v>
      </c>
      <c r="C234" s="11" t="s">
        <v>277</v>
      </c>
      <c r="D234" s="11" t="s">
        <v>272</v>
      </c>
      <c r="E234" s="11" t="str">
        <f>'Sardina comun'!D84</f>
        <v>Sindicato de Trabajadores Independientes Pescadores, Armadores y Ramas Afines de la Pesca Artesanal de Coronel "SIPESMAFESA". Registro Sindical Único 08.07.0332</v>
      </c>
      <c r="F234" s="11" t="s">
        <v>259</v>
      </c>
      <c r="G234" s="11" t="s">
        <v>260</v>
      </c>
      <c r="H234" s="11">
        <f>'Sardina comun'!F84</f>
        <v>3642.2330000000002</v>
      </c>
      <c r="I234" s="11">
        <f>'Sardina comun'!G84</f>
        <v>700</v>
      </c>
      <c r="J234" s="11">
        <f>'Sardina comun'!H84</f>
        <v>4342.2330000000002</v>
      </c>
      <c r="K234" s="11">
        <f>'Sardina comun'!I84</f>
        <v>1954.0740000000001</v>
      </c>
      <c r="L234" s="11">
        <f>'Sardina comun'!K84</f>
        <v>2388.1590000000001</v>
      </c>
      <c r="M234" s="49">
        <f>'Sardina comun'!L84</f>
        <v>0.4500159249860613</v>
      </c>
      <c r="N234" s="55">
        <f>'Sardina comun'!M84</f>
        <v>0</v>
      </c>
      <c r="O234" s="34">
        <f>RESUMEN!$B$3</f>
        <v>44020</v>
      </c>
      <c r="P234" s="11">
        <v>2020</v>
      </c>
    </row>
    <row r="235" spans="1:16">
      <c r="A235" s="11" t="s">
        <v>174</v>
      </c>
      <c r="B235" s="11" t="s">
        <v>280</v>
      </c>
      <c r="C235" s="11" t="s">
        <v>277</v>
      </c>
      <c r="D235" s="11" t="s">
        <v>272</v>
      </c>
      <c r="E235" s="11" t="str">
        <f>'Sardina comun'!D85</f>
        <v>Sindicato de Trabajadores Independientes Pescadores, Armadores y Ramos Afines "SIPEAYRAS" de Lota. Registro Sindical Único 08.07.0296</v>
      </c>
      <c r="F235" s="11" t="s">
        <v>259</v>
      </c>
      <c r="G235" s="11" t="s">
        <v>260</v>
      </c>
      <c r="H235" s="11">
        <f>'Sardina comun'!F85</f>
        <v>1012.629</v>
      </c>
      <c r="I235" s="11">
        <f>'Sardina comun'!G85</f>
        <v>0</v>
      </c>
      <c r="J235" s="11">
        <f>'Sardina comun'!H85</f>
        <v>1012.629</v>
      </c>
      <c r="K235" s="11">
        <f>'Sardina comun'!I85</f>
        <v>307.39800000000002</v>
      </c>
      <c r="L235" s="11">
        <f>'Sardina comun'!K85</f>
        <v>705.23099999999999</v>
      </c>
      <c r="M235" s="49">
        <f>'Sardina comun'!L85</f>
        <v>0.30356428662422269</v>
      </c>
      <c r="N235" s="55">
        <f>'Sardina comun'!M85</f>
        <v>0</v>
      </c>
      <c r="O235" s="34">
        <f>RESUMEN!$B$3</f>
        <v>44020</v>
      </c>
      <c r="P235" s="11">
        <v>2020</v>
      </c>
    </row>
    <row r="236" spans="1:16">
      <c r="A236" s="11" t="s">
        <v>174</v>
      </c>
      <c r="B236" s="11" t="s">
        <v>280</v>
      </c>
      <c r="C236" s="11" t="s">
        <v>277</v>
      </c>
      <c r="D236" s="11" t="s">
        <v>272</v>
      </c>
      <c r="E236" s="11" t="str">
        <f>'Sardina comun'!D86</f>
        <v>Sindicato de Trabajadores Independientes Pescadores, Armadores y Ramos Afines de la Pesca Artesanal de Coronel, SIPARMAR CORONEL , Registro Sindical Único 08.07.0271</v>
      </c>
      <c r="F236" s="11" t="s">
        <v>259</v>
      </c>
      <c r="G236" s="11" t="s">
        <v>260</v>
      </c>
      <c r="H236" s="11">
        <f>'Sardina comun'!F86</f>
        <v>2801.029</v>
      </c>
      <c r="I236" s="11">
        <f>'Sardina comun'!G86</f>
        <v>-1390</v>
      </c>
      <c r="J236" s="11">
        <f>'Sardina comun'!H86</f>
        <v>1411.029</v>
      </c>
      <c r="K236" s="11">
        <f>'Sardina comun'!I86</f>
        <v>1210.328</v>
      </c>
      <c r="L236" s="11">
        <f>'Sardina comun'!K86</f>
        <v>200.70100000000002</v>
      </c>
      <c r="M236" s="49">
        <f>'Sardina comun'!L86</f>
        <v>0.85776266823715175</v>
      </c>
      <c r="N236" s="55">
        <f>'Sardina comun'!M86</f>
        <v>0</v>
      </c>
      <c r="O236" s="34">
        <f>RESUMEN!$B$3</f>
        <v>44020</v>
      </c>
      <c r="P236" s="11">
        <v>2020</v>
      </c>
    </row>
    <row r="237" spans="1:16">
      <c r="A237" s="11" t="s">
        <v>174</v>
      </c>
      <c r="B237" s="11" t="s">
        <v>280</v>
      </c>
      <c r="C237" s="11" t="s">
        <v>277</v>
      </c>
      <c r="D237" s="11" t="s">
        <v>272</v>
      </c>
      <c r="E237" s="11" t="str">
        <f>'Sardina comun'!D87</f>
        <v>Sindicato de Trabajadores Independientes Pescdores y Armadores artesanales de embarcaciones menores de la Caleta de Tumbes "SIPEAREM" Comuna Talcahuano, Registro Sindical Único 08.05.0569</v>
      </c>
      <c r="F237" s="11" t="s">
        <v>259</v>
      </c>
      <c r="G237" s="11" t="s">
        <v>260</v>
      </c>
      <c r="H237" s="11">
        <f>'Sardina comun'!F87</f>
        <v>553.86099999999999</v>
      </c>
      <c r="I237" s="11">
        <f>'Sardina comun'!G87</f>
        <v>-177</v>
      </c>
      <c r="J237" s="11">
        <f>'Sardina comun'!H87</f>
        <v>376.86099999999999</v>
      </c>
      <c r="K237" s="11">
        <f>'Sardina comun'!I87</f>
        <v>510.54700000000003</v>
      </c>
      <c r="L237" s="11">
        <f>'Sardina comun'!K87</f>
        <v>-133.68600000000004</v>
      </c>
      <c r="M237" s="49">
        <f>'Sardina comun'!L87</f>
        <v>1.3547355656329523</v>
      </c>
      <c r="N237" s="55">
        <f>'Sardina comun'!M87</f>
        <v>0</v>
      </c>
      <c r="O237" s="34">
        <f>RESUMEN!$B$3</f>
        <v>44020</v>
      </c>
      <c r="P237" s="11">
        <v>2020</v>
      </c>
    </row>
    <row r="238" spans="1:16">
      <c r="A238" s="11" t="s">
        <v>174</v>
      </c>
      <c r="B238" s="11" t="s">
        <v>280</v>
      </c>
      <c r="C238" s="11" t="s">
        <v>277</v>
      </c>
      <c r="D238" s="11" t="s">
        <v>272</v>
      </c>
      <c r="E238" s="11" t="str">
        <f>'Sardina comun'!D88</f>
        <v>Sindicato de Trabajadores Independientes, Ayudantes de Buzos, Pescadores Artesanales y Algueras y Actividades Conexas de las Caletas Tomé y Quichiuto, Registro Sindical Único 08.06.0043</v>
      </c>
      <c r="F238" s="11" t="s">
        <v>259</v>
      </c>
      <c r="G238" s="11" t="s">
        <v>260</v>
      </c>
      <c r="H238" s="11">
        <f>'Sardina comun'!F88</f>
        <v>1890.35</v>
      </c>
      <c r="I238" s="11">
        <f>'Sardina comun'!G88</f>
        <v>0</v>
      </c>
      <c r="J238" s="11">
        <f>'Sardina comun'!H88</f>
        <v>1890.35</v>
      </c>
      <c r="K238" s="11">
        <f>'Sardina comun'!I88</f>
        <v>779.90300000000002</v>
      </c>
      <c r="L238" s="11">
        <f>'Sardina comun'!K88</f>
        <v>1110.4469999999999</v>
      </c>
      <c r="M238" s="49">
        <f>'Sardina comun'!L88</f>
        <v>0.41257068796783669</v>
      </c>
      <c r="N238" s="55">
        <f>'Sardina comun'!M88</f>
        <v>0</v>
      </c>
      <c r="O238" s="34">
        <f>RESUMEN!$B$3</f>
        <v>44020</v>
      </c>
      <c r="P238" s="11">
        <v>2020</v>
      </c>
    </row>
    <row r="239" spans="1:16">
      <c r="A239" s="11" t="s">
        <v>174</v>
      </c>
      <c r="B239" s="11" t="s">
        <v>280</v>
      </c>
      <c r="C239" s="11" t="s">
        <v>277</v>
      </c>
      <c r="D239" s="11" t="s">
        <v>272</v>
      </c>
      <c r="E239" s="11" t="str">
        <f>'Sardina comun'!D89</f>
        <v>Sindicato de Trabajadores Independientes, Pescadores Artesanales Pelágicos, Patrones y Tripulantes de Pesca Artesanal y Actividades Conexas de la Comuna de Talcahuano, " ASPAS". Registro Sindical Único 08.05.0474</v>
      </c>
      <c r="F239" s="11" t="s">
        <v>259</v>
      </c>
      <c r="G239" s="11" t="s">
        <v>260</v>
      </c>
      <c r="H239" s="11">
        <f>'Sardina comun'!F89</f>
        <v>3063.529</v>
      </c>
      <c r="I239" s="11">
        <f>'Sardina comun'!G89</f>
        <v>264.5</v>
      </c>
      <c r="J239" s="11">
        <f>'Sardina comun'!H89</f>
        <v>3328.029</v>
      </c>
      <c r="K239" s="11">
        <f>'Sardina comun'!I89</f>
        <v>1971.778</v>
      </c>
      <c r="L239" s="11">
        <f>'Sardina comun'!K89</f>
        <v>1356.251</v>
      </c>
      <c r="M239" s="49">
        <f>'Sardina comun'!L89</f>
        <v>0.59247620738881779</v>
      </c>
      <c r="N239" s="55">
        <f>'Sardina comun'!M89</f>
        <v>0</v>
      </c>
      <c r="O239" s="34">
        <f>RESUMEN!$B$3</f>
        <v>44020</v>
      </c>
      <c r="P239" s="11">
        <v>2020</v>
      </c>
    </row>
    <row r="240" spans="1:16">
      <c r="A240" s="11" t="s">
        <v>174</v>
      </c>
      <c r="B240" s="11" t="s">
        <v>280</v>
      </c>
      <c r="C240" s="11" t="s">
        <v>277</v>
      </c>
      <c r="D240" s="11" t="s">
        <v>272</v>
      </c>
      <c r="E240" s="11" t="str">
        <f>'Sardina comun'!D90</f>
        <v>Sindicato de Trabajadores Independientes, Pescadores Artesanales y Ramos Afines Sta Maria Comuna de Talcahuano, " SIPASMA". Registro Sindical Único 08.05.0602</v>
      </c>
      <c r="F240" s="11" t="s">
        <v>259</v>
      </c>
      <c r="G240" s="11" t="s">
        <v>260</v>
      </c>
      <c r="H240" s="11">
        <f>'Sardina comun'!F90</f>
        <v>3014.3310000000001</v>
      </c>
      <c r="I240" s="11">
        <f>'Sardina comun'!G90</f>
        <v>0</v>
      </c>
      <c r="J240" s="11">
        <f>'Sardina comun'!H90</f>
        <v>3014.3310000000001</v>
      </c>
      <c r="K240" s="11">
        <f>'Sardina comun'!I90</f>
        <v>1936.617</v>
      </c>
      <c r="L240" s="11">
        <f>'Sardina comun'!K90</f>
        <v>1077.7140000000002</v>
      </c>
      <c r="M240" s="49">
        <f>'Sardina comun'!L90</f>
        <v>0.64246992118649204</v>
      </c>
      <c r="N240" s="55">
        <f>'Sardina comun'!M90</f>
        <v>0</v>
      </c>
      <c r="O240" s="34">
        <f>RESUMEN!$B$3</f>
        <v>44020</v>
      </c>
      <c r="P240" s="11">
        <v>2020</v>
      </c>
    </row>
    <row r="241" spans="1:16">
      <c r="A241" s="11" t="s">
        <v>174</v>
      </c>
      <c r="B241" s="11" t="s">
        <v>280</v>
      </c>
      <c r="C241" s="11" t="s">
        <v>277</v>
      </c>
      <c r="D241" s="11" t="s">
        <v>272</v>
      </c>
      <c r="E241" s="11" t="str">
        <f>'Sardina comun'!D91</f>
        <v>Sindicato de Trabajadores Independientes, Pescadores Artesanales, Armadores Artesanales y Actividades Conexas de la Caleta de Lota VIII Región "SIPAR GENTE DE MAR". Registros Sindical Único 08.07.0326</v>
      </c>
      <c r="F241" s="11" t="s">
        <v>259</v>
      </c>
      <c r="G241" s="11" t="s">
        <v>260</v>
      </c>
      <c r="H241" s="11">
        <f>'Sardina comun'!F91</f>
        <v>3637.326</v>
      </c>
      <c r="I241" s="11">
        <f>'Sardina comun'!G91</f>
        <v>-200</v>
      </c>
      <c r="J241" s="11">
        <f>'Sardina comun'!H91</f>
        <v>3437.326</v>
      </c>
      <c r="K241" s="11">
        <f>'Sardina comun'!I91</f>
        <v>2757.8429999999998</v>
      </c>
      <c r="L241" s="11">
        <f>'Sardina comun'!K91</f>
        <v>679.48300000000017</v>
      </c>
      <c r="M241" s="49">
        <f>'Sardina comun'!L91</f>
        <v>0.80232221209160837</v>
      </c>
      <c r="N241" s="55">
        <f>'Sardina comun'!M91</f>
        <v>0</v>
      </c>
      <c r="O241" s="34">
        <f>RESUMEN!$B$3</f>
        <v>44020</v>
      </c>
      <c r="P241" s="11">
        <v>2020</v>
      </c>
    </row>
    <row r="242" spans="1:16">
      <c r="A242" s="11" t="s">
        <v>174</v>
      </c>
      <c r="B242" s="11" t="s">
        <v>280</v>
      </c>
      <c r="C242" s="11" t="s">
        <v>277</v>
      </c>
      <c r="D242" s="11" t="s">
        <v>272</v>
      </c>
      <c r="E242" s="11" t="str">
        <f>'Sardina comun'!D92</f>
        <v xml:space="preserve"> Sindicato de Trabajadores Independientes, Pescadores Artesanales, Armadores Artesanales, "Rio Maipo" de la Caleta de San Vicente de la Comuna de Talcahuano; Registro Sindical Único 08.05.0488.</v>
      </c>
      <c r="F242" s="11" t="s">
        <v>259</v>
      </c>
      <c r="G242" s="11" t="s">
        <v>260</v>
      </c>
      <c r="H242" s="11">
        <f>'Sardina comun'!F92</f>
        <v>1102.02</v>
      </c>
      <c r="I242" s="11">
        <f>'Sardina comun'!G92</f>
        <v>0</v>
      </c>
      <c r="J242" s="11">
        <f>'Sardina comun'!H92</f>
        <v>1102.02</v>
      </c>
      <c r="K242" s="11">
        <f>'Sardina comun'!I92</f>
        <v>613.57000000000005</v>
      </c>
      <c r="L242" s="11">
        <f>'Sardina comun'!K92</f>
        <v>488.44999999999993</v>
      </c>
      <c r="M242" s="49">
        <f>'Sardina comun'!L92</f>
        <v>0.55676847970091292</v>
      </c>
      <c r="N242" s="55">
        <f>'Sardina comun'!M92</f>
        <v>0</v>
      </c>
      <c r="O242" s="34">
        <f>RESUMEN!$B$3</f>
        <v>44020</v>
      </c>
      <c r="P242" s="11">
        <v>2020</v>
      </c>
    </row>
    <row r="243" spans="1:16">
      <c r="A243" s="11" t="s">
        <v>174</v>
      </c>
      <c r="B243" s="11" t="s">
        <v>280</v>
      </c>
      <c r="C243" s="11" t="s">
        <v>277</v>
      </c>
      <c r="D243" s="11" t="s">
        <v>272</v>
      </c>
      <c r="E243" s="11" t="str">
        <f>'Sardina comun'!D93</f>
        <v xml:space="preserve"> Sindicato de Trabajadores Independientes, Pescadores Artesanales, Armadores Artesanales, Buzos Mariscadores y Recolectores de Orilla Isla Santa Maria Puerto Sur, Registro Sindical Único 08.07.0364.</v>
      </c>
      <c r="F243" s="11" t="s">
        <v>259</v>
      </c>
      <c r="G243" s="11" t="s">
        <v>260</v>
      </c>
      <c r="H243" s="11">
        <f>'Sardina comun'!F93</f>
        <v>16.39</v>
      </c>
      <c r="I243" s="11">
        <f>'Sardina comun'!G93</f>
        <v>-16</v>
      </c>
      <c r="J243" s="11">
        <f>'Sardina comun'!H93</f>
        <v>0.39000000000000057</v>
      </c>
      <c r="K243" s="11">
        <f>'Sardina comun'!I93</f>
        <v>0</v>
      </c>
      <c r="L243" s="11">
        <f>'Sardina comun'!K93</f>
        <v>0.39000000000000057</v>
      </c>
      <c r="M243" s="49">
        <f>'Sardina comun'!L93</f>
        <v>1</v>
      </c>
      <c r="N243" s="55">
        <f>'Sardina comun'!M93</f>
        <v>0</v>
      </c>
      <c r="O243" s="34">
        <f>RESUMEN!$B$3</f>
        <v>44020</v>
      </c>
      <c r="P243" s="11">
        <v>2020</v>
      </c>
    </row>
    <row r="244" spans="1:16">
      <c r="A244" s="11" t="s">
        <v>174</v>
      </c>
      <c r="B244" s="11" t="s">
        <v>280</v>
      </c>
      <c r="C244" s="11" t="s">
        <v>277</v>
      </c>
      <c r="D244" s="11" t="s">
        <v>272</v>
      </c>
      <c r="E244" s="11" t="str">
        <f>'Sardina comun'!D94</f>
        <v>Sindicato de Trabajadores Independientes, Tripulantes y Armadores de Botes, Pescadores Artesanales, Algueros, Mariscadores y Actividades conexas de la caleta Tumbes de la comuna de Talcahuano. Registro Sindical Único 08.050.0495</v>
      </c>
      <c r="F244" s="11" t="s">
        <v>259</v>
      </c>
      <c r="G244" s="11" t="s">
        <v>260</v>
      </c>
      <c r="H244" s="11">
        <f>'Sardina comun'!F94</f>
        <v>488.04700000000003</v>
      </c>
      <c r="I244" s="11">
        <f>'Sardina comun'!G94</f>
        <v>97</v>
      </c>
      <c r="J244" s="11">
        <f>'Sardina comun'!H94</f>
        <v>585.04700000000003</v>
      </c>
      <c r="K244" s="11">
        <f>'Sardina comun'!I94</f>
        <v>677</v>
      </c>
      <c r="L244" s="11">
        <f>'Sardina comun'!K94</f>
        <v>-91.952999999999975</v>
      </c>
      <c r="M244" s="49">
        <f>'Sardina comun'!L94</f>
        <v>1.1571719878915712</v>
      </c>
      <c r="N244" s="55">
        <f>'Sardina comun'!M94</f>
        <v>0</v>
      </c>
      <c r="O244" s="34">
        <f>RESUMEN!$B$3</f>
        <v>44020</v>
      </c>
      <c r="P244" s="11">
        <v>2020</v>
      </c>
    </row>
    <row r="245" spans="1:16">
      <c r="A245" s="11" t="s">
        <v>174</v>
      </c>
      <c r="B245" s="11" t="s">
        <v>280</v>
      </c>
      <c r="C245" s="11" t="s">
        <v>277</v>
      </c>
      <c r="D245" s="11" t="s">
        <v>272</v>
      </c>
      <c r="E245" s="11" t="str">
        <f>'Sardina comun'!D95</f>
        <v>Sindicato Independiente de Armadores Pescadores Artesanales Tripulantes y Ramas Similares "Bahia Concepción", Registro Sindical Unico 08.05.0648</v>
      </c>
      <c r="F245" s="11" t="s">
        <v>259</v>
      </c>
      <c r="G245" s="11" t="s">
        <v>260</v>
      </c>
      <c r="H245" s="11">
        <f>'Sardina comun'!F95</f>
        <v>1199.0070000000001</v>
      </c>
      <c r="I245" s="11">
        <f>'Sardina comun'!G95</f>
        <v>233</v>
      </c>
      <c r="J245" s="11">
        <f>'Sardina comun'!H95</f>
        <v>1432.0070000000001</v>
      </c>
      <c r="K245" s="11">
        <f>'Sardina comun'!I95</f>
        <v>1684.65</v>
      </c>
      <c r="L245" s="11">
        <f>'Sardina comun'!K95</f>
        <v>-252.64300000000003</v>
      </c>
      <c r="M245" s="49">
        <f>'Sardina comun'!L95</f>
        <v>1.1764258135609673</v>
      </c>
      <c r="N245" s="55">
        <f>'Sardina comun'!M95</f>
        <v>0</v>
      </c>
      <c r="O245" s="34">
        <f>RESUMEN!$B$3</f>
        <v>44020</v>
      </c>
      <c r="P245" s="11">
        <v>2020</v>
      </c>
    </row>
    <row r="246" spans="1:16">
      <c r="A246" s="11" t="s">
        <v>174</v>
      </c>
      <c r="B246" s="11" t="s">
        <v>280</v>
      </c>
      <c r="C246" s="11" t="s">
        <v>277</v>
      </c>
      <c r="D246" s="11" t="s">
        <v>272</v>
      </c>
      <c r="E246" s="11" t="str">
        <f>'Sardina comun'!D96</f>
        <v>Sindicato Independiente de Armadores y Pescadores Artesanales Afines "SARPE". Registro Sindical Único 08.05.0398</v>
      </c>
      <c r="F246" s="11" t="s">
        <v>259</v>
      </c>
      <c r="G246" s="11" t="s">
        <v>260</v>
      </c>
      <c r="H246" s="11">
        <f>'Sardina comun'!F96</f>
        <v>6105.1769999999997</v>
      </c>
      <c r="I246" s="11">
        <f>'Sardina comun'!G96</f>
        <v>840</v>
      </c>
      <c r="J246" s="11">
        <f>'Sardina comun'!H96</f>
        <v>6945.1769999999997</v>
      </c>
      <c r="K246" s="11">
        <f>'Sardina comun'!I96</f>
        <v>2151.3669999999997</v>
      </c>
      <c r="L246" s="11">
        <f>'Sardina comun'!K96</f>
        <v>4793.8099999999995</v>
      </c>
      <c r="M246" s="49">
        <f>'Sardina comun'!L96</f>
        <v>0.30976417159706654</v>
      </c>
      <c r="N246" s="55">
        <f>'Sardina comun'!M96</f>
        <v>0</v>
      </c>
      <c r="O246" s="34">
        <f>RESUMEN!$B$3</f>
        <v>44020</v>
      </c>
      <c r="P246" s="11">
        <v>2020</v>
      </c>
    </row>
    <row r="247" spans="1:16">
      <c r="A247" s="11" t="s">
        <v>174</v>
      </c>
      <c r="B247" s="11" t="s">
        <v>280</v>
      </c>
      <c r="C247" s="11" t="s">
        <v>277</v>
      </c>
      <c r="D247" s="11" t="s">
        <v>272</v>
      </c>
      <c r="E247" s="11" t="str">
        <f>'Sardina comun'!D97</f>
        <v>Sindicato Independiente de Pequeños Armadores Artesanales de Cerco y otras actividades Afines de Coronel y Lota, "SIPAC" Registro Sindical Único 08.07.0373</v>
      </c>
      <c r="F247" s="11" t="s">
        <v>259</v>
      </c>
      <c r="G247" s="11" t="s">
        <v>260</v>
      </c>
      <c r="H247" s="11">
        <f>'Sardina comun'!F97</f>
        <v>608.53300000000002</v>
      </c>
      <c r="I247" s="11">
        <f>'Sardina comun'!G97</f>
        <v>-203</v>
      </c>
      <c r="J247" s="11">
        <f>'Sardina comun'!H97</f>
        <v>405.53300000000002</v>
      </c>
      <c r="K247" s="11">
        <f>'Sardina comun'!I97</f>
        <v>428.79899999999998</v>
      </c>
      <c r="L247" s="11">
        <f>'Sardina comun'!K97</f>
        <v>-23.265999999999963</v>
      </c>
      <c r="M247" s="49">
        <f>'Sardina comun'!L97</f>
        <v>1.0573714099715681</v>
      </c>
      <c r="N247" s="55">
        <f>'Sardina comun'!M97</f>
        <v>43943</v>
      </c>
      <c r="O247" s="34">
        <f>RESUMEN!$B$3</f>
        <v>44020</v>
      </c>
      <c r="P247" s="11">
        <v>2020</v>
      </c>
    </row>
    <row r="248" spans="1:16" s="11" customFormat="1">
      <c r="A248" s="11" t="s">
        <v>174</v>
      </c>
      <c r="B248" s="11" t="s">
        <v>280</v>
      </c>
      <c r="C248" s="11" t="s">
        <v>277</v>
      </c>
      <c r="D248" s="11" t="s">
        <v>272</v>
      </c>
      <c r="E248" s="11" t="str">
        <f>'Sardina comun'!D98</f>
        <v>Sindicato Independiente de Pescadores Artesanales, Tripulantes Artesanales de Cerco y Ramos Conexos. RSU 8070220</v>
      </c>
      <c r="F248" s="11" t="s">
        <v>259</v>
      </c>
      <c r="G248" s="11" t="s">
        <v>260</v>
      </c>
      <c r="H248" s="11">
        <f>'Sardina comun'!F98</f>
        <v>62.131999999999998</v>
      </c>
      <c r="I248" s="11">
        <f>'Sardina comun'!G98</f>
        <v>-5</v>
      </c>
      <c r="J248" s="11">
        <f>'Sardina comun'!H98</f>
        <v>57.131999999999998</v>
      </c>
      <c r="K248" s="11">
        <f>'Sardina comun'!I98</f>
        <v>0</v>
      </c>
      <c r="L248" s="11">
        <f>'Sardina comun'!K98</f>
        <v>57.131999999999998</v>
      </c>
      <c r="M248" s="49">
        <f>'Sardina comun'!L98</f>
        <v>0</v>
      </c>
      <c r="N248" s="55">
        <f>'Sardina comun'!M98</f>
        <v>0</v>
      </c>
      <c r="O248" s="34">
        <f>RESUMEN!$B$3</f>
        <v>44020</v>
      </c>
      <c r="P248" s="11">
        <v>2020</v>
      </c>
    </row>
    <row r="249" spans="1:16" s="11" customFormat="1">
      <c r="A249" s="11" t="s">
        <v>174</v>
      </c>
      <c r="B249" s="11" t="s">
        <v>280</v>
      </c>
      <c r="C249" s="11" t="s">
        <v>277</v>
      </c>
      <c r="D249" s="11" t="s">
        <v>272</v>
      </c>
      <c r="E249" s="11" t="str">
        <f>'Sardina comun'!D99</f>
        <v>Sociedad Cooperativa Benesino Limitada ROL 5871</v>
      </c>
      <c r="F249" s="11" t="s">
        <v>259</v>
      </c>
      <c r="G249" s="11" t="s">
        <v>260</v>
      </c>
      <c r="H249" s="11">
        <f>'Sardina comun'!F99</f>
        <v>266.875</v>
      </c>
      <c r="I249" s="11">
        <f>'Sardina comun'!G99</f>
        <v>0</v>
      </c>
      <c r="J249" s="11">
        <f>'Sardina comun'!H99</f>
        <v>266.875</v>
      </c>
      <c r="K249" s="11">
        <f>'Sardina comun'!I99</f>
        <v>46.024999999999999</v>
      </c>
      <c r="L249" s="11">
        <f>'Sardina comun'!K99</f>
        <v>220.85</v>
      </c>
      <c r="M249" s="49">
        <f>'Sardina comun'!L99</f>
        <v>0.1724590163934426</v>
      </c>
      <c r="N249" s="55">
        <f>'Sardina comun'!M99</f>
        <v>0</v>
      </c>
      <c r="O249" s="34">
        <f>RESUMEN!$B$3</f>
        <v>44020</v>
      </c>
      <c r="P249" s="11">
        <v>2020</v>
      </c>
    </row>
    <row r="250" spans="1:16">
      <c r="A250" s="11" t="s">
        <v>174</v>
      </c>
      <c r="B250" s="11" t="s">
        <v>280</v>
      </c>
      <c r="C250" s="11" t="s">
        <v>277</v>
      </c>
      <c r="D250" s="11" t="s">
        <v>272</v>
      </c>
      <c r="E250" s="11" t="str">
        <f>'Sardina comun'!D100</f>
        <v>STI Armadores y Pescadores artesanales, Acuicultores, Algueros (as) y Ramos afines "MAFMAR", Registro Sindical Unico 08.05.0645</v>
      </c>
      <c r="F250" s="11" t="s">
        <v>259</v>
      </c>
      <c r="G250" s="11" t="s">
        <v>260</v>
      </c>
      <c r="H250" s="11">
        <f>'Sardina comun'!F100</f>
        <v>2376.605</v>
      </c>
      <c r="I250" s="11">
        <f>'Sardina comun'!G100</f>
        <v>37</v>
      </c>
      <c r="J250" s="11">
        <f>'Sardina comun'!H100</f>
        <v>2413.605</v>
      </c>
      <c r="K250" s="11">
        <f>'Sardina comun'!I100</f>
        <v>1925.204</v>
      </c>
      <c r="L250" s="11">
        <f>'Sardina comun'!K100</f>
        <v>488.40100000000007</v>
      </c>
      <c r="M250" s="49">
        <f>'Sardina comun'!L100</f>
        <v>0.79764667375150444</v>
      </c>
      <c r="N250" s="55">
        <f>'Sardina comun'!M100</f>
        <v>0</v>
      </c>
      <c r="O250" s="34">
        <f>RESUMEN!$B$3</f>
        <v>44020</v>
      </c>
      <c r="P250" s="11">
        <v>2020</v>
      </c>
    </row>
    <row r="251" spans="1:16">
      <c r="A251" s="11" t="s">
        <v>174</v>
      </c>
      <c r="B251" s="11" t="s">
        <v>280</v>
      </c>
      <c r="C251" s="11" t="s">
        <v>277</v>
      </c>
      <c r="D251" s="11" t="s">
        <v>272</v>
      </c>
      <c r="E251" s="11" t="str">
        <f>'Sardina comun'!D101</f>
        <v>CUOTA RESIDUAL VIII</v>
      </c>
      <c r="F251" s="11" t="s">
        <v>259</v>
      </c>
      <c r="G251" s="11" t="s">
        <v>260</v>
      </c>
      <c r="H251" s="11">
        <f>'Sardina comun'!F101</f>
        <v>125.29600000000001</v>
      </c>
      <c r="I251" s="11">
        <f>'Sardina comun'!G101</f>
        <v>0</v>
      </c>
      <c r="J251" s="11">
        <f>'Sardina comun'!H101</f>
        <v>125.29600000000001</v>
      </c>
      <c r="K251" s="11">
        <f>'Sardina comun'!I101</f>
        <v>415.13</v>
      </c>
      <c r="L251" s="11">
        <f>'Sardina comun'!K101</f>
        <v>-289.834</v>
      </c>
      <c r="M251" s="49">
        <f>'Sardina comun'!L101</f>
        <v>3.313194355765547</v>
      </c>
      <c r="N251" s="55">
        <f>'Sardina comun'!M101</f>
        <v>43917</v>
      </c>
      <c r="O251" s="34">
        <f>RESUMEN!$B$3</f>
        <v>44020</v>
      </c>
      <c r="P251" s="11">
        <v>2020</v>
      </c>
    </row>
    <row r="252" spans="1:16">
      <c r="A252" s="43" t="s">
        <v>174</v>
      </c>
      <c r="B252" s="43" t="s">
        <v>280</v>
      </c>
      <c r="C252" s="43" t="s">
        <v>277</v>
      </c>
      <c r="D252" s="43" t="s">
        <v>46</v>
      </c>
      <c r="E252" s="43" t="str">
        <f>'Sardina comun'!D103</f>
        <v>Total Región del Biobio y Ñuble</v>
      </c>
      <c r="F252" s="43" t="s">
        <v>259</v>
      </c>
      <c r="G252" s="43" t="s">
        <v>260</v>
      </c>
      <c r="H252" s="43">
        <f>'Sardina comun'!F103</f>
        <v>196184.02300000002</v>
      </c>
      <c r="I252" s="43">
        <f>'Sardina comun'!G103</f>
        <v>57516.125</v>
      </c>
      <c r="J252" s="43">
        <f>'Sardina comun'!H103</f>
        <v>253700.14800000002</v>
      </c>
      <c r="K252" s="43">
        <f>'Sardina comun'!I103</f>
        <v>130325.26499999996</v>
      </c>
      <c r="L252" s="43">
        <f>'Sardina comun'!K103</f>
        <v>123374.88300000006</v>
      </c>
      <c r="M252" s="51">
        <f>'Sardina comun'!L103</f>
        <v>0.51369802511900764</v>
      </c>
      <c r="N252" s="56">
        <f>'Sardina comun'!M103</f>
        <v>0</v>
      </c>
      <c r="O252" s="34">
        <f>RESUMEN!$B$3</f>
        <v>44020</v>
      </c>
      <c r="P252" s="11">
        <v>2020</v>
      </c>
    </row>
    <row r="253" spans="1:16">
      <c r="A253" s="11" t="s">
        <v>174</v>
      </c>
      <c r="B253" s="11" t="s">
        <v>280</v>
      </c>
      <c r="C253" t="s">
        <v>239</v>
      </c>
      <c r="D253" t="s">
        <v>46</v>
      </c>
      <c r="E253" t="str">
        <f>'Sardina comun'!D105</f>
        <v>Región de la Araucanía</v>
      </c>
      <c r="F253" s="11" t="s">
        <v>259</v>
      </c>
      <c r="G253" s="11" t="s">
        <v>260</v>
      </c>
      <c r="H253">
        <f>'Sardina comun'!F105</f>
        <v>2904</v>
      </c>
      <c r="I253" s="11">
        <f>'Sardina comun'!G105</f>
        <v>1169</v>
      </c>
      <c r="J253" s="11">
        <f>'Sardina comun'!H105</f>
        <v>4073</v>
      </c>
      <c r="K253" s="11">
        <f>'Sardina comun'!I105</f>
        <v>4891.9669999999996</v>
      </c>
      <c r="L253">
        <f>'Sardina comun'!K105</f>
        <v>-818.96699999999964</v>
      </c>
      <c r="M253" s="49">
        <f>'Sardina comun'!L105</f>
        <v>1.2010721826663393</v>
      </c>
      <c r="N253" s="55">
        <f>'Sardina comun'!M105</f>
        <v>43956</v>
      </c>
      <c r="O253" s="34">
        <f>RESUMEN!$B$3</f>
        <v>44020</v>
      </c>
      <c r="P253" s="11">
        <v>2020</v>
      </c>
    </row>
    <row r="254" spans="1:16">
      <c r="A254" s="43" t="s">
        <v>174</v>
      </c>
      <c r="B254" s="43" t="s">
        <v>280</v>
      </c>
      <c r="C254" s="43" t="s">
        <v>239</v>
      </c>
      <c r="D254" s="43" t="s">
        <v>46</v>
      </c>
      <c r="E254" s="43" t="str">
        <f>'Sardina comun'!D107</f>
        <v>Total Región de La Araucanía</v>
      </c>
      <c r="F254" s="43" t="s">
        <v>259</v>
      </c>
      <c r="G254" s="43" t="s">
        <v>260</v>
      </c>
      <c r="H254" s="43">
        <f>'Sardina comun'!F107</f>
        <v>2904</v>
      </c>
      <c r="I254" s="43">
        <f>'Sardina comun'!G107</f>
        <v>5134</v>
      </c>
      <c r="J254" s="43">
        <f>'Sardina comun'!H107</f>
        <v>8038</v>
      </c>
      <c r="K254" s="43">
        <f>'Sardina comun'!I107</f>
        <v>4891.9669999999996</v>
      </c>
      <c r="L254" s="43">
        <f>'Sardina comun'!K107</f>
        <v>3146.0330000000004</v>
      </c>
      <c r="M254" s="51">
        <f>'Sardina comun'!L107</f>
        <v>0.60860500124409056</v>
      </c>
      <c r="N254" s="56">
        <f>'Sardina comun'!M107</f>
        <v>0</v>
      </c>
      <c r="O254" s="34">
        <f>RESUMEN!$B$3</f>
        <v>44020</v>
      </c>
      <c r="P254" s="11">
        <v>2020</v>
      </c>
    </row>
    <row r="255" spans="1:16">
      <c r="A255" t="s">
        <v>174</v>
      </c>
      <c r="B255" t="s">
        <v>280</v>
      </c>
      <c r="C255" t="s">
        <v>238</v>
      </c>
      <c r="D255" t="s">
        <v>272</v>
      </c>
      <c r="E255" t="str">
        <f>'Sardina comun'!D109</f>
        <v>AG APEVAL. RAG 29-14</v>
      </c>
      <c r="F255" t="s">
        <v>259</v>
      </c>
      <c r="G255" t="s">
        <v>260</v>
      </c>
      <c r="H255">
        <f>'Sardina comun'!F109</f>
        <v>2157.9229999999998</v>
      </c>
      <c r="I255" s="11">
        <f>'Sardina comun'!G109</f>
        <v>-450</v>
      </c>
      <c r="J255" s="11">
        <f>'Sardina comun'!H109</f>
        <v>1707.9229999999998</v>
      </c>
      <c r="K255" s="11">
        <f>'Sardina comun'!I109</f>
        <v>304.90499999999997</v>
      </c>
      <c r="L255">
        <f>'Sardina comun'!K109</f>
        <v>1403.0179999999998</v>
      </c>
      <c r="M255" s="49">
        <f>'Sardina comun'!L109</f>
        <v>0.17852385616915986</v>
      </c>
      <c r="N255" s="55">
        <f>'Sardina comun'!M109</f>
        <v>0</v>
      </c>
      <c r="O255" s="34">
        <f>RESUMEN!$B$3</f>
        <v>44020</v>
      </c>
      <c r="P255" s="11">
        <v>2020</v>
      </c>
    </row>
    <row r="256" spans="1:16">
      <c r="A256" t="s">
        <v>174</v>
      </c>
      <c r="B256" t="s">
        <v>280</v>
      </c>
      <c r="C256" s="11" t="s">
        <v>238</v>
      </c>
      <c r="D256" s="11" t="s">
        <v>272</v>
      </c>
      <c r="E256" s="11" t="str">
        <f>'Sardina comun'!D110</f>
        <v xml:space="preserve"> AG ACERVAL. RAG 207-10</v>
      </c>
      <c r="F256" s="11" t="s">
        <v>259</v>
      </c>
      <c r="G256" s="11" t="s">
        <v>260</v>
      </c>
      <c r="H256" s="11">
        <f>'Sardina comun'!F110</f>
        <v>3847.402</v>
      </c>
      <c r="I256" s="11">
        <f>'Sardina comun'!G110</f>
        <v>0</v>
      </c>
      <c r="J256" s="11">
        <f>'Sardina comun'!H110</f>
        <v>3847.402</v>
      </c>
      <c r="K256" s="11">
        <f>'Sardina comun'!I110</f>
        <v>3744.6089999999999</v>
      </c>
      <c r="L256" s="11">
        <f>'Sardina comun'!K110</f>
        <v>102.79300000000012</v>
      </c>
      <c r="M256" s="49">
        <f>'Sardina comun'!L110</f>
        <v>0.97328249036622627</v>
      </c>
      <c r="N256" s="55">
        <f>'Sardina comun'!M110</f>
        <v>0</v>
      </c>
      <c r="O256" s="34">
        <f>RESUMEN!$B$3</f>
        <v>44020</v>
      </c>
      <c r="P256" s="11">
        <v>2020</v>
      </c>
    </row>
    <row r="257" spans="1:16">
      <c r="A257" t="s">
        <v>174</v>
      </c>
      <c r="B257" t="s">
        <v>280</v>
      </c>
      <c r="C257" s="11" t="s">
        <v>238</v>
      </c>
      <c r="D257" s="11" t="s">
        <v>272</v>
      </c>
      <c r="E257" s="11" t="str">
        <f>'Sardina comun'!D111</f>
        <v>AG ACERMAR. RAG 4205</v>
      </c>
      <c r="F257" s="11" t="s">
        <v>259</v>
      </c>
      <c r="G257" s="11" t="s">
        <v>260</v>
      </c>
      <c r="H257" s="11">
        <f>'Sardina comun'!F111</f>
        <v>3048.067</v>
      </c>
      <c r="I257" s="11">
        <f>'Sardina comun'!G111</f>
        <v>0</v>
      </c>
      <c r="J257" s="11">
        <f>'Sardina comun'!H111</f>
        <v>3048.067</v>
      </c>
      <c r="K257" s="11">
        <f>'Sardina comun'!I111</f>
        <v>2614.2739999999999</v>
      </c>
      <c r="L257" s="11">
        <f>'Sardina comun'!K111</f>
        <v>433.79300000000012</v>
      </c>
      <c r="M257" s="49">
        <f>'Sardina comun'!L111</f>
        <v>0.85768259031051475</v>
      </c>
      <c r="N257" s="55">
        <f>'Sardina comun'!M111</f>
        <v>0</v>
      </c>
      <c r="O257" s="34">
        <f>RESUMEN!$B$3</f>
        <v>44020</v>
      </c>
      <c r="P257" s="11">
        <v>2020</v>
      </c>
    </row>
    <row r="258" spans="1:16">
      <c r="A258" t="s">
        <v>174</v>
      </c>
      <c r="B258" t="s">
        <v>280</v>
      </c>
      <c r="C258" s="11" t="s">
        <v>238</v>
      </c>
      <c r="D258" s="11" t="s">
        <v>272</v>
      </c>
      <c r="E258" s="11" t="str">
        <f>'Sardina comun'!D112</f>
        <v xml:space="preserve"> AG ACER. RAG 3793</v>
      </c>
      <c r="F258" s="11" t="s">
        <v>259</v>
      </c>
      <c r="G258" s="11" t="s">
        <v>260</v>
      </c>
      <c r="H258" s="11">
        <f>'Sardina comun'!F112</f>
        <v>2286.721</v>
      </c>
      <c r="I258" s="11">
        <f>'Sardina comun'!G112</f>
        <v>0</v>
      </c>
      <c r="J258" s="11">
        <f>'Sardina comun'!H112</f>
        <v>2286.721</v>
      </c>
      <c r="K258" s="11">
        <f>'Sardina comun'!I112</f>
        <v>1867.904</v>
      </c>
      <c r="L258" s="11">
        <f>'Sardina comun'!K112</f>
        <v>418.81700000000001</v>
      </c>
      <c r="M258" s="49">
        <f>'Sardina comun'!L112</f>
        <v>0.81684822940796009</v>
      </c>
      <c r="N258" s="55">
        <f>'Sardina comun'!M112</f>
        <v>0</v>
      </c>
      <c r="O258" s="34">
        <f>RESUMEN!$B$3</f>
        <v>44020</v>
      </c>
      <c r="P258" s="11">
        <v>2020</v>
      </c>
    </row>
    <row r="259" spans="1:16">
      <c r="A259" t="s">
        <v>174</v>
      </c>
      <c r="B259" t="s">
        <v>280</v>
      </c>
      <c r="C259" s="11" t="s">
        <v>238</v>
      </c>
      <c r="D259" s="11" t="s">
        <v>272</v>
      </c>
      <c r="E259" s="11" t="str">
        <f>'Sardina comun'!D113</f>
        <v>AG SIPACERVAL RAG 44-14</v>
      </c>
      <c r="F259" s="11" t="s">
        <v>259</v>
      </c>
      <c r="G259" s="11" t="s">
        <v>260</v>
      </c>
      <c r="H259" s="11">
        <f>'Sardina comun'!F113</f>
        <v>9553.1450000000004</v>
      </c>
      <c r="I259" s="11">
        <f>'Sardina comun'!G113</f>
        <v>0</v>
      </c>
      <c r="J259" s="11">
        <f>'Sardina comun'!H113</f>
        <v>9553.1450000000004</v>
      </c>
      <c r="K259" s="11">
        <f>'Sardina comun'!I113</f>
        <v>9409.8940000000021</v>
      </c>
      <c r="L259" s="11">
        <f>'Sardina comun'!K113</f>
        <v>143.25099999999838</v>
      </c>
      <c r="M259" s="49">
        <f>'Sardina comun'!L113</f>
        <v>0.98500483348677337</v>
      </c>
      <c r="N259" s="55">
        <f>'Sardina comun'!M113</f>
        <v>0</v>
      </c>
      <c r="O259" s="34">
        <f>RESUMEN!$B$3</f>
        <v>44020</v>
      </c>
      <c r="P259" s="11">
        <v>2020</v>
      </c>
    </row>
    <row r="260" spans="1:16">
      <c r="A260" s="11" t="s">
        <v>174</v>
      </c>
      <c r="B260" s="11" t="s">
        <v>280</v>
      </c>
      <c r="C260" s="11" t="s">
        <v>238</v>
      </c>
      <c r="D260" s="11" t="s">
        <v>272</v>
      </c>
      <c r="E260" s="11" t="str">
        <f>'Sardina comun'!D114</f>
        <v>AG ARMAPES. RAG 264-10</v>
      </c>
      <c r="F260" s="11" t="s">
        <v>259</v>
      </c>
      <c r="G260" s="11" t="s">
        <v>260</v>
      </c>
      <c r="H260" s="11">
        <f>'Sardina comun'!F114</f>
        <v>1671.683</v>
      </c>
      <c r="I260" s="11">
        <f>'Sardina comun'!G114</f>
        <v>0</v>
      </c>
      <c r="J260" s="11">
        <f>'Sardina comun'!H114</f>
        <v>1671.683</v>
      </c>
      <c r="K260" s="11">
        <f>'Sardina comun'!I114</f>
        <v>1899.029</v>
      </c>
      <c r="L260" s="11">
        <f>'Sardina comun'!K114</f>
        <v>-227.346</v>
      </c>
      <c r="M260" s="49">
        <f>'Sardina comun'!L114</f>
        <v>1.1359982723997313</v>
      </c>
      <c r="N260" s="55">
        <f>'Sardina comun'!M114</f>
        <v>0</v>
      </c>
      <c r="O260" s="34">
        <f>RESUMEN!$B$3</f>
        <v>44020</v>
      </c>
      <c r="P260" s="11">
        <v>2020</v>
      </c>
    </row>
    <row r="261" spans="1:16">
      <c r="A261" s="11" t="s">
        <v>174</v>
      </c>
      <c r="B261" s="11" t="s">
        <v>280</v>
      </c>
      <c r="C261" s="11" t="s">
        <v>238</v>
      </c>
      <c r="D261" s="11" t="s">
        <v>272</v>
      </c>
      <c r="E261" s="11" t="str">
        <f>'Sardina comun'!D115</f>
        <v xml:space="preserve"> AG APACER. RAG 46-14</v>
      </c>
      <c r="F261" s="11" t="s">
        <v>259</v>
      </c>
      <c r="G261" s="11" t="s">
        <v>260</v>
      </c>
      <c r="H261" s="11">
        <f>'Sardina comun'!F115</f>
        <v>1715.501</v>
      </c>
      <c r="I261" s="11">
        <f>'Sardina comun'!G115</f>
        <v>0</v>
      </c>
      <c r="J261" s="11">
        <f>'Sardina comun'!H115</f>
        <v>1715.501</v>
      </c>
      <c r="K261" s="11">
        <f>'Sardina comun'!I115</f>
        <v>855.72299999999996</v>
      </c>
      <c r="L261" s="11">
        <f>'Sardina comun'!K115</f>
        <v>859.77800000000002</v>
      </c>
      <c r="M261" s="49">
        <f>'Sardina comun'!L115</f>
        <v>0.49881812951435178</v>
      </c>
      <c r="N261" s="55">
        <f>'Sardina comun'!M115</f>
        <v>0</v>
      </c>
      <c r="O261" s="34">
        <f>RESUMEN!$B$3</f>
        <v>44020</v>
      </c>
      <c r="P261" s="11">
        <v>2020</v>
      </c>
    </row>
    <row r="262" spans="1:16">
      <c r="A262" s="11" t="s">
        <v>174</v>
      </c>
      <c r="B262" s="11" t="s">
        <v>280</v>
      </c>
      <c r="C262" s="11" t="s">
        <v>238</v>
      </c>
      <c r="D262" s="11" t="s">
        <v>272</v>
      </c>
      <c r="E262" s="11" t="str">
        <f>'Sardina comun'!D116</f>
        <v xml:space="preserve"> STI DE AMARGO. RSU 14.01.0105</v>
      </c>
      <c r="F262" s="11" t="s">
        <v>259</v>
      </c>
      <c r="G262" s="11" t="s">
        <v>260</v>
      </c>
      <c r="H262" s="11">
        <f>'Sardina comun'!F116</f>
        <v>1996.538</v>
      </c>
      <c r="I262" s="11">
        <f>'Sardina comun'!G116</f>
        <v>0</v>
      </c>
      <c r="J262" s="11">
        <f>'Sardina comun'!H116</f>
        <v>1996.538</v>
      </c>
      <c r="K262" s="11">
        <f>'Sardina comun'!I116</f>
        <v>1843.377</v>
      </c>
      <c r="L262" s="11">
        <f>'Sardina comun'!K116</f>
        <v>153.16100000000006</v>
      </c>
      <c r="M262" s="49">
        <f>'Sardina comun'!L116</f>
        <v>0.92328670929378753</v>
      </c>
      <c r="N262" s="55">
        <f>'Sardina comun'!M116</f>
        <v>0</v>
      </c>
      <c r="O262" s="34">
        <f>RESUMEN!$B$3</f>
        <v>44020</v>
      </c>
      <c r="P262" s="11">
        <v>2020</v>
      </c>
    </row>
    <row r="263" spans="1:16">
      <c r="A263" s="11" t="s">
        <v>174</v>
      </c>
      <c r="B263" s="11" t="s">
        <v>280</v>
      </c>
      <c r="C263" s="11" t="s">
        <v>238</v>
      </c>
      <c r="D263" s="11" t="s">
        <v>272</v>
      </c>
      <c r="E263" s="11" t="str">
        <f>'Sardina comun'!D117</f>
        <v>STI DEL BALNEARIO DE NIEBLA. RSU 14.01.0127</v>
      </c>
      <c r="F263" s="11" t="s">
        <v>259</v>
      </c>
      <c r="G263" s="11" t="s">
        <v>260</v>
      </c>
      <c r="H263" s="11">
        <f>'Sardina comun'!F117</f>
        <v>744.51900000000001</v>
      </c>
      <c r="I263" s="11">
        <f>'Sardina comun'!G117</f>
        <v>0</v>
      </c>
      <c r="J263" s="11">
        <f>'Sardina comun'!H117</f>
        <v>744.51900000000001</v>
      </c>
      <c r="K263" s="11">
        <f>'Sardina comun'!I117</f>
        <v>342.36299999999994</v>
      </c>
      <c r="L263" s="11">
        <f>'Sardina comun'!K117</f>
        <v>402.15600000000006</v>
      </c>
      <c r="M263" s="49">
        <f>'Sardina comun'!L117</f>
        <v>0.45984454392701857</v>
      </c>
      <c r="N263" s="55">
        <f>'Sardina comun'!M117</f>
        <v>0</v>
      </c>
      <c r="O263" s="34">
        <f>RESUMEN!$B$3</f>
        <v>44020</v>
      </c>
      <c r="P263" s="11">
        <v>2020</v>
      </c>
    </row>
    <row r="264" spans="1:16">
      <c r="A264" s="11" t="s">
        <v>174</v>
      </c>
      <c r="B264" s="11" t="s">
        <v>280</v>
      </c>
      <c r="C264" s="11" t="s">
        <v>238</v>
      </c>
      <c r="D264" s="11" t="s">
        <v>272</v>
      </c>
      <c r="E264" s="11" t="str">
        <f>'Sardina comun'!D118</f>
        <v xml:space="preserve"> STI ARPAVAL. RSU 14.01.0514</v>
      </c>
      <c r="F264" s="11" t="s">
        <v>259</v>
      </c>
      <c r="G264" s="11" t="s">
        <v>260</v>
      </c>
      <c r="H264" s="11">
        <f>'Sardina comun'!F118</f>
        <v>726.31299999999999</v>
      </c>
      <c r="I264" s="11">
        <f>'Sardina comun'!G118</f>
        <v>-290.06</v>
      </c>
      <c r="J264" s="11">
        <f>'Sardina comun'!H118</f>
        <v>436.25299999999999</v>
      </c>
      <c r="K264" s="11">
        <f>'Sardina comun'!I118</f>
        <v>0</v>
      </c>
      <c r="L264" s="11">
        <f>'Sardina comun'!K118</f>
        <v>436.25299999999999</v>
      </c>
      <c r="M264" s="49">
        <f>'Sardina comun'!L118</f>
        <v>0</v>
      </c>
      <c r="N264" s="55">
        <f>'Sardina comun'!M118</f>
        <v>0</v>
      </c>
      <c r="O264" s="34">
        <f>RESUMEN!$B$3</f>
        <v>44020</v>
      </c>
      <c r="P264" s="11">
        <v>2020</v>
      </c>
    </row>
    <row r="265" spans="1:16">
      <c r="A265" s="11" t="s">
        <v>174</v>
      </c>
      <c r="B265" s="11" t="s">
        <v>280</v>
      </c>
      <c r="C265" s="11" t="s">
        <v>238</v>
      </c>
      <c r="D265" s="11" t="s">
        <v>272</v>
      </c>
      <c r="E265" s="11" t="str">
        <f>'Sardina comun'!D119</f>
        <v>CUOTA RESIDUAL XIV</v>
      </c>
      <c r="F265" s="11" t="s">
        <v>259</v>
      </c>
      <c r="G265" s="11" t="s">
        <v>260</v>
      </c>
      <c r="H265" s="11">
        <f>'Sardina comun'!F119</f>
        <v>360.18700000000001</v>
      </c>
      <c r="I265" s="11">
        <f>'Sardina comun'!G119</f>
        <v>0</v>
      </c>
      <c r="J265" s="11">
        <f>'Sardina comun'!H119</f>
        <v>360.18700000000001</v>
      </c>
      <c r="K265" s="11">
        <f>'Sardina comun'!I119</f>
        <v>192.47899999999998</v>
      </c>
      <c r="L265" s="11">
        <f>'Sardina comun'!K119</f>
        <v>167.70800000000003</v>
      </c>
      <c r="M265" s="49">
        <f>'Sardina comun'!L119</f>
        <v>0.53438630489162564</v>
      </c>
      <c r="N265" s="55">
        <f>'Sardina comun'!M119</f>
        <v>0</v>
      </c>
      <c r="O265" s="34">
        <f>RESUMEN!$B$3</f>
        <v>44020</v>
      </c>
      <c r="P265" s="11">
        <v>2020</v>
      </c>
    </row>
    <row r="266" spans="1:16">
      <c r="A266" s="43" t="s">
        <v>174</v>
      </c>
      <c r="B266" s="43" t="s">
        <v>280</v>
      </c>
      <c r="C266" s="43" t="s">
        <v>238</v>
      </c>
      <c r="D266" s="43" t="s">
        <v>46</v>
      </c>
      <c r="E266" s="43" t="str">
        <f>'Sardina comun'!D121</f>
        <v>Total Región de Los Ríos</v>
      </c>
      <c r="F266" s="43" t="s">
        <v>259</v>
      </c>
      <c r="G266" s="43" t="s">
        <v>260</v>
      </c>
      <c r="H266" s="43">
        <f>'Sardina comun'!F121</f>
        <v>28107.999000000003</v>
      </c>
      <c r="I266" s="43">
        <f>'Sardina comun'!G121</f>
        <v>7551.2060000000001</v>
      </c>
      <c r="J266" s="43">
        <f>'Sardina comun'!H121</f>
        <v>35659.205000000002</v>
      </c>
      <c r="K266" s="43">
        <f>'Sardina comun'!I121</f>
        <v>23074.557000000004</v>
      </c>
      <c r="L266" s="43">
        <f>'Sardina comun'!K121</f>
        <v>12584.647999999997</v>
      </c>
      <c r="M266" s="51">
        <f>'Sardina comun'!L121</f>
        <v>0.64708557019148361</v>
      </c>
      <c r="N266" s="56">
        <f>'Sardina comun'!M121</f>
        <v>0</v>
      </c>
      <c r="O266" s="34">
        <f>RESUMEN!$B$3</f>
        <v>44020</v>
      </c>
      <c r="P266" s="11">
        <v>2020</v>
      </c>
    </row>
    <row r="267" spans="1:16">
      <c r="A267" t="s">
        <v>174</v>
      </c>
      <c r="B267" s="52" t="s">
        <v>280</v>
      </c>
      <c r="C267" t="s">
        <v>279</v>
      </c>
      <c r="D267" t="s">
        <v>272</v>
      </c>
      <c r="E267" t="str">
        <f>'Sardina comun'!D123</f>
        <v>ARMAR AG. RAG 320-10</v>
      </c>
      <c r="F267" t="s">
        <v>259</v>
      </c>
      <c r="G267" t="s">
        <v>260</v>
      </c>
      <c r="H267">
        <f>'Sardina comun'!F123</f>
        <v>760.11900000000003</v>
      </c>
      <c r="I267" s="11">
        <f>'Sardina comun'!G123</f>
        <v>-730</v>
      </c>
      <c r="J267" s="11">
        <f>'Sardina comun'!H123</f>
        <v>30.119000000000028</v>
      </c>
      <c r="K267" s="11">
        <f>'Sardina comun'!I123</f>
        <v>24.100999999999999</v>
      </c>
      <c r="L267">
        <f>'Sardina comun'!K123</f>
        <v>6.0180000000000291</v>
      </c>
      <c r="M267" s="49">
        <f>'Sardina comun'!L123</f>
        <v>0.80019256947441741</v>
      </c>
      <c r="N267" s="55">
        <f>'Sardina comun'!M123</f>
        <v>0</v>
      </c>
      <c r="O267" s="34">
        <f>RESUMEN!$B$3</f>
        <v>44020</v>
      </c>
      <c r="P267" s="11">
        <v>2020</v>
      </c>
    </row>
    <row r="268" spans="1:16">
      <c r="A268" t="s">
        <v>174</v>
      </c>
      <c r="B268" s="52" t="s">
        <v>280</v>
      </c>
      <c r="C268" s="11" t="s">
        <v>279</v>
      </c>
      <c r="D268" t="s">
        <v>272</v>
      </c>
      <c r="E268" s="11" t="str">
        <f>'Sardina comun'!D124</f>
        <v>ASOGFER AG. RAG 310-10</v>
      </c>
      <c r="F268" t="s">
        <v>259</v>
      </c>
      <c r="G268" t="s">
        <v>260</v>
      </c>
      <c r="H268" s="11">
        <f>'Sardina comun'!F124</f>
        <v>2712.4520000000002</v>
      </c>
      <c r="I268" s="11">
        <f>'Sardina comun'!G124</f>
        <v>-2450</v>
      </c>
      <c r="J268" s="11">
        <f>'Sardina comun'!H124</f>
        <v>262.45200000000023</v>
      </c>
      <c r="K268" s="11">
        <f>'Sardina comun'!I124</f>
        <v>253.62399999999997</v>
      </c>
      <c r="L268" s="11">
        <f>'Sardina comun'!K124</f>
        <v>8.8280000000002588</v>
      </c>
      <c r="M268" s="49">
        <f>'Sardina comun'!L124</f>
        <v>0.9663633731120348</v>
      </c>
      <c r="N268" s="55">
        <f>'Sardina comun'!M124</f>
        <v>0</v>
      </c>
      <c r="O268" s="34">
        <f>RESUMEN!$B$3</f>
        <v>44020</v>
      </c>
      <c r="P268" s="11">
        <v>2020</v>
      </c>
    </row>
    <row r="269" spans="1:16">
      <c r="A269" t="s">
        <v>174</v>
      </c>
      <c r="B269" s="52" t="s">
        <v>280</v>
      </c>
      <c r="C269" s="11" t="s">
        <v>279</v>
      </c>
      <c r="D269" t="s">
        <v>272</v>
      </c>
      <c r="E269" s="11" t="str">
        <f>'Sardina comun'!D125</f>
        <v>AGARMAR.  RAG 156-10</v>
      </c>
      <c r="F269" t="s">
        <v>259</v>
      </c>
      <c r="G269" t="s">
        <v>260</v>
      </c>
      <c r="H269" s="11">
        <f>'Sardina comun'!F125</f>
        <v>3202.0059999999999</v>
      </c>
      <c r="I269" s="11">
        <f>'Sardina comun'!G125</f>
        <v>-2270</v>
      </c>
      <c r="J269" s="11">
        <f>'Sardina comun'!H125</f>
        <v>932.00599999999986</v>
      </c>
      <c r="K269" s="11">
        <f>'Sardina comun'!I125</f>
        <v>296.14400000000001</v>
      </c>
      <c r="L269" s="11">
        <f>'Sardina comun'!K125</f>
        <v>635.86199999999985</v>
      </c>
      <c r="M269" s="49">
        <f>'Sardina comun'!L125</f>
        <v>0.31774902736677668</v>
      </c>
      <c r="N269" s="55">
        <f>'Sardina comun'!M125</f>
        <v>0</v>
      </c>
      <c r="O269" s="34">
        <f>RESUMEN!$B$3</f>
        <v>44020</v>
      </c>
      <c r="P269" s="11">
        <v>2020</v>
      </c>
    </row>
    <row r="270" spans="1:16">
      <c r="A270" s="11" t="s">
        <v>174</v>
      </c>
      <c r="B270" s="52" t="s">
        <v>280</v>
      </c>
      <c r="C270" s="11" t="s">
        <v>279</v>
      </c>
      <c r="D270" t="s">
        <v>272</v>
      </c>
      <c r="E270" s="11" t="str">
        <f>'Sardina comun'!D126</f>
        <v>PESCA AUSTRAL. RAG 326-10</v>
      </c>
      <c r="F270" t="s">
        <v>259</v>
      </c>
      <c r="G270" t="s">
        <v>260</v>
      </c>
      <c r="H270" s="11">
        <f>'Sardina comun'!F126</f>
        <v>990.90499999999997</v>
      </c>
      <c r="I270" s="11">
        <f>'Sardina comun'!G126</f>
        <v>-900</v>
      </c>
      <c r="J270" s="11">
        <f>'Sardina comun'!H126</f>
        <v>90.904999999999973</v>
      </c>
      <c r="K270" s="11">
        <f>'Sardina comun'!I126</f>
        <v>0</v>
      </c>
      <c r="L270" s="11">
        <f>'Sardina comun'!K126</f>
        <v>90.904999999999973</v>
      </c>
      <c r="M270" s="49">
        <f>'Sardina comun'!L126</f>
        <v>0</v>
      </c>
      <c r="N270" s="55">
        <f>'Sardina comun'!M126</f>
        <v>0</v>
      </c>
      <c r="O270" s="34">
        <f>RESUMEN!$B$3</f>
        <v>44020</v>
      </c>
      <c r="P270" s="11">
        <v>2020</v>
      </c>
    </row>
    <row r="271" spans="1:16">
      <c r="A271" s="11" t="s">
        <v>174</v>
      </c>
      <c r="B271" s="52" t="s">
        <v>280</v>
      </c>
      <c r="C271" s="11" t="s">
        <v>279</v>
      </c>
      <c r="D271" t="s">
        <v>272</v>
      </c>
      <c r="E271" s="11" t="str">
        <f>'Sardina comun'!D127</f>
        <v>ASOGPESCA ANCUD. AG 4266</v>
      </c>
      <c r="F271" t="s">
        <v>259</v>
      </c>
      <c r="G271" t="s">
        <v>260</v>
      </c>
      <c r="H271" s="11">
        <f>'Sardina comun'!F127</f>
        <v>1046.5119999999999</v>
      </c>
      <c r="I271" s="11">
        <f>'Sardina comun'!G127</f>
        <v>-440</v>
      </c>
      <c r="J271" s="11">
        <f>'Sardina comun'!H127</f>
        <v>606.51199999999994</v>
      </c>
      <c r="K271" s="11">
        <f>'Sardina comun'!I127</f>
        <v>375.75700000000006</v>
      </c>
      <c r="L271" s="11">
        <f>'Sardina comun'!K127</f>
        <v>230.75499999999988</v>
      </c>
      <c r="M271" s="49">
        <f>'Sardina comun'!L127</f>
        <v>0.61953761838182941</v>
      </c>
      <c r="N271" s="55">
        <f>'Sardina comun'!M127</f>
        <v>0</v>
      </c>
      <c r="O271" s="34">
        <f>RESUMEN!$B$3</f>
        <v>44020</v>
      </c>
      <c r="P271" s="11">
        <v>2020</v>
      </c>
    </row>
    <row r="272" spans="1:16">
      <c r="A272" s="11" t="s">
        <v>174</v>
      </c>
      <c r="B272" s="52" t="s">
        <v>280</v>
      </c>
      <c r="C272" s="11" t="s">
        <v>279</v>
      </c>
      <c r="D272" t="s">
        <v>272</v>
      </c>
      <c r="E272" s="11" t="str">
        <f>'Sardina comun'!D128</f>
        <v>AQUEPESCA. AG 270-10</v>
      </c>
      <c r="F272" t="s">
        <v>259</v>
      </c>
      <c r="G272" t="s">
        <v>260</v>
      </c>
      <c r="H272" s="11">
        <f>'Sardina comun'!F128</f>
        <v>635.77800000000002</v>
      </c>
      <c r="I272" s="11">
        <f>'Sardina comun'!G128</f>
        <v>-536</v>
      </c>
      <c r="J272" s="11">
        <f>'Sardina comun'!H128</f>
        <v>99.77800000000002</v>
      </c>
      <c r="K272" s="11">
        <f>'Sardina comun'!I128</f>
        <v>0</v>
      </c>
      <c r="L272" s="11">
        <f>'Sardina comun'!K128</f>
        <v>99.77800000000002</v>
      </c>
      <c r="M272" s="49">
        <f>'Sardina comun'!L128</f>
        <v>0</v>
      </c>
      <c r="N272" s="55">
        <f>'Sardina comun'!M128</f>
        <v>0</v>
      </c>
      <c r="O272" s="34">
        <f>RESUMEN!$B$3</f>
        <v>44020</v>
      </c>
      <c r="P272" s="11">
        <v>2020</v>
      </c>
    </row>
    <row r="273" spans="1:16">
      <c r="A273" s="11" t="s">
        <v>174</v>
      </c>
      <c r="B273" s="52" t="s">
        <v>280</v>
      </c>
      <c r="C273" s="11" t="s">
        <v>279</v>
      </c>
      <c r="D273" t="s">
        <v>272</v>
      </c>
      <c r="E273" s="11" t="str">
        <f>'Sardina comun'!D129</f>
        <v>STI CAMINO CHINQUIHUE. RSU 10.01.0942</v>
      </c>
      <c r="F273" t="s">
        <v>259</v>
      </c>
      <c r="G273" t="s">
        <v>260</v>
      </c>
      <c r="H273" s="11">
        <f>'Sardina comun'!F129</f>
        <v>524.52700000000004</v>
      </c>
      <c r="I273" s="11">
        <f>'Sardina comun'!G129</f>
        <v>-486</v>
      </c>
      <c r="J273" s="11">
        <f>'Sardina comun'!H129</f>
        <v>38.527000000000044</v>
      </c>
      <c r="K273" s="11">
        <f>'Sardina comun'!I129</f>
        <v>14.33</v>
      </c>
      <c r="L273" s="11">
        <f>'Sardina comun'!K129</f>
        <v>24.197000000000045</v>
      </c>
      <c r="M273" s="49">
        <f>'Sardina comun'!L129</f>
        <v>0.37194694629740138</v>
      </c>
      <c r="N273" s="55">
        <f>'Sardina comun'!M129</f>
        <v>0</v>
      </c>
      <c r="O273" s="34">
        <f>RESUMEN!$B$3</f>
        <v>44020</v>
      </c>
      <c r="P273" s="11">
        <v>2020</v>
      </c>
    </row>
    <row r="274" spans="1:16">
      <c r="A274" s="11" t="s">
        <v>174</v>
      </c>
      <c r="B274" s="52" t="s">
        <v>280</v>
      </c>
      <c r="C274" s="11" t="s">
        <v>279</v>
      </c>
      <c r="D274" t="s">
        <v>272</v>
      </c>
      <c r="E274" s="11" t="str">
        <f>'Sardina comun'!D130</f>
        <v xml:space="preserve">STI PECERCAL RSU 10.01.0948 </v>
      </c>
      <c r="F274" t="s">
        <v>259</v>
      </c>
      <c r="G274" t="s">
        <v>260</v>
      </c>
      <c r="H274" s="11">
        <f>'Sardina comun'!F130</f>
        <v>2622.5540000000001</v>
      </c>
      <c r="I274" s="11">
        <f>'Sardina comun'!G130</f>
        <v>-2239.2669999999998</v>
      </c>
      <c r="J274" s="11">
        <f>'Sardina comun'!H130</f>
        <v>383.28700000000026</v>
      </c>
      <c r="K274" s="11">
        <f>'Sardina comun'!I130</f>
        <v>278.22399999999999</v>
      </c>
      <c r="L274" s="11">
        <f>'Sardina comun'!K130</f>
        <v>105.06300000000027</v>
      </c>
      <c r="M274" s="49">
        <f>'Sardina comun'!L130</f>
        <v>0.72588947707592433</v>
      </c>
      <c r="N274" s="55">
        <f>'Sardina comun'!M130</f>
        <v>0</v>
      </c>
      <c r="O274" s="34">
        <f>RESUMEN!$B$3</f>
        <v>44020</v>
      </c>
      <c r="P274" s="11">
        <v>2020</v>
      </c>
    </row>
    <row r="275" spans="1:16">
      <c r="A275" s="11" t="s">
        <v>174</v>
      </c>
      <c r="B275" s="52" t="s">
        <v>280</v>
      </c>
      <c r="C275" s="11" t="s">
        <v>279</v>
      </c>
      <c r="D275" s="11" t="s">
        <v>272</v>
      </c>
      <c r="E275" s="11" t="str">
        <f>'Sardina comun'!D131</f>
        <v>STI PROVEEDORES MARITIMOS DE QUILLAIPE. RSU 10.01.0835</v>
      </c>
      <c r="F275" t="s">
        <v>259</v>
      </c>
      <c r="G275" t="s">
        <v>260</v>
      </c>
      <c r="H275" s="11">
        <f>'Sardina comun'!F131</f>
        <v>463.89100000000002</v>
      </c>
      <c r="I275" s="11">
        <f>'Sardina comun'!G131</f>
        <v>-368</v>
      </c>
      <c r="J275" s="11">
        <f>'Sardina comun'!H131</f>
        <v>95.89100000000002</v>
      </c>
      <c r="K275" s="11">
        <f>'Sardina comun'!I131</f>
        <v>13.338000000000001</v>
      </c>
      <c r="L275" s="11">
        <f>'Sardina comun'!K131</f>
        <v>82.553000000000026</v>
      </c>
      <c r="M275" s="49">
        <f>'Sardina comun'!L131</f>
        <v>0.13909543127092217</v>
      </c>
      <c r="N275" s="55">
        <f>'Sardina comun'!M131</f>
        <v>0</v>
      </c>
      <c r="O275" s="34">
        <f>RESUMEN!$B$3</f>
        <v>44020</v>
      </c>
      <c r="P275" s="11">
        <v>2020</v>
      </c>
    </row>
    <row r="276" spans="1:16">
      <c r="A276" s="11" t="s">
        <v>174</v>
      </c>
      <c r="B276" s="52" t="s">
        <v>280</v>
      </c>
      <c r="C276" s="11" t="s">
        <v>279</v>
      </c>
      <c r="D276" s="11" t="s">
        <v>272</v>
      </c>
      <c r="E276" s="11" t="str">
        <f>'Sardina comun'!D132</f>
        <v>CUOTA RESIDUAL X</v>
      </c>
      <c r="F276" t="s">
        <v>259</v>
      </c>
      <c r="G276" t="s">
        <v>260</v>
      </c>
      <c r="H276" s="11">
        <f>'Sardina comun'!F132</f>
        <v>338.21499999999997</v>
      </c>
      <c r="I276" s="11">
        <f>'Sardina comun'!G132</f>
        <v>0</v>
      </c>
      <c r="J276" s="11">
        <f>'Sardina comun'!H132</f>
        <v>338.21499999999997</v>
      </c>
      <c r="K276" s="11">
        <f>'Sardina comun'!I132</f>
        <v>4.1000000000000002E-2</v>
      </c>
      <c r="L276" s="11">
        <f>'Sardina comun'!K132</f>
        <v>338.17399999999998</v>
      </c>
      <c r="M276" s="49">
        <f>'Sardina comun'!L132</f>
        <v>1.2122466478423489E-4</v>
      </c>
      <c r="N276" s="55">
        <f>'Sardina comun'!M132</f>
        <v>0</v>
      </c>
      <c r="O276" s="34">
        <f>RESUMEN!$B$3</f>
        <v>44020</v>
      </c>
      <c r="P276" s="11">
        <v>2020</v>
      </c>
    </row>
    <row r="277" spans="1:16">
      <c r="A277" s="11" t="s">
        <v>174</v>
      </c>
      <c r="B277" s="52" t="s">
        <v>280</v>
      </c>
      <c r="C277" s="11" t="s">
        <v>279</v>
      </c>
      <c r="D277" s="11" t="s">
        <v>272</v>
      </c>
      <c r="E277" s="11" t="str">
        <f>'Sardina comun'!D133</f>
        <v>STI ESTRELLA SUR DE CALBUCO. RSU 10.01.0571</v>
      </c>
      <c r="F277" t="s">
        <v>259</v>
      </c>
      <c r="G277" t="s">
        <v>260</v>
      </c>
      <c r="H277" s="11">
        <f>'Sardina comun'!F133</f>
        <v>0</v>
      </c>
      <c r="I277" s="11">
        <f>'Sardina comun'!G133</f>
        <v>0</v>
      </c>
      <c r="J277" s="11">
        <f>'Sardina comun'!H133</f>
        <v>0</v>
      </c>
      <c r="K277" s="11">
        <f>'Sardina comun'!I133</f>
        <v>0</v>
      </c>
      <c r="L277" s="11">
        <f>'Sardina comun'!K133</f>
        <v>0</v>
      </c>
      <c r="M277" s="49">
        <f>'Sardina comun'!L133</f>
        <v>0</v>
      </c>
      <c r="N277" s="55">
        <f>'Sardina comun'!M133</f>
        <v>0</v>
      </c>
      <c r="O277" s="34">
        <f>RESUMEN!$B$3</f>
        <v>44020</v>
      </c>
      <c r="P277" s="11">
        <v>2020</v>
      </c>
    </row>
    <row r="278" spans="1:16">
      <c r="A278" s="43" t="s">
        <v>174</v>
      </c>
      <c r="B278" s="43" t="s">
        <v>280</v>
      </c>
      <c r="C278" s="43" t="s">
        <v>279</v>
      </c>
      <c r="D278" s="43" t="s">
        <v>272</v>
      </c>
      <c r="E278" s="43" t="str">
        <f>'Sardina comun'!D134</f>
        <v xml:space="preserve">Total Región de Los Lagos </v>
      </c>
      <c r="F278" s="43" t="s">
        <v>259</v>
      </c>
      <c r="G278" s="43" t="s">
        <v>260</v>
      </c>
      <c r="H278" s="43">
        <f>'Sardina comun'!F134</f>
        <v>13296.959000000001</v>
      </c>
      <c r="I278" s="43">
        <f>'Sardina comun'!G134</f>
        <v>-10419.267</v>
      </c>
      <c r="J278" s="43">
        <f>'Sardina comun'!H134</f>
        <v>2877.6920000000009</v>
      </c>
      <c r="K278" s="43">
        <f>'Sardina comun'!I134</f>
        <v>1255.559</v>
      </c>
      <c r="L278" s="43">
        <f>'Sardina comun'!K134</f>
        <v>1622.1330000000009</v>
      </c>
      <c r="M278" s="51">
        <f>'Sardina comun'!L134</f>
        <v>0.43630763820450541</v>
      </c>
      <c r="N278" s="56">
        <f>'Sardina comun'!M134</f>
        <v>0</v>
      </c>
      <c r="O278" s="34">
        <f>RESUMEN!$B$3</f>
        <v>44020</v>
      </c>
      <c r="P278" s="11">
        <v>2020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C2:L51"/>
  <sheetViews>
    <sheetView topLeftCell="G31" workbookViewId="0">
      <selection activeCell="H35" sqref="H35"/>
    </sheetView>
  </sheetViews>
  <sheetFormatPr baseColWidth="10" defaultRowHeight="15"/>
  <cols>
    <col min="4" max="4" width="32.7109375" customWidth="1"/>
    <col min="5" max="6" width="14.140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</cols>
  <sheetData>
    <row r="2" spans="3:12">
      <c r="C2" s="214" t="s">
        <v>23</v>
      </c>
      <c r="D2" s="214"/>
      <c r="E2" s="214"/>
      <c r="F2" s="214"/>
      <c r="G2" s="214"/>
      <c r="H2" s="214"/>
      <c r="I2" s="214"/>
      <c r="J2" s="214"/>
      <c r="K2" s="214"/>
      <c r="L2" s="214"/>
    </row>
    <row r="3" spans="3:12">
      <c r="C3" s="215">
        <f>RESUMEN!B3</f>
        <v>44020</v>
      </c>
      <c r="D3" s="216"/>
      <c r="E3" s="216"/>
      <c r="F3" s="216"/>
      <c r="G3" s="216"/>
      <c r="H3" s="216"/>
      <c r="I3" s="216"/>
      <c r="J3" s="216"/>
      <c r="K3" s="216"/>
      <c r="L3" s="216"/>
    </row>
    <row r="5" spans="3:12">
      <c r="D5" s="71" t="s">
        <v>24</v>
      </c>
      <c r="E5" s="4">
        <v>35083</v>
      </c>
    </row>
    <row r="6" spans="3:12" ht="20.25" customHeight="1">
      <c r="D6" s="69" t="s">
        <v>36</v>
      </c>
      <c r="E6" s="70" t="s">
        <v>0</v>
      </c>
      <c r="F6" s="70" t="s">
        <v>20</v>
      </c>
      <c r="G6" s="70" t="s">
        <v>1</v>
      </c>
      <c r="H6" s="70" t="s">
        <v>2</v>
      </c>
      <c r="I6" s="70" t="s">
        <v>3</v>
      </c>
      <c r="J6" s="70" t="s">
        <v>4</v>
      </c>
      <c r="K6" s="70" t="s">
        <v>5</v>
      </c>
      <c r="L6" s="70" t="s">
        <v>6</v>
      </c>
    </row>
    <row r="7" spans="3:12" ht="15" customHeight="1">
      <c r="C7" s="211" t="s">
        <v>21</v>
      </c>
      <c r="D7" s="1" t="s">
        <v>7</v>
      </c>
      <c r="E7" s="1" t="s">
        <v>19</v>
      </c>
      <c r="F7" s="1">
        <f>0.2111619</f>
        <v>0.21116190000000001</v>
      </c>
      <c r="G7" s="2">
        <f t="shared" ref="G7:G23" si="0">$E$5*F7</f>
        <v>7408.1929377000006</v>
      </c>
      <c r="H7" s="1">
        <f>-203-2030-2476-756-743-140-274-323</f>
        <v>-6945</v>
      </c>
      <c r="I7" s="2">
        <f>G7+H7</f>
        <v>463.19293770000058</v>
      </c>
      <c r="J7" s="1"/>
      <c r="K7" s="2">
        <f>I7-J7</f>
        <v>463.19293770000058</v>
      </c>
      <c r="L7" s="3">
        <f>J7/I7</f>
        <v>0</v>
      </c>
    </row>
    <row r="8" spans="3:12">
      <c r="C8" s="212"/>
      <c r="D8" s="1" t="s">
        <v>8</v>
      </c>
      <c r="E8" s="1" t="s">
        <v>19</v>
      </c>
      <c r="F8" s="1">
        <f>0.2233644</f>
        <v>0.22336439999999999</v>
      </c>
      <c r="G8" s="2">
        <f t="shared" si="0"/>
        <v>7836.2932451999995</v>
      </c>
      <c r="H8" s="1">
        <f>-624-200-2268-740-150-550-964-380</f>
        <v>-5876</v>
      </c>
      <c r="I8" s="2">
        <f t="shared" ref="I8:I22" si="1">G8+H8</f>
        <v>1960.2932451999995</v>
      </c>
      <c r="J8" s="1"/>
      <c r="K8" s="2">
        <f t="shared" ref="K8:K23" si="2">I8-J8</f>
        <v>1960.2932451999995</v>
      </c>
      <c r="L8" s="3">
        <f t="shared" ref="L8:L23" si="3">J8/I8</f>
        <v>0</v>
      </c>
    </row>
    <row r="9" spans="3:12">
      <c r="C9" s="212"/>
      <c r="D9" s="1" t="s">
        <v>9</v>
      </c>
      <c r="E9" s="1" t="s">
        <v>19</v>
      </c>
      <c r="F9" s="1">
        <f>0.1470696</f>
        <v>0.14706959999999999</v>
      </c>
      <c r="G9" s="2">
        <f t="shared" si="0"/>
        <v>5159.6427767999994</v>
      </c>
      <c r="H9" s="1">
        <f>-2732-1209-116</f>
        <v>-4057</v>
      </c>
      <c r="I9" s="2">
        <f t="shared" si="1"/>
        <v>1102.6427767999994</v>
      </c>
      <c r="J9" s="1"/>
      <c r="K9" s="2">
        <f t="shared" si="2"/>
        <v>1102.6427767999994</v>
      </c>
      <c r="L9" s="3">
        <f t="shared" si="3"/>
        <v>0</v>
      </c>
    </row>
    <row r="10" spans="3:12">
      <c r="C10" s="212"/>
      <c r="D10" s="1" t="s">
        <v>10</v>
      </c>
      <c r="E10" s="1" t="s">
        <v>19</v>
      </c>
      <c r="F10" s="1">
        <f>0.007372</f>
        <v>7.3720000000000001E-3</v>
      </c>
      <c r="G10" s="2">
        <f t="shared" si="0"/>
        <v>258.63187599999998</v>
      </c>
      <c r="H10" s="1"/>
      <c r="I10" s="2">
        <f t="shared" si="1"/>
        <v>258.63187599999998</v>
      </c>
      <c r="J10" s="1"/>
      <c r="K10" s="2">
        <f t="shared" si="2"/>
        <v>258.63187599999998</v>
      </c>
      <c r="L10" s="3">
        <f t="shared" si="3"/>
        <v>0</v>
      </c>
    </row>
    <row r="11" spans="3:12" s="11" customFormat="1">
      <c r="C11" s="212"/>
      <c r="D11" s="1" t="s">
        <v>28</v>
      </c>
      <c r="E11" s="1" t="s">
        <v>19</v>
      </c>
      <c r="F11" s="1">
        <f>0.005+0.005+0.005+0.0025+0.0025</f>
        <v>1.9999999999999997E-2</v>
      </c>
      <c r="G11" s="2">
        <f t="shared" si="0"/>
        <v>701.65999999999985</v>
      </c>
      <c r="H11" s="1">
        <f>-701.661</f>
        <v>-701.66099999999994</v>
      </c>
      <c r="I11" s="2">
        <f t="shared" si="1"/>
        <v>-1.00000000009004E-3</v>
      </c>
      <c r="J11" s="1"/>
      <c r="K11" s="2">
        <f t="shared" si="2"/>
        <v>-1.00000000009004E-3</v>
      </c>
      <c r="L11" s="3">
        <v>1</v>
      </c>
    </row>
    <row r="12" spans="3:12" s="11" customFormat="1">
      <c r="C12" s="212"/>
      <c r="D12" s="1" t="s">
        <v>307</v>
      </c>
      <c r="E12" s="1" t="s">
        <v>19</v>
      </c>
      <c r="F12" s="1">
        <f>0.005+0.005+0.005+0.005</f>
        <v>0.02</v>
      </c>
      <c r="G12" s="2">
        <f t="shared" si="0"/>
        <v>701.66</v>
      </c>
      <c r="H12" s="1">
        <f>-701.66</f>
        <v>-701.66</v>
      </c>
      <c r="I12" s="2">
        <f t="shared" si="1"/>
        <v>0</v>
      </c>
      <c r="J12" s="1"/>
      <c r="K12" s="2">
        <f t="shared" si="2"/>
        <v>0</v>
      </c>
      <c r="L12" s="3">
        <v>1</v>
      </c>
    </row>
    <row r="13" spans="3:12" s="11" customFormat="1">
      <c r="C13" s="212"/>
      <c r="D13" s="1" t="s">
        <v>306</v>
      </c>
      <c r="E13" s="1" t="s">
        <v>19</v>
      </c>
      <c r="F13" s="1">
        <f>0.0025+0.0025+0.0015+0.0015+0.001+0.001</f>
        <v>1.0000000000000002E-2</v>
      </c>
      <c r="G13" s="2">
        <f t="shared" si="0"/>
        <v>350.83000000000004</v>
      </c>
      <c r="H13" s="1">
        <f>-350.83</f>
        <v>-350.83</v>
      </c>
      <c r="I13" s="2">
        <f t="shared" si="1"/>
        <v>0</v>
      </c>
      <c r="J13" s="1"/>
      <c r="K13" s="2">
        <f t="shared" si="2"/>
        <v>0</v>
      </c>
      <c r="L13" s="3">
        <v>1</v>
      </c>
    </row>
    <row r="14" spans="3:12">
      <c r="C14" s="212"/>
      <c r="D14" s="1" t="s">
        <v>11</v>
      </c>
      <c r="E14" s="1" t="s">
        <v>19</v>
      </c>
      <c r="F14" s="1">
        <f>0.0100896+0.0038372</f>
        <v>1.39268E-2</v>
      </c>
      <c r="G14" s="2">
        <f t="shared" si="0"/>
        <v>488.59392439999999</v>
      </c>
      <c r="H14" s="1">
        <f>-53.677-299.96</f>
        <v>-353.637</v>
      </c>
      <c r="I14" s="2">
        <f t="shared" si="1"/>
        <v>134.95692439999999</v>
      </c>
      <c r="J14" s="1"/>
      <c r="K14" s="2">
        <f t="shared" si="2"/>
        <v>134.95692439999999</v>
      </c>
      <c r="L14" s="3">
        <f t="shared" si="3"/>
        <v>0</v>
      </c>
    </row>
    <row r="15" spans="3:12">
      <c r="C15" s="212"/>
      <c r="D15" s="1" t="s">
        <v>12</v>
      </c>
      <c r="E15" s="1" t="s">
        <v>19</v>
      </c>
      <c r="F15" s="1">
        <f>0.01008+0.0091203+0.005662</f>
        <v>2.48623E-2</v>
      </c>
      <c r="G15" s="2">
        <f t="shared" si="0"/>
        <v>872.2440709</v>
      </c>
      <c r="H15" s="1">
        <f>-182.432</f>
        <v>-182.43199999999999</v>
      </c>
      <c r="I15" s="2">
        <f t="shared" si="1"/>
        <v>689.81207089999998</v>
      </c>
      <c r="J15" s="1"/>
      <c r="K15" s="2">
        <f t="shared" si="2"/>
        <v>689.81207089999998</v>
      </c>
      <c r="L15" s="3">
        <f t="shared" si="3"/>
        <v>0</v>
      </c>
    </row>
    <row r="16" spans="3:12">
      <c r="C16" s="212"/>
      <c r="D16" s="1" t="s">
        <v>13</v>
      </c>
      <c r="E16" s="1" t="s">
        <v>19</v>
      </c>
      <c r="F16" s="1">
        <f>0.0306187</f>
        <v>3.0618699999999999E-2</v>
      </c>
      <c r="G16" s="2">
        <f t="shared" si="0"/>
        <v>1074.1958520999999</v>
      </c>
      <c r="H16" s="1">
        <f>-958-108</f>
        <v>-1066</v>
      </c>
      <c r="I16" s="2">
        <f t="shared" si="1"/>
        <v>8.1958520999999109</v>
      </c>
      <c r="J16" s="1"/>
      <c r="K16" s="2">
        <f t="shared" si="2"/>
        <v>8.1958520999999109</v>
      </c>
      <c r="L16" s="3">
        <f t="shared" si="3"/>
        <v>0</v>
      </c>
    </row>
    <row r="17" spans="3:12">
      <c r="C17" s="212"/>
      <c r="D17" s="1" t="s">
        <v>14</v>
      </c>
      <c r="E17" s="1" t="s">
        <v>19</v>
      </c>
      <c r="F17" s="1">
        <f>0.0000152</f>
        <v>1.52E-5</v>
      </c>
      <c r="G17" s="2">
        <f t="shared" si="0"/>
        <v>0.5332616</v>
      </c>
      <c r="H17" s="1"/>
      <c r="I17" s="2">
        <f t="shared" si="1"/>
        <v>0.5332616</v>
      </c>
      <c r="J17" s="1"/>
      <c r="K17" s="2">
        <f t="shared" si="2"/>
        <v>0.5332616</v>
      </c>
      <c r="L17" s="3">
        <f t="shared" si="3"/>
        <v>0</v>
      </c>
    </row>
    <row r="18" spans="3:12">
      <c r="C18" s="212"/>
      <c r="D18" s="1" t="s">
        <v>15</v>
      </c>
      <c r="E18" s="1" t="s">
        <v>19</v>
      </c>
      <c r="F18" s="1">
        <f>0.0665204</f>
        <v>6.6520399999999993E-2</v>
      </c>
      <c r="G18" s="2">
        <f t="shared" si="0"/>
        <v>2333.7351931999997</v>
      </c>
      <c r="H18" s="1">
        <f>-231-664-1315-101</f>
        <v>-2311</v>
      </c>
      <c r="I18" s="2">
        <f t="shared" si="1"/>
        <v>22.735193199999685</v>
      </c>
      <c r="J18" s="1"/>
      <c r="K18" s="2">
        <f t="shared" si="2"/>
        <v>22.735193199999685</v>
      </c>
      <c r="L18" s="3">
        <f t="shared" si="3"/>
        <v>0</v>
      </c>
    </row>
    <row r="19" spans="3:12">
      <c r="C19" s="212"/>
      <c r="D19" s="1" t="s">
        <v>16</v>
      </c>
      <c r="E19" s="1" t="s">
        <v>19</v>
      </c>
      <c r="F19" s="1">
        <f>0.0154925</f>
        <v>1.5492499999999999E-2</v>
      </c>
      <c r="G19" s="2">
        <f t="shared" si="0"/>
        <v>543.52337749999992</v>
      </c>
      <c r="H19" s="1">
        <f>-450</f>
        <v>-450</v>
      </c>
      <c r="I19" s="2">
        <f t="shared" si="1"/>
        <v>93.523377499999924</v>
      </c>
      <c r="J19" s="1"/>
      <c r="K19" s="2">
        <f t="shared" si="2"/>
        <v>93.523377499999924</v>
      </c>
      <c r="L19" s="3">
        <f t="shared" si="3"/>
        <v>0</v>
      </c>
    </row>
    <row r="20" spans="3:12">
      <c r="C20" s="212"/>
      <c r="D20" s="1" t="s">
        <v>17</v>
      </c>
      <c r="E20" s="1" t="s">
        <v>19</v>
      </c>
      <c r="F20" s="1">
        <f>0.2023562</f>
        <v>0.20235620000000001</v>
      </c>
      <c r="G20" s="2">
        <f t="shared" si="0"/>
        <v>7099.2625646000006</v>
      </c>
      <c r="H20" s="1">
        <f>-1124-2850-190</f>
        <v>-4164</v>
      </c>
      <c r="I20" s="2">
        <f t="shared" si="1"/>
        <v>2935.2625646000006</v>
      </c>
      <c r="J20" s="155">
        <v>5.0410000000000004</v>
      </c>
      <c r="K20" s="2">
        <f t="shared" si="2"/>
        <v>2930.2215646000004</v>
      </c>
      <c r="L20" s="3">
        <f t="shared" si="3"/>
        <v>1.7173932106775451E-3</v>
      </c>
    </row>
    <row r="21" spans="3:12">
      <c r="C21" s="212"/>
      <c r="D21" s="1" t="s">
        <v>18</v>
      </c>
      <c r="E21" s="1" t="s">
        <v>19</v>
      </c>
      <c r="F21" s="1">
        <f>0.0000855</f>
        <v>8.5500000000000005E-5</v>
      </c>
      <c r="G21" s="2">
        <f t="shared" si="0"/>
        <v>2.9995965</v>
      </c>
      <c r="H21" s="1"/>
      <c r="I21" s="2">
        <f t="shared" si="1"/>
        <v>2.9995965</v>
      </c>
      <c r="J21" s="1"/>
      <c r="K21" s="2">
        <f t="shared" si="2"/>
        <v>2.9995965</v>
      </c>
      <c r="L21" s="3">
        <f t="shared" si="3"/>
        <v>0</v>
      </c>
    </row>
    <row r="22" spans="3:12">
      <c r="C22" s="212"/>
      <c r="D22" s="1" t="s">
        <v>241</v>
      </c>
      <c r="E22" s="1" t="s">
        <v>19</v>
      </c>
      <c r="F22" s="1">
        <f>0.0071545</f>
        <v>7.1545000000000003E-3</v>
      </c>
      <c r="G22" s="2">
        <f t="shared" si="0"/>
        <v>251.00132350000001</v>
      </c>
      <c r="H22" s="1">
        <f>-251</f>
        <v>-251</v>
      </c>
      <c r="I22" s="2">
        <f t="shared" si="1"/>
        <v>1.3235000000122454E-3</v>
      </c>
      <c r="J22" s="1"/>
      <c r="K22" s="2">
        <f t="shared" si="2"/>
        <v>1.3235000000122454E-3</v>
      </c>
      <c r="L22" s="3">
        <v>1</v>
      </c>
    </row>
    <row r="23" spans="3:12">
      <c r="C23" s="213"/>
      <c r="D23" s="7" t="s">
        <v>256</v>
      </c>
      <c r="E23" s="7" t="s">
        <v>19</v>
      </c>
      <c r="F23" s="7">
        <f>SUM(F7:F22)</f>
        <v>1.0000000000000002</v>
      </c>
      <c r="G23" s="8">
        <f t="shared" si="0"/>
        <v>35083.000000000007</v>
      </c>
      <c r="H23" s="7">
        <f>SUM(H7:H22)</f>
        <v>-27410.22</v>
      </c>
      <c r="I23" s="8">
        <f>G23+H23</f>
        <v>7672.7800000000061</v>
      </c>
      <c r="J23" s="7">
        <f>SUM(J7:J22)</f>
        <v>5.0410000000000004</v>
      </c>
      <c r="K23" s="8">
        <f t="shared" si="2"/>
        <v>7667.7390000000059</v>
      </c>
      <c r="L23" s="9">
        <f t="shared" si="3"/>
        <v>6.5699785475407827E-4</v>
      </c>
    </row>
    <row r="28" spans="3:12">
      <c r="D28" s="72" t="s">
        <v>25</v>
      </c>
      <c r="E28" s="4">
        <v>69234</v>
      </c>
    </row>
    <row r="29" spans="3:12">
      <c r="D29" s="74" t="s">
        <v>36</v>
      </c>
      <c r="E29" s="73" t="s">
        <v>0</v>
      </c>
      <c r="F29" s="73" t="s">
        <v>20</v>
      </c>
      <c r="G29" s="73" t="s">
        <v>1</v>
      </c>
      <c r="H29" s="73" t="s">
        <v>2</v>
      </c>
      <c r="I29" s="73" t="s">
        <v>3</v>
      </c>
      <c r="J29" s="73" t="s">
        <v>4</v>
      </c>
      <c r="K29" s="73" t="s">
        <v>5</v>
      </c>
      <c r="L29" s="73" t="s">
        <v>6</v>
      </c>
    </row>
    <row r="30" spans="3:12" ht="15" customHeight="1">
      <c r="C30" s="217" t="s">
        <v>22</v>
      </c>
      <c r="D30" s="1" t="s">
        <v>7</v>
      </c>
      <c r="E30" s="1" t="s">
        <v>19</v>
      </c>
      <c r="F30" s="1">
        <f>0.0884022</f>
        <v>8.84022E-2</v>
      </c>
      <c r="G30" s="2">
        <f>F30*$E$28</f>
        <v>6120.4379147999998</v>
      </c>
      <c r="H30" s="1">
        <f>-147-1677-1724-544-869-110-176-477</f>
        <v>-5724</v>
      </c>
      <c r="I30" s="2">
        <f>G30+H30</f>
        <v>396.43791479999982</v>
      </c>
      <c r="J30" s="1"/>
      <c r="K30" s="2">
        <f>I30-J30</f>
        <v>396.43791479999982</v>
      </c>
      <c r="L30" s="6">
        <f>J30/I30</f>
        <v>0</v>
      </c>
    </row>
    <row r="31" spans="3:12">
      <c r="C31" s="217"/>
      <c r="D31" s="1" t="s">
        <v>8</v>
      </c>
      <c r="E31" s="1" t="s">
        <v>19</v>
      </c>
      <c r="F31" s="1">
        <f>0.212974</f>
        <v>0.212974</v>
      </c>
      <c r="G31" s="2">
        <f>F31*$E$28</f>
        <v>14745.041916</v>
      </c>
      <c r="H31" s="1">
        <f>-1550-1100-4810-1500-350-1503-1966-800</f>
        <v>-13579</v>
      </c>
      <c r="I31" s="2">
        <f t="shared" ref="I31:I51" si="4">G31+H31</f>
        <v>1166.0419160000001</v>
      </c>
      <c r="J31" s="1"/>
      <c r="K31" s="2">
        <f t="shared" ref="K31:K51" si="5">I31-J31</f>
        <v>1166.0419160000001</v>
      </c>
      <c r="L31" s="6">
        <f t="shared" ref="L31:L51" si="6">J31/I31</f>
        <v>0</v>
      </c>
    </row>
    <row r="32" spans="3:12">
      <c r="C32" s="217"/>
      <c r="D32" s="1" t="s">
        <v>9</v>
      </c>
      <c r="E32" s="1" t="s">
        <v>19</v>
      </c>
      <c r="F32" s="1">
        <f>0.1558129+0.0045+0.006+0.006+0.006+0.006</f>
        <v>0.18431290000000003</v>
      </c>
      <c r="G32" s="2">
        <f>F32*$E$28</f>
        <v>12760.719318600002</v>
      </c>
      <c r="H32" s="1">
        <f>-6690-2941-248</f>
        <v>-9879</v>
      </c>
      <c r="I32" s="2">
        <f t="shared" si="4"/>
        <v>2881.7193186000022</v>
      </c>
      <c r="J32" s="1"/>
      <c r="K32" s="2">
        <f t="shared" si="5"/>
        <v>2881.7193186000022</v>
      </c>
      <c r="L32" s="6">
        <f t="shared" si="6"/>
        <v>0</v>
      </c>
    </row>
    <row r="33" spans="3:12">
      <c r="C33" s="217"/>
      <c r="D33" s="1" t="s">
        <v>11</v>
      </c>
      <c r="E33" s="1" t="s">
        <v>19</v>
      </c>
      <c r="F33" s="1">
        <f>0.0083744+0.0083744+0.0083744+0.0083734+0.0083734+0.0083734+0.0083734+0.0091293</f>
        <v>6.7746100000000004E-2</v>
      </c>
      <c r="G33" s="2">
        <f t="shared" ref="G33:G50" si="7">F33*$E$28</f>
        <v>4690.3334874000002</v>
      </c>
      <c r="H33" s="1">
        <f>-1446.907-2700.375</f>
        <v>-4147.2820000000002</v>
      </c>
      <c r="I33" s="2">
        <f t="shared" si="4"/>
        <v>543.05148740000004</v>
      </c>
      <c r="J33" s="1"/>
      <c r="K33" s="2">
        <f t="shared" si="5"/>
        <v>543.05148740000004</v>
      </c>
      <c r="L33" s="6">
        <f t="shared" si="6"/>
        <v>0</v>
      </c>
    </row>
    <row r="34" spans="3:12">
      <c r="C34" s="217"/>
      <c r="D34" s="1" t="s">
        <v>12</v>
      </c>
      <c r="E34" s="1" t="s">
        <v>19</v>
      </c>
      <c r="F34" s="1">
        <f>0.0080429+0.0080165</f>
        <v>1.6059400000000001E-2</v>
      </c>
      <c r="G34" s="2">
        <f t="shared" si="7"/>
        <v>1111.8564996</v>
      </c>
      <c r="H34" s="1">
        <f>-393.249</f>
        <v>-393.24900000000002</v>
      </c>
      <c r="I34" s="2">
        <f t="shared" si="4"/>
        <v>718.60749959999998</v>
      </c>
      <c r="J34" s="1"/>
      <c r="K34" s="2">
        <f t="shared" si="5"/>
        <v>718.60749959999998</v>
      </c>
      <c r="L34" s="6">
        <f t="shared" si="6"/>
        <v>0</v>
      </c>
    </row>
    <row r="35" spans="3:12">
      <c r="C35" s="217"/>
      <c r="D35" s="1" t="s">
        <v>13</v>
      </c>
      <c r="E35" s="1" t="s">
        <v>19</v>
      </c>
      <c r="F35" s="1">
        <f>0.0203397</f>
        <v>2.0339699999999999E-2</v>
      </c>
      <c r="G35" s="2">
        <f t="shared" si="7"/>
        <v>1408.1987898</v>
      </c>
      <c r="H35" s="1">
        <f>-1254-142</f>
        <v>-1396</v>
      </c>
      <c r="I35" s="2">
        <f t="shared" si="4"/>
        <v>12.198789799999986</v>
      </c>
      <c r="J35" s="1"/>
      <c r="K35" s="2">
        <f t="shared" si="5"/>
        <v>12.198789799999986</v>
      </c>
      <c r="L35" s="6">
        <v>0.99</v>
      </c>
    </row>
    <row r="36" spans="3:12">
      <c r="C36" s="217"/>
      <c r="D36" s="1" t="s">
        <v>14</v>
      </c>
      <c r="E36" s="1" t="s">
        <v>19</v>
      </c>
      <c r="F36" s="1">
        <f>0.000017</f>
        <v>1.7E-5</v>
      </c>
      <c r="G36" s="2">
        <f t="shared" si="7"/>
        <v>1.1769780000000001</v>
      </c>
      <c r="H36" s="1"/>
      <c r="I36" s="2">
        <f t="shared" si="4"/>
        <v>1.1769780000000001</v>
      </c>
      <c r="J36" s="1"/>
      <c r="K36" s="2">
        <f t="shared" si="5"/>
        <v>1.1769780000000001</v>
      </c>
      <c r="L36" s="6">
        <f t="shared" si="6"/>
        <v>0</v>
      </c>
    </row>
    <row r="37" spans="3:12">
      <c r="C37" s="217"/>
      <c r="D37" s="1" t="s">
        <v>15</v>
      </c>
      <c r="E37" s="1" t="s">
        <v>19</v>
      </c>
      <c r="F37" s="1">
        <f>0.0828862</f>
        <v>8.2886199999999993E-2</v>
      </c>
      <c r="G37" s="2">
        <f t="shared" si="7"/>
        <v>5738.5431707999996</v>
      </c>
      <c r="H37" s="1">
        <f>-569-1636-3235-249</f>
        <v>-5689</v>
      </c>
      <c r="I37" s="2">
        <f t="shared" si="4"/>
        <v>49.543170799999643</v>
      </c>
      <c r="J37" s="1"/>
      <c r="K37" s="2">
        <f t="shared" si="5"/>
        <v>49.543170799999643</v>
      </c>
      <c r="L37" s="6">
        <f t="shared" si="6"/>
        <v>0</v>
      </c>
    </row>
    <row r="38" spans="3:12">
      <c r="C38" s="217"/>
      <c r="D38" s="1" t="s">
        <v>16</v>
      </c>
      <c r="E38" s="1" t="s">
        <v>19</v>
      </c>
      <c r="F38" s="1">
        <f>0.0361458</f>
        <v>3.6145799999999999E-2</v>
      </c>
      <c r="G38" s="2">
        <f t="shared" si="7"/>
        <v>2502.5183171999997</v>
      </c>
      <c r="H38" s="1">
        <f>-2190</f>
        <v>-2190</v>
      </c>
      <c r="I38" s="2">
        <f t="shared" si="4"/>
        <v>312.51831719999973</v>
      </c>
      <c r="J38" s="1"/>
      <c r="K38" s="2">
        <f t="shared" si="5"/>
        <v>312.51831719999973</v>
      </c>
      <c r="L38" s="6">
        <f t="shared" si="6"/>
        <v>0</v>
      </c>
    </row>
    <row r="39" spans="3:12">
      <c r="C39" s="217"/>
      <c r="D39" s="1" t="s">
        <v>17</v>
      </c>
      <c r="E39" s="1" t="s">
        <v>19</v>
      </c>
      <c r="F39" s="1">
        <f>0.1653059+0.00449</f>
        <v>0.1697959</v>
      </c>
      <c r="G39" s="2">
        <f t="shared" si="7"/>
        <v>11755.649340600001</v>
      </c>
      <c r="H39" s="1">
        <f>-2123-4593-310</f>
        <v>-7026</v>
      </c>
      <c r="I39" s="2">
        <f t="shared" si="4"/>
        <v>4729.6493406000009</v>
      </c>
      <c r="J39" s="155">
        <v>51.098999999999997</v>
      </c>
      <c r="K39" s="2">
        <f t="shared" si="5"/>
        <v>4678.5503406000007</v>
      </c>
      <c r="L39" s="6">
        <f t="shared" si="6"/>
        <v>1.0803972201777987E-2</v>
      </c>
    </row>
    <row r="40" spans="3:12">
      <c r="C40" s="217"/>
      <c r="D40" s="1" t="s">
        <v>26</v>
      </c>
      <c r="E40" s="1" t="s">
        <v>19</v>
      </c>
      <c r="F40" s="119">
        <f>0.0015+0.00225+0.00225+0.00225002</f>
        <v>8.2500200000000003E-3</v>
      </c>
      <c r="G40" s="2">
        <f t="shared" si="7"/>
        <v>571.18188468000005</v>
      </c>
      <c r="H40" s="1">
        <f>-571.182</f>
        <v>-571.18200000000002</v>
      </c>
      <c r="I40" s="2">
        <f t="shared" si="4"/>
        <v>-1.1531999996350351E-4</v>
      </c>
      <c r="J40" s="1"/>
      <c r="K40" s="2">
        <f t="shared" si="5"/>
        <v>-1.1531999996350351E-4</v>
      </c>
      <c r="L40" s="6">
        <v>1</v>
      </c>
    </row>
    <row r="41" spans="3:12">
      <c r="C41" s="217"/>
      <c r="D41" s="1" t="s">
        <v>27</v>
      </c>
      <c r="E41" s="1" t="s">
        <v>19</v>
      </c>
      <c r="F41" s="1">
        <f>0.0015+0.0015+0.0015+0.0015+0.0015+0.0015+0.0015+0.0015+0.0015</f>
        <v>1.3499999999999998E-2</v>
      </c>
      <c r="G41" s="2">
        <f t="shared" si="7"/>
        <v>934.65899999999988</v>
      </c>
      <c r="H41" s="1">
        <f>-934.659</f>
        <v>-934.65899999999999</v>
      </c>
      <c r="I41" s="2">
        <f t="shared" si="4"/>
        <v>0</v>
      </c>
      <c r="J41" s="1"/>
      <c r="K41" s="2">
        <f t="shared" si="5"/>
        <v>0</v>
      </c>
      <c r="L41" s="6">
        <v>1</v>
      </c>
    </row>
    <row r="42" spans="3:12">
      <c r="C42" s="217"/>
      <c r="D42" s="1" t="s">
        <v>28</v>
      </c>
      <c r="E42" s="1" t="s">
        <v>19</v>
      </c>
      <c r="F42" s="68">
        <f>0.00225+0.00225+0.00225+0.00225+0.00225+0.00225005</f>
        <v>1.350005E-2</v>
      </c>
      <c r="G42" s="2">
        <f t="shared" si="7"/>
        <v>934.66246169999999</v>
      </c>
      <c r="H42" s="1">
        <f>-934.662</f>
        <v>-934.66200000000003</v>
      </c>
      <c r="I42" s="2">
        <f t="shared" si="4"/>
        <v>4.6169999995981925E-4</v>
      </c>
      <c r="J42" s="1"/>
      <c r="K42" s="2">
        <f t="shared" si="5"/>
        <v>4.6169999995981925E-4</v>
      </c>
      <c r="L42" s="6">
        <v>1</v>
      </c>
    </row>
    <row r="43" spans="3:12">
      <c r="C43" s="217"/>
      <c r="D43" s="1" t="s">
        <v>29</v>
      </c>
      <c r="E43" s="1" t="s">
        <v>19</v>
      </c>
      <c r="F43" s="1">
        <f>0.00225+0.00225</f>
        <v>4.4999999999999997E-3</v>
      </c>
      <c r="G43" s="2">
        <f t="shared" si="7"/>
        <v>311.553</v>
      </c>
      <c r="H43" s="1"/>
      <c r="I43" s="2">
        <f t="shared" si="4"/>
        <v>311.553</v>
      </c>
      <c r="J43" s="1"/>
      <c r="K43" s="2">
        <f t="shared" si="5"/>
        <v>311.553</v>
      </c>
      <c r="L43" s="6">
        <f t="shared" si="6"/>
        <v>0</v>
      </c>
    </row>
    <row r="44" spans="3:12">
      <c r="C44" s="217"/>
      <c r="D44" s="1" t="s">
        <v>30</v>
      </c>
      <c r="E44" s="1" t="s">
        <v>19</v>
      </c>
      <c r="F44" s="1">
        <f>0.00225</f>
        <v>2.2499999999999998E-3</v>
      </c>
      <c r="G44" s="2">
        <f t="shared" si="7"/>
        <v>155.7765</v>
      </c>
      <c r="H44" s="1"/>
      <c r="I44" s="2">
        <f t="shared" si="4"/>
        <v>155.7765</v>
      </c>
      <c r="J44" s="1"/>
      <c r="K44" s="2">
        <f t="shared" si="5"/>
        <v>155.7765</v>
      </c>
      <c r="L44" s="6">
        <f t="shared" si="6"/>
        <v>0</v>
      </c>
    </row>
    <row r="45" spans="3:12">
      <c r="C45" s="217"/>
      <c r="D45" s="1" t="s">
        <v>322</v>
      </c>
      <c r="E45" s="1" t="s">
        <v>19</v>
      </c>
      <c r="F45" s="68">
        <f>0.00225+0.00225+0.00225+0.00225003</f>
        <v>9.0000299999999991E-3</v>
      </c>
      <c r="G45" s="2">
        <f t="shared" si="7"/>
        <v>623.10807702</v>
      </c>
      <c r="H45" s="1">
        <f>-623.108</f>
        <v>-623.10799999999995</v>
      </c>
      <c r="I45" s="2">
        <f t="shared" si="4"/>
        <v>7.7020000048833026E-5</v>
      </c>
      <c r="J45" s="1"/>
      <c r="K45" s="2">
        <f t="shared" si="5"/>
        <v>7.7020000048833026E-5</v>
      </c>
      <c r="L45" s="6">
        <v>1</v>
      </c>
    </row>
    <row r="46" spans="3:12">
      <c r="C46" s="217"/>
      <c r="D46" s="1" t="s">
        <v>31</v>
      </c>
      <c r="E46" s="1" t="s">
        <v>19</v>
      </c>
      <c r="F46" s="1">
        <f>0.00225</f>
        <v>2.2499999999999998E-3</v>
      </c>
      <c r="G46" s="5">
        <f t="shared" si="7"/>
        <v>155.7765</v>
      </c>
      <c r="H46" s="1">
        <f>-155.777</f>
        <v>-155.77699999999999</v>
      </c>
      <c r="I46" s="2">
        <f t="shared" si="4"/>
        <v>-4.9999999998817657E-4</v>
      </c>
      <c r="J46" s="1"/>
      <c r="K46" s="2">
        <f t="shared" si="5"/>
        <v>-4.9999999998817657E-4</v>
      </c>
      <c r="L46" s="6">
        <v>1</v>
      </c>
    </row>
    <row r="47" spans="3:12">
      <c r="C47" s="217"/>
      <c r="D47" s="1" t="s">
        <v>32</v>
      </c>
      <c r="E47" s="1" t="s">
        <v>19</v>
      </c>
      <c r="F47" s="1">
        <f>0.00225+0.00225+0.00225</f>
        <v>6.7499999999999991E-3</v>
      </c>
      <c r="G47" s="5">
        <f t="shared" si="7"/>
        <v>467.32949999999994</v>
      </c>
      <c r="H47" s="1"/>
      <c r="I47" s="2">
        <f t="shared" si="4"/>
        <v>467.32949999999994</v>
      </c>
      <c r="J47" s="1"/>
      <c r="K47" s="2">
        <f t="shared" si="5"/>
        <v>467.32949999999994</v>
      </c>
      <c r="L47" s="6">
        <f t="shared" si="6"/>
        <v>0</v>
      </c>
    </row>
    <row r="48" spans="3:12">
      <c r="C48" s="217"/>
      <c r="D48" s="1" t="s">
        <v>33</v>
      </c>
      <c r="E48" s="1" t="s">
        <v>19</v>
      </c>
      <c r="F48" s="1">
        <f>0.003+0.00215+0.0045+0.0045+0.0045+0.0045+0.0045</f>
        <v>2.7650000000000001E-2</v>
      </c>
      <c r="G48" s="5">
        <f t="shared" si="7"/>
        <v>1914.3201000000001</v>
      </c>
      <c r="H48" s="1">
        <f>-1914.32</f>
        <v>-1914.32</v>
      </c>
      <c r="I48" s="2">
        <f t="shared" si="4"/>
        <v>1.0000000020227162E-4</v>
      </c>
      <c r="J48" s="1"/>
      <c r="K48" s="2">
        <f t="shared" si="5"/>
        <v>1.0000000020227162E-4</v>
      </c>
      <c r="L48" s="6">
        <v>1</v>
      </c>
    </row>
    <row r="49" spans="3:12">
      <c r="C49" s="217"/>
      <c r="D49" s="1" t="s">
        <v>34</v>
      </c>
      <c r="E49" s="1" t="s">
        <v>19</v>
      </c>
      <c r="F49" s="1">
        <f>0.00001</f>
        <v>1.0000000000000001E-5</v>
      </c>
      <c r="G49" s="5">
        <f t="shared" si="7"/>
        <v>0.69234000000000007</v>
      </c>
      <c r="H49" s="1"/>
      <c r="I49" s="2">
        <f t="shared" si="4"/>
        <v>0.69234000000000007</v>
      </c>
      <c r="J49" s="1"/>
      <c r="K49" s="2">
        <f t="shared" si="5"/>
        <v>0.69234000000000007</v>
      </c>
      <c r="L49" s="6">
        <f t="shared" si="6"/>
        <v>0</v>
      </c>
    </row>
    <row r="50" spans="3:12">
      <c r="C50" s="217"/>
      <c r="D50" s="1" t="s">
        <v>241</v>
      </c>
      <c r="E50" s="1" t="s">
        <v>19</v>
      </c>
      <c r="F50" s="1">
        <f>0.004311</f>
        <v>4.3109999999999997E-3</v>
      </c>
      <c r="G50" s="5">
        <f t="shared" si="7"/>
        <v>298.46777399999996</v>
      </c>
      <c r="H50" s="1">
        <f>-298</f>
        <v>-298</v>
      </c>
      <c r="I50" s="2">
        <f t="shared" si="4"/>
        <v>0.46777399999996305</v>
      </c>
      <c r="J50" s="1"/>
      <c r="K50" s="2">
        <f t="shared" si="5"/>
        <v>0.46777399999996305</v>
      </c>
      <c r="L50" s="6">
        <v>0.99</v>
      </c>
    </row>
    <row r="51" spans="3:12">
      <c r="C51" s="217"/>
      <c r="D51" s="7" t="s">
        <v>256</v>
      </c>
      <c r="E51" s="7" t="s">
        <v>19</v>
      </c>
      <c r="F51" s="7">
        <f>SUM(F30:F50)</f>
        <v>0.97065029999999985</v>
      </c>
      <c r="G51" s="8">
        <f>SUM(G30:G50)</f>
        <v>67202.002870199998</v>
      </c>
      <c r="H51" s="7">
        <f>SUM(H30:H50)</f>
        <v>-55455.239000000001</v>
      </c>
      <c r="I51" s="8">
        <f t="shared" si="4"/>
        <v>11746.763870199997</v>
      </c>
      <c r="J51" s="7">
        <f>SUM(J30:J50)</f>
        <v>51.098999999999997</v>
      </c>
      <c r="K51" s="8">
        <f t="shared" si="5"/>
        <v>11695.664870199997</v>
      </c>
      <c r="L51" s="10">
        <f t="shared" si="6"/>
        <v>4.3500491339262789E-3</v>
      </c>
    </row>
  </sheetData>
  <mergeCells count="4">
    <mergeCell ref="C7:C23"/>
    <mergeCell ref="C2:L2"/>
    <mergeCell ref="C3:L3"/>
    <mergeCell ref="C30:C5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2:N136"/>
  <sheetViews>
    <sheetView tabSelected="1" topLeftCell="C1" zoomScale="90" zoomScaleNormal="90" workbookViewId="0">
      <selection activeCell="I109" sqref="I109:I119"/>
    </sheetView>
  </sheetViews>
  <sheetFormatPr baseColWidth="10" defaultRowHeight="15"/>
  <cols>
    <col min="1" max="2" width="11.42578125" style="11"/>
    <col min="3" max="3" width="13.28515625" style="11" customWidth="1"/>
    <col min="4" max="4" width="82.28515625" style="11" customWidth="1"/>
    <col min="5" max="5" width="12.140625" style="11" customWidth="1"/>
    <col min="6" max="6" width="14.5703125" style="11" bestFit="1" customWidth="1"/>
    <col min="7" max="7" width="12.7109375" style="11" customWidth="1"/>
    <col min="8" max="8" width="13.7109375" style="11" bestFit="1" customWidth="1"/>
    <col min="9" max="11" width="11.42578125" style="11"/>
    <col min="12" max="12" width="13.42578125" style="11" bestFit="1" customWidth="1"/>
    <col min="13" max="13" width="11.42578125" style="11"/>
    <col min="14" max="14" width="11.42578125" style="11" customWidth="1"/>
    <col min="15" max="15" width="10.140625" style="11" customWidth="1"/>
    <col min="16" max="16384" width="11.42578125" style="11"/>
  </cols>
  <sheetData>
    <row r="2" spans="3:13" ht="18.75">
      <c r="C2" s="224" t="s">
        <v>301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3:13">
      <c r="C3" s="225">
        <f>RESUMEN!B3</f>
        <v>44020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5" spans="3:13" ht="39" customHeight="1">
      <c r="C5" s="13" t="s">
        <v>38</v>
      </c>
      <c r="D5" s="13" t="s">
        <v>35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30" t="s">
        <v>209</v>
      </c>
      <c r="K5" s="13" t="s">
        <v>5</v>
      </c>
      <c r="L5" s="13" t="s">
        <v>6</v>
      </c>
      <c r="M5" s="14" t="s">
        <v>37</v>
      </c>
    </row>
    <row r="7" spans="3:13" ht="15" customHeight="1">
      <c r="C7" s="227" t="s">
        <v>39</v>
      </c>
      <c r="D7" s="15" t="s">
        <v>148</v>
      </c>
      <c r="E7" s="1" t="s">
        <v>19</v>
      </c>
      <c r="F7" s="1">
        <v>7558.7539999999999</v>
      </c>
      <c r="G7" s="1">
        <f>-4600-2642</f>
        <v>-7242</v>
      </c>
      <c r="H7" s="1">
        <f>F7+G7</f>
        <v>316.75399999999991</v>
      </c>
      <c r="I7" s="104">
        <v>55.59</v>
      </c>
      <c r="J7" s="1"/>
      <c r="K7" s="1">
        <f>H7-(I7+J7)</f>
        <v>261.16399999999987</v>
      </c>
      <c r="L7" s="3">
        <f>I7/H7</f>
        <v>0.17549896765313153</v>
      </c>
      <c r="M7" s="164">
        <v>43965</v>
      </c>
    </row>
    <row r="8" spans="3:13">
      <c r="C8" s="228"/>
      <c r="D8" s="15" t="s">
        <v>149</v>
      </c>
      <c r="E8" s="1" t="s">
        <v>19</v>
      </c>
      <c r="F8" s="1">
        <v>89.585999999999999</v>
      </c>
      <c r="G8" s="1">
        <f>-89.586</f>
        <v>-89.585999999999999</v>
      </c>
      <c r="H8" s="1">
        <f>F8+G8</f>
        <v>0</v>
      </c>
      <c r="I8" s="114"/>
      <c r="J8" s="1"/>
      <c r="K8" s="1">
        <f>H8-(I8+J8)</f>
        <v>0</v>
      </c>
      <c r="L8" s="3">
        <v>1</v>
      </c>
      <c r="M8" s="115">
        <v>43966</v>
      </c>
    </row>
    <row r="9" spans="3:13">
      <c r="C9" s="228"/>
      <c r="D9" s="16" t="s">
        <v>150</v>
      </c>
      <c r="E9" s="1" t="s">
        <v>19</v>
      </c>
      <c r="F9" s="1">
        <v>0.11600000000000001</v>
      </c>
      <c r="G9" s="1"/>
      <c r="H9" s="1">
        <f>F9+G9</f>
        <v>0.11600000000000001</v>
      </c>
      <c r="I9" s="114"/>
      <c r="J9" s="1"/>
      <c r="K9" s="1">
        <f>H9-(I9+J9)</f>
        <v>0.11600000000000001</v>
      </c>
      <c r="L9" s="3">
        <f>I9/H9</f>
        <v>0</v>
      </c>
      <c r="M9" s="25"/>
    </row>
    <row r="10" spans="3:13">
      <c r="C10" s="228"/>
      <c r="D10" s="16" t="s">
        <v>304</v>
      </c>
      <c r="E10" s="1" t="s">
        <v>19</v>
      </c>
      <c r="F10" s="1">
        <v>5.8479999999999999</v>
      </c>
      <c r="G10" s="1"/>
      <c r="H10" s="1">
        <f t="shared" ref="H10:H11" si="0">F10+G10</f>
        <v>5.8479999999999999</v>
      </c>
      <c r="I10" s="114"/>
      <c r="J10" s="1"/>
      <c r="K10" s="1">
        <f t="shared" ref="K10:K11" si="1">H10-(I10+J10)</f>
        <v>5.8479999999999999</v>
      </c>
      <c r="L10" s="3">
        <f t="shared" ref="L10:L11" si="2">I10/H10</f>
        <v>0</v>
      </c>
      <c r="M10" s="25"/>
    </row>
    <row r="11" spans="3:13">
      <c r="C11" s="228"/>
      <c r="D11" s="16" t="s">
        <v>305</v>
      </c>
      <c r="E11" s="1" t="s">
        <v>19</v>
      </c>
      <c r="F11" s="1">
        <v>1.9E-2</v>
      </c>
      <c r="G11" s="1"/>
      <c r="H11" s="1">
        <f t="shared" si="0"/>
        <v>1.9E-2</v>
      </c>
      <c r="I11" s="114"/>
      <c r="J11" s="1"/>
      <c r="K11" s="1">
        <f t="shared" si="1"/>
        <v>1.9E-2</v>
      </c>
      <c r="L11" s="3">
        <f t="shared" si="2"/>
        <v>0</v>
      </c>
      <c r="M11" s="25"/>
    </row>
    <row r="12" spans="3:13">
      <c r="C12" s="228"/>
      <c r="D12" s="15" t="s">
        <v>151</v>
      </c>
      <c r="E12" s="1" t="s">
        <v>19</v>
      </c>
      <c r="F12" s="1">
        <v>75.676000000000002</v>
      </c>
      <c r="G12" s="1"/>
      <c r="H12" s="1">
        <f>F12+G12</f>
        <v>75.676000000000002</v>
      </c>
      <c r="I12" s="104">
        <v>221.173</v>
      </c>
      <c r="J12" s="1"/>
      <c r="K12" s="1">
        <f>H12-(I12+J12)</f>
        <v>-145.49700000000001</v>
      </c>
      <c r="L12" s="3">
        <f>I12/H12</f>
        <v>2.9226306887256195</v>
      </c>
      <c r="M12" s="115">
        <v>43937</v>
      </c>
    </row>
    <row r="13" spans="3:13">
      <c r="C13" s="228"/>
      <c r="D13" s="45" t="s">
        <v>261</v>
      </c>
      <c r="E13" s="1" t="s">
        <v>19</v>
      </c>
      <c r="F13" s="1">
        <f>SUM(F7:F12)</f>
        <v>7729.9990000000007</v>
      </c>
      <c r="G13" s="1">
        <f>SUM(G7:G12)</f>
        <v>-7331.5860000000002</v>
      </c>
      <c r="H13" s="1">
        <f>SUM(H7:H12)</f>
        <v>398.4129999999999</v>
      </c>
      <c r="I13" s="25">
        <f>SUM(I7:I12)</f>
        <v>276.76300000000003</v>
      </c>
      <c r="J13" s="1">
        <f>SUM(J7:J12)</f>
        <v>0</v>
      </c>
      <c r="K13" s="1">
        <f>H13-(I13+J13)</f>
        <v>121.64999999999986</v>
      </c>
      <c r="L13" s="3">
        <f>I13/H13</f>
        <v>0.69466357774470233</v>
      </c>
      <c r="M13" s="60"/>
    </row>
    <row r="14" spans="3:13">
      <c r="I14" s="57"/>
    </row>
    <row r="15" spans="3:13" ht="15.75" customHeight="1">
      <c r="C15" s="229" t="s">
        <v>40</v>
      </c>
      <c r="D15" s="17" t="s">
        <v>276</v>
      </c>
      <c r="E15" s="1" t="s">
        <v>19</v>
      </c>
      <c r="F15" s="1">
        <v>50</v>
      </c>
      <c r="G15" s="142">
        <v>0</v>
      </c>
      <c r="H15" s="142">
        <f>F15+G15</f>
        <v>50</v>
      </c>
      <c r="I15" s="104">
        <v>0</v>
      </c>
      <c r="J15" s="1"/>
      <c r="K15" s="1">
        <f>H15-(I15+J15)</f>
        <v>50</v>
      </c>
      <c r="L15" s="3">
        <f>I15/H15</f>
        <v>0</v>
      </c>
      <c r="M15" s="1"/>
    </row>
    <row r="16" spans="3:13" ht="18.75" customHeight="1">
      <c r="C16" s="230"/>
      <c r="D16" s="17" t="s">
        <v>262</v>
      </c>
      <c r="E16" s="25" t="s">
        <v>19</v>
      </c>
      <c r="F16" s="1">
        <f>F15</f>
        <v>50</v>
      </c>
      <c r="G16" s="1">
        <f>G15</f>
        <v>0</v>
      </c>
      <c r="H16" s="1">
        <f>F16+G16</f>
        <v>50</v>
      </c>
      <c r="I16" s="25">
        <f>I15</f>
        <v>0</v>
      </c>
      <c r="J16" s="1">
        <f>J15</f>
        <v>0</v>
      </c>
      <c r="K16" s="1">
        <f>H16-(I16+J16)</f>
        <v>50</v>
      </c>
      <c r="L16" s="41">
        <f>I16/H16</f>
        <v>0</v>
      </c>
      <c r="M16" s="1"/>
    </row>
    <row r="17" spans="2:13">
      <c r="I17" s="57"/>
    </row>
    <row r="18" spans="2:13" ht="15" customHeight="1">
      <c r="C18" s="231" t="s">
        <v>41</v>
      </c>
      <c r="D18" s="15" t="s">
        <v>145</v>
      </c>
      <c r="E18" s="1" t="s">
        <v>19</v>
      </c>
      <c r="F18" s="1">
        <v>483.09399999999999</v>
      </c>
      <c r="G18" s="1"/>
      <c r="H18" s="1">
        <f>F18+G18</f>
        <v>483.09399999999999</v>
      </c>
      <c r="I18" s="104">
        <v>72.34</v>
      </c>
      <c r="J18" s="1"/>
      <c r="K18" s="1">
        <f>H18-(I18+J18)</f>
        <v>410.75400000000002</v>
      </c>
      <c r="L18" s="3">
        <f>I18/H18</f>
        <v>0.14974311417653707</v>
      </c>
      <c r="M18" s="1"/>
    </row>
    <row r="19" spans="2:13">
      <c r="C19" s="231"/>
      <c r="D19" s="15" t="s">
        <v>146</v>
      </c>
      <c r="E19" s="1" t="s">
        <v>19</v>
      </c>
      <c r="F19" s="1">
        <v>261.93099999999998</v>
      </c>
      <c r="G19" s="1">
        <f>-261.93</f>
        <v>-261.93</v>
      </c>
      <c r="H19" s="1">
        <f>F19+G19</f>
        <v>9.9999999997635314E-4</v>
      </c>
      <c r="I19" s="25"/>
      <c r="J19" s="1"/>
      <c r="K19" s="1">
        <f t="shared" ref="K19:K83" si="3">H19-(I19+J19)</f>
        <v>9.9999999997635314E-4</v>
      </c>
      <c r="L19" s="3">
        <f>I19/H19</f>
        <v>0</v>
      </c>
      <c r="M19" s="1"/>
    </row>
    <row r="20" spans="2:13">
      <c r="C20" s="231"/>
      <c r="D20" s="15" t="s">
        <v>147</v>
      </c>
      <c r="E20" s="1" t="s">
        <v>19</v>
      </c>
      <c r="F20" s="1">
        <v>80.974999999999994</v>
      </c>
      <c r="G20" s="1"/>
      <c r="H20" s="1">
        <f>F20+G20</f>
        <v>80.974999999999994</v>
      </c>
      <c r="I20" s="25"/>
      <c r="J20" s="1"/>
      <c r="K20" s="1">
        <f t="shared" si="3"/>
        <v>80.974999999999994</v>
      </c>
      <c r="L20" s="3">
        <f>I20/H20</f>
        <v>0</v>
      </c>
      <c r="M20" s="1"/>
    </row>
    <row r="21" spans="2:13">
      <c r="C21" s="231"/>
      <c r="D21" s="15" t="s">
        <v>263</v>
      </c>
      <c r="E21" s="25" t="s">
        <v>19</v>
      </c>
      <c r="F21" s="1">
        <f>SUM(F18:F20)</f>
        <v>826</v>
      </c>
      <c r="G21" s="1">
        <f>SUM(G18:G20)</f>
        <v>-261.93</v>
      </c>
      <c r="H21" s="25">
        <f>F21+G21</f>
        <v>564.06999999999994</v>
      </c>
      <c r="I21" s="25">
        <f>SUM(I18:I20)</f>
        <v>72.34</v>
      </c>
      <c r="J21" s="1"/>
      <c r="K21" s="25">
        <f t="shared" si="3"/>
        <v>491.7299999999999</v>
      </c>
      <c r="L21" s="41">
        <f>I21/H21</f>
        <v>0.12824649422943962</v>
      </c>
      <c r="M21" s="1"/>
    </row>
    <row r="22" spans="2:13">
      <c r="I22" s="57"/>
    </row>
    <row r="23" spans="2:13" ht="15" customHeight="1">
      <c r="B23" s="11">
        <v>1</v>
      </c>
      <c r="C23" s="220" t="s">
        <v>42</v>
      </c>
      <c r="D23" s="16" t="s">
        <v>47</v>
      </c>
      <c r="E23" s="1" t="s">
        <v>19</v>
      </c>
      <c r="F23" s="2">
        <v>242.43899999999999</v>
      </c>
      <c r="G23" s="1">
        <f>-72-110.6-5-5</f>
        <v>-192.6</v>
      </c>
      <c r="H23" s="1">
        <f>F23+G23</f>
        <v>49.838999999999999</v>
      </c>
      <c r="I23" s="104">
        <v>42.835999999999999</v>
      </c>
      <c r="J23" s="1"/>
      <c r="K23" s="1">
        <f t="shared" si="3"/>
        <v>7.0030000000000001</v>
      </c>
      <c r="L23" s="3">
        <f>I23/H23</f>
        <v>0.85948754991071252</v>
      </c>
      <c r="M23" s="25"/>
    </row>
    <row r="24" spans="2:13">
      <c r="B24" s="11">
        <v>2</v>
      </c>
      <c r="C24" s="221"/>
      <c r="D24" s="15" t="s">
        <v>196</v>
      </c>
      <c r="E24" s="1" t="s">
        <v>19</v>
      </c>
      <c r="F24" s="2">
        <v>128.28200000000001</v>
      </c>
      <c r="G24" s="1">
        <f>-58.2</f>
        <v>-58.2</v>
      </c>
      <c r="H24" s="1">
        <f t="shared" ref="H24:H88" si="4">F24+G24</f>
        <v>70.082000000000008</v>
      </c>
      <c r="I24" s="104">
        <v>59.988999999999997</v>
      </c>
      <c r="J24" s="1"/>
      <c r="K24" s="1">
        <f t="shared" si="3"/>
        <v>10.093000000000011</v>
      </c>
      <c r="L24" s="3">
        <f>I24/H24</f>
        <v>0.85598299135298639</v>
      </c>
      <c r="M24" s="47"/>
    </row>
    <row r="25" spans="2:13">
      <c r="B25" s="11">
        <v>3</v>
      </c>
      <c r="C25" s="221"/>
      <c r="D25" s="15" t="s">
        <v>49</v>
      </c>
      <c r="E25" s="1" t="s">
        <v>19</v>
      </c>
      <c r="F25" s="2">
        <v>779.024</v>
      </c>
      <c r="G25" s="1">
        <f>-182.7-420.1-35</f>
        <v>-637.79999999999995</v>
      </c>
      <c r="H25" s="1">
        <f t="shared" si="4"/>
        <v>141.22400000000005</v>
      </c>
      <c r="I25" s="104">
        <v>2.032</v>
      </c>
      <c r="J25" s="1"/>
      <c r="K25" s="1">
        <f t="shared" si="3"/>
        <v>139.19200000000004</v>
      </c>
      <c r="L25" s="3">
        <f t="shared" ref="L25:L89" si="5">I25/H25</f>
        <v>1.4388489208633089E-2</v>
      </c>
      <c r="M25" s="25"/>
    </row>
    <row r="26" spans="2:13">
      <c r="B26" s="11">
        <v>4</v>
      </c>
      <c r="C26" s="221"/>
      <c r="D26" s="15" t="s">
        <v>50</v>
      </c>
      <c r="E26" s="1" t="s">
        <v>19</v>
      </c>
      <c r="F26" s="2">
        <v>913.00300000000004</v>
      </c>
      <c r="G26" s="1"/>
      <c r="H26" s="1">
        <f t="shared" si="4"/>
        <v>913.00300000000004</v>
      </c>
      <c r="I26" s="104">
        <v>320.69099999999997</v>
      </c>
      <c r="J26" s="1"/>
      <c r="K26" s="1">
        <f t="shared" si="3"/>
        <v>592.31200000000013</v>
      </c>
      <c r="L26" s="3">
        <f t="shared" si="5"/>
        <v>0.35124857202002618</v>
      </c>
      <c r="M26" s="25"/>
    </row>
    <row r="27" spans="2:13">
      <c r="B27" s="11">
        <v>5</v>
      </c>
      <c r="C27" s="221"/>
      <c r="D27" s="16" t="s">
        <v>51</v>
      </c>
      <c r="E27" s="1" t="s">
        <v>19</v>
      </c>
      <c r="F27" s="2">
        <v>1535.9059999999999</v>
      </c>
      <c r="G27" s="1">
        <f>-50-130-84-100-100-100-145</f>
        <v>-709</v>
      </c>
      <c r="H27" s="1">
        <f t="shared" si="4"/>
        <v>826.90599999999995</v>
      </c>
      <c r="I27" s="104">
        <v>218.24199999999999</v>
      </c>
      <c r="J27" s="1"/>
      <c r="K27" s="1">
        <f t="shared" si="3"/>
        <v>608.66399999999999</v>
      </c>
      <c r="L27" s="3">
        <f t="shared" si="5"/>
        <v>0.26392600851850151</v>
      </c>
      <c r="M27" s="25"/>
    </row>
    <row r="28" spans="2:13">
      <c r="B28" s="11">
        <v>6</v>
      </c>
      <c r="C28" s="221"/>
      <c r="D28" s="15" t="s">
        <v>52</v>
      </c>
      <c r="E28" s="1" t="s">
        <v>19</v>
      </c>
      <c r="F28" s="2">
        <v>2654.864</v>
      </c>
      <c r="G28" s="1"/>
      <c r="H28" s="1">
        <f t="shared" si="4"/>
        <v>2654.864</v>
      </c>
      <c r="I28" s="104">
        <v>2822.3789999999999</v>
      </c>
      <c r="J28" s="1"/>
      <c r="K28" s="1">
        <f t="shared" si="3"/>
        <v>-167.51499999999987</v>
      </c>
      <c r="L28" s="3">
        <f t="shared" si="5"/>
        <v>1.0630973940661366</v>
      </c>
      <c r="M28" s="47"/>
    </row>
    <row r="29" spans="2:13">
      <c r="B29" s="11">
        <v>7</v>
      </c>
      <c r="C29" s="221"/>
      <c r="D29" s="15" t="s">
        <v>53</v>
      </c>
      <c r="E29" s="1" t="s">
        <v>19</v>
      </c>
      <c r="F29" s="2">
        <v>4017.2</v>
      </c>
      <c r="G29" s="1"/>
      <c r="H29" s="1">
        <f t="shared" si="4"/>
        <v>4017.2</v>
      </c>
      <c r="I29" s="104">
        <v>2370.0889999999999</v>
      </c>
      <c r="J29" s="1"/>
      <c r="K29" s="1">
        <f t="shared" si="3"/>
        <v>1647.1109999999999</v>
      </c>
      <c r="L29" s="3">
        <f t="shared" si="5"/>
        <v>0.58998531315344027</v>
      </c>
      <c r="M29" s="25"/>
    </row>
    <row r="30" spans="2:13">
      <c r="B30" s="11">
        <v>8</v>
      </c>
      <c r="C30" s="221"/>
      <c r="D30" s="15" t="s">
        <v>54</v>
      </c>
      <c r="E30" s="1" t="s">
        <v>19</v>
      </c>
      <c r="F30" s="2">
        <v>1528.829</v>
      </c>
      <c r="G30" s="1"/>
      <c r="H30" s="1">
        <f t="shared" si="4"/>
        <v>1528.829</v>
      </c>
      <c r="I30" s="104">
        <v>1548.5340000000001</v>
      </c>
      <c r="J30" s="1"/>
      <c r="K30" s="1">
        <f t="shared" si="3"/>
        <v>-19.705000000000155</v>
      </c>
      <c r="L30" s="3">
        <f t="shared" si="5"/>
        <v>1.012888949647083</v>
      </c>
      <c r="M30" s="47"/>
    </row>
    <row r="31" spans="2:13">
      <c r="B31" s="11">
        <v>9</v>
      </c>
      <c r="C31" s="221"/>
      <c r="D31" s="15" t="s">
        <v>55</v>
      </c>
      <c r="E31" s="1" t="s">
        <v>19</v>
      </c>
      <c r="F31" s="2">
        <v>1838.4480000000001</v>
      </c>
      <c r="G31" s="1"/>
      <c r="H31" s="1">
        <f t="shared" si="4"/>
        <v>1838.4480000000001</v>
      </c>
      <c r="I31" s="104">
        <v>2933.6559999999999</v>
      </c>
      <c r="J31" s="1"/>
      <c r="K31" s="1">
        <f t="shared" si="3"/>
        <v>-1095.2079999999999</v>
      </c>
      <c r="L31" s="3">
        <f t="shared" si="5"/>
        <v>1.5957242195591064</v>
      </c>
      <c r="M31" s="25"/>
    </row>
    <row r="32" spans="2:13">
      <c r="B32" s="11">
        <v>10</v>
      </c>
      <c r="C32" s="221"/>
      <c r="D32" s="15" t="s">
        <v>56</v>
      </c>
      <c r="E32" s="1" t="s">
        <v>19</v>
      </c>
      <c r="F32" s="2">
        <v>168.94200000000001</v>
      </c>
      <c r="G32" s="1">
        <f>-15-80</f>
        <v>-95</v>
      </c>
      <c r="H32" s="1">
        <f t="shared" si="4"/>
        <v>73.942000000000007</v>
      </c>
      <c r="I32" s="104">
        <v>2.7370000000000001</v>
      </c>
      <c r="J32" s="1"/>
      <c r="K32" s="1">
        <f t="shared" si="3"/>
        <v>71.205000000000013</v>
      </c>
      <c r="L32" s="3">
        <f t="shared" si="5"/>
        <v>3.7015498634064538E-2</v>
      </c>
      <c r="M32" s="115">
        <v>43986</v>
      </c>
    </row>
    <row r="33" spans="2:13">
      <c r="B33" s="11">
        <v>11</v>
      </c>
      <c r="C33" s="221"/>
      <c r="D33" s="15" t="s">
        <v>57</v>
      </c>
      <c r="E33" s="1" t="s">
        <v>19</v>
      </c>
      <c r="F33" s="2">
        <v>1027.27</v>
      </c>
      <c r="G33" s="1">
        <f>-50</f>
        <v>-50</v>
      </c>
      <c r="H33" s="1">
        <f t="shared" si="4"/>
        <v>977.27</v>
      </c>
      <c r="I33" s="104">
        <v>813.41</v>
      </c>
      <c r="J33" s="1"/>
      <c r="K33" s="1">
        <f t="shared" si="3"/>
        <v>163.86</v>
      </c>
      <c r="L33" s="3">
        <f t="shared" si="5"/>
        <v>0.83232883440604943</v>
      </c>
      <c r="M33" s="47"/>
    </row>
    <row r="34" spans="2:13">
      <c r="B34" s="11">
        <v>12</v>
      </c>
      <c r="C34" s="221"/>
      <c r="D34" s="15" t="s">
        <v>195</v>
      </c>
      <c r="E34" s="1" t="s">
        <v>19</v>
      </c>
      <c r="F34" s="2">
        <v>149.68299999999999</v>
      </c>
      <c r="G34" s="1">
        <f>10-2-2-1</f>
        <v>5</v>
      </c>
      <c r="H34" s="1">
        <f t="shared" si="4"/>
        <v>154.68299999999999</v>
      </c>
      <c r="I34" s="104">
        <v>441.04100000000005</v>
      </c>
      <c r="J34" s="1"/>
      <c r="K34" s="1">
        <f t="shared" si="3"/>
        <v>-286.35800000000006</v>
      </c>
      <c r="L34" s="3">
        <f t="shared" si="5"/>
        <v>2.8512570870748566</v>
      </c>
      <c r="M34" s="115">
        <v>43956</v>
      </c>
    </row>
    <row r="35" spans="2:13">
      <c r="B35" s="11">
        <v>13</v>
      </c>
      <c r="C35" s="221"/>
      <c r="D35" s="15" t="s">
        <v>207</v>
      </c>
      <c r="E35" s="1" t="s">
        <v>19</v>
      </c>
      <c r="F35" s="2">
        <v>1298.7180000000001</v>
      </c>
      <c r="G35" s="1">
        <f>130+84+100+942+145</f>
        <v>1401</v>
      </c>
      <c r="H35" s="1">
        <f t="shared" si="4"/>
        <v>2699.7179999999998</v>
      </c>
      <c r="I35" s="104">
        <v>2011.9380000000001</v>
      </c>
      <c r="J35" s="1"/>
      <c r="K35" s="1">
        <f t="shared" si="3"/>
        <v>687.77999999999975</v>
      </c>
      <c r="L35" s="3">
        <f t="shared" si="5"/>
        <v>0.7452400584061003</v>
      </c>
      <c r="M35" s="47"/>
    </row>
    <row r="36" spans="2:13">
      <c r="B36" s="11">
        <v>14</v>
      </c>
      <c r="C36" s="221"/>
      <c r="D36" s="15" t="s">
        <v>60</v>
      </c>
      <c r="E36" s="1" t="s">
        <v>19</v>
      </c>
      <c r="F36" s="2">
        <v>449.97500000000002</v>
      </c>
      <c r="G36" s="1"/>
      <c r="H36" s="1">
        <f t="shared" si="4"/>
        <v>449.97500000000002</v>
      </c>
      <c r="I36" s="104">
        <v>542.11300000000006</v>
      </c>
      <c r="J36" s="1"/>
      <c r="K36" s="1">
        <f t="shared" si="3"/>
        <v>-92.138000000000034</v>
      </c>
      <c r="L36" s="3">
        <f t="shared" si="5"/>
        <v>1.2047624868048226</v>
      </c>
      <c r="M36" s="47"/>
    </row>
    <row r="37" spans="2:13">
      <c r="B37" s="11">
        <v>15</v>
      </c>
      <c r="C37" s="221"/>
      <c r="D37" s="15" t="s">
        <v>291</v>
      </c>
      <c r="E37" s="1" t="s">
        <v>19</v>
      </c>
      <c r="F37" s="2">
        <v>2437.8150000000001</v>
      </c>
      <c r="G37" s="1"/>
      <c r="H37" s="1">
        <f t="shared" si="4"/>
        <v>2437.8150000000001</v>
      </c>
      <c r="I37" s="104">
        <v>870.84</v>
      </c>
      <c r="J37" s="1"/>
      <c r="K37" s="1">
        <f t="shared" si="3"/>
        <v>1566.9749999999999</v>
      </c>
      <c r="L37" s="3">
        <f t="shared" si="5"/>
        <v>0.35722152829480497</v>
      </c>
      <c r="M37" s="47"/>
    </row>
    <row r="38" spans="2:13">
      <c r="B38" s="11">
        <v>16</v>
      </c>
      <c r="C38" s="221"/>
      <c r="D38" s="15" t="s">
        <v>61</v>
      </c>
      <c r="E38" s="1" t="s">
        <v>19</v>
      </c>
      <c r="F38" s="2">
        <v>28.893000000000001</v>
      </c>
      <c r="G38" s="1"/>
      <c r="H38" s="1">
        <f t="shared" si="4"/>
        <v>28.893000000000001</v>
      </c>
      <c r="I38" s="104">
        <v>0</v>
      </c>
      <c r="J38" s="1"/>
      <c r="K38" s="1">
        <f t="shared" si="3"/>
        <v>28.893000000000001</v>
      </c>
      <c r="L38" s="3">
        <f t="shared" si="5"/>
        <v>0</v>
      </c>
      <c r="M38" s="47"/>
    </row>
    <row r="39" spans="2:13">
      <c r="B39" s="11">
        <v>17</v>
      </c>
      <c r="C39" s="221"/>
      <c r="D39" s="15" t="s">
        <v>62</v>
      </c>
      <c r="E39" s="1" t="s">
        <v>19</v>
      </c>
      <c r="F39" s="2">
        <v>10527.395</v>
      </c>
      <c r="G39" s="1">
        <f>597+10+50+140.9+190+150+420.1+100</f>
        <v>1658</v>
      </c>
      <c r="H39" s="1">
        <f t="shared" si="4"/>
        <v>12185.395</v>
      </c>
      <c r="I39" s="104">
        <v>10106.485000000001</v>
      </c>
      <c r="J39" s="1"/>
      <c r="K39" s="1">
        <f t="shared" si="3"/>
        <v>2078.91</v>
      </c>
      <c r="L39" s="3">
        <f t="shared" si="5"/>
        <v>0.82939330239192088</v>
      </c>
      <c r="M39" s="25"/>
    </row>
    <row r="40" spans="2:13">
      <c r="B40" s="11">
        <v>18</v>
      </c>
      <c r="C40" s="221"/>
      <c r="D40" s="15" t="s">
        <v>63</v>
      </c>
      <c r="E40" s="1" t="s">
        <v>19</v>
      </c>
      <c r="F40" s="2">
        <v>156.035</v>
      </c>
      <c r="G40" s="1">
        <f>-20</f>
        <v>-20</v>
      </c>
      <c r="H40" s="1">
        <f t="shared" si="4"/>
        <v>136.035</v>
      </c>
      <c r="I40" s="104">
        <v>74.281999999999996</v>
      </c>
      <c r="J40" s="1"/>
      <c r="K40" s="1">
        <f t="shared" si="3"/>
        <v>61.753</v>
      </c>
      <c r="L40" s="3">
        <f t="shared" si="5"/>
        <v>0.54605064873010623</v>
      </c>
      <c r="M40" s="25"/>
    </row>
    <row r="41" spans="2:13">
      <c r="B41" s="11">
        <v>19</v>
      </c>
      <c r="C41" s="221"/>
      <c r="D41" s="15" t="s">
        <v>64</v>
      </c>
      <c r="E41" s="1" t="s">
        <v>19</v>
      </c>
      <c r="F41" s="2">
        <v>1874.287</v>
      </c>
      <c r="G41" s="1">
        <f>194</f>
        <v>194</v>
      </c>
      <c r="H41" s="1">
        <f t="shared" si="4"/>
        <v>2068.2870000000003</v>
      </c>
      <c r="I41" s="104">
        <v>2176.8389999999999</v>
      </c>
      <c r="J41" s="1"/>
      <c r="K41" s="1">
        <f t="shared" si="3"/>
        <v>-108.55199999999968</v>
      </c>
      <c r="L41" s="3">
        <f t="shared" si="5"/>
        <v>1.0524840121317784</v>
      </c>
      <c r="M41" s="47"/>
    </row>
    <row r="42" spans="2:13">
      <c r="B42" s="11">
        <v>20</v>
      </c>
      <c r="C42" s="221"/>
      <c r="D42" s="15" t="s">
        <v>65</v>
      </c>
      <c r="E42" s="1" t="s">
        <v>19</v>
      </c>
      <c r="F42" s="2">
        <v>1152.4159999999999</v>
      </c>
      <c r="G42" s="1"/>
      <c r="H42" s="1">
        <f t="shared" si="4"/>
        <v>1152.4159999999999</v>
      </c>
      <c r="I42" s="104">
        <v>592.08199999999999</v>
      </c>
      <c r="J42" s="1"/>
      <c r="K42" s="1">
        <f t="shared" si="3"/>
        <v>560.33399999999995</v>
      </c>
      <c r="L42" s="3">
        <f t="shared" si="5"/>
        <v>0.51377453974953491</v>
      </c>
      <c r="M42" s="25"/>
    </row>
    <row r="43" spans="2:13">
      <c r="B43" s="11">
        <v>21</v>
      </c>
      <c r="C43" s="221"/>
      <c r="D43" s="15" t="s">
        <v>66</v>
      </c>
      <c r="E43" s="1" t="s">
        <v>19</v>
      </c>
      <c r="F43" s="2">
        <v>1325.674</v>
      </c>
      <c r="G43" s="1"/>
      <c r="H43" s="1">
        <f t="shared" si="4"/>
        <v>1325.674</v>
      </c>
      <c r="I43" s="104">
        <v>1526.9190000000001</v>
      </c>
      <c r="J43" s="1"/>
      <c r="K43" s="1">
        <f t="shared" si="3"/>
        <v>-201.24500000000012</v>
      </c>
      <c r="L43" s="3">
        <f t="shared" si="5"/>
        <v>1.1518057984089605</v>
      </c>
      <c r="M43" s="25"/>
    </row>
    <row r="44" spans="2:13">
      <c r="B44" s="11">
        <v>22</v>
      </c>
      <c r="C44" s="221"/>
      <c r="D44" s="15" t="s">
        <v>206</v>
      </c>
      <c r="E44" s="1" t="s">
        <v>19</v>
      </c>
      <c r="F44" s="2">
        <v>2449.5990000000002</v>
      </c>
      <c r="G44" s="1"/>
      <c r="H44" s="1">
        <f t="shared" si="4"/>
        <v>2449.5990000000002</v>
      </c>
      <c r="I44" s="104">
        <v>2420.8560000000002</v>
      </c>
      <c r="J44" s="1"/>
      <c r="K44" s="1">
        <f t="shared" si="3"/>
        <v>28.742999999999938</v>
      </c>
      <c r="L44" s="3">
        <f t="shared" si="5"/>
        <v>0.98826624276054986</v>
      </c>
      <c r="M44" s="25"/>
    </row>
    <row r="45" spans="2:13">
      <c r="B45" s="11">
        <v>23</v>
      </c>
      <c r="C45" s="221"/>
      <c r="D45" s="15" t="s">
        <v>68</v>
      </c>
      <c r="E45" s="1" t="s">
        <v>19</v>
      </c>
      <c r="F45" s="2">
        <v>1960.365</v>
      </c>
      <c r="G45" s="1"/>
      <c r="H45" s="1">
        <f t="shared" si="4"/>
        <v>1960.365</v>
      </c>
      <c r="I45" s="104">
        <v>1281.6189999999999</v>
      </c>
      <c r="J45" s="1"/>
      <c r="K45" s="1">
        <f t="shared" si="3"/>
        <v>678.74600000000009</v>
      </c>
      <c r="L45" s="3">
        <f t="shared" si="5"/>
        <v>0.65376549775169412</v>
      </c>
      <c r="M45" s="25"/>
    </row>
    <row r="46" spans="2:13" ht="16.5" hidden="1" customHeight="1">
      <c r="C46" s="221"/>
      <c r="D46" s="15" t="s">
        <v>69</v>
      </c>
      <c r="E46" s="1" t="s">
        <v>19</v>
      </c>
      <c r="F46" s="2">
        <v>0</v>
      </c>
      <c r="G46" s="1"/>
      <c r="H46" s="1">
        <f t="shared" si="4"/>
        <v>0</v>
      </c>
      <c r="I46" s="104"/>
      <c r="J46" s="1"/>
      <c r="K46" s="1">
        <f t="shared" si="3"/>
        <v>0</v>
      </c>
      <c r="L46" s="3" t="e">
        <f t="shared" si="5"/>
        <v>#DIV/0!</v>
      </c>
      <c r="M46" s="47"/>
    </row>
    <row r="47" spans="2:13">
      <c r="B47" s="11">
        <v>24</v>
      </c>
      <c r="C47" s="221"/>
      <c r="D47" s="15" t="s">
        <v>70</v>
      </c>
      <c r="E47" s="1" t="s">
        <v>19</v>
      </c>
      <c r="F47" s="2">
        <v>119.154</v>
      </c>
      <c r="G47" s="1">
        <f>5</f>
        <v>5</v>
      </c>
      <c r="H47" s="1">
        <f t="shared" si="4"/>
        <v>124.154</v>
      </c>
      <c r="I47" s="104">
        <v>147.96199999999999</v>
      </c>
      <c r="J47" s="1"/>
      <c r="K47" s="1">
        <f t="shared" si="3"/>
        <v>-23.807999999999993</v>
      </c>
      <c r="L47" s="3">
        <f t="shared" si="5"/>
        <v>1.1917618441612836</v>
      </c>
      <c r="M47" s="47"/>
    </row>
    <row r="48" spans="2:13">
      <c r="B48" s="11">
        <v>25</v>
      </c>
      <c r="C48" s="221"/>
      <c r="D48" s="15" t="s">
        <v>71</v>
      </c>
      <c r="E48" s="1" t="s">
        <v>19</v>
      </c>
      <c r="F48" s="2">
        <v>1510.172</v>
      </c>
      <c r="G48" s="1"/>
      <c r="H48" s="1">
        <f t="shared" si="4"/>
        <v>1510.172</v>
      </c>
      <c r="I48" s="104">
        <v>1298.7539999999999</v>
      </c>
      <c r="J48" s="1"/>
      <c r="K48" s="1">
        <f t="shared" si="3"/>
        <v>211.41800000000012</v>
      </c>
      <c r="L48" s="3">
        <f t="shared" si="5"/>
        <v>0.86000402603147186</v>
      </c>
      <c r="M48" s="25"/>
    </row>
    <row r="49" spans="2:13">
      <c r="B49" s="11">
        <v>26</v>
      </c>
      <c r="C49" s="221"/>
      <c r="D49" s="15" t="s">
        <v>194</v>
      </c>
      <c r="E49" s="1" t="s">
        <v>19</v>
      </c>
      <c r="F49" s="2">
        <v>5.9809999999999999</v>
      </c>
      <c r="G49" s="1">
        <f>-5.9</f>
        <v>-5.9</v>
      </c>
      <c r="H49" s="1">
        <f t="shared" si="4"/>
        <v>8.0999999999999517E-2</v>
      </c>
      <c r="I49" s="104">
        <v>0</v>
      </c>
      <c r="J49" s="1"/>
      <c r="K49" s="1">
        <f t="shared" si="3"/>
        <v>8.0999999999999517E-2</v>
      </c>
      <c r="L49" s="3">
        <f t="shared" si="5"/>
        <v>0</v>
      </c>
      <c r="M49" s="25"/>
    </row>
    <row r="50" spans="2:13">
      <c r="B50" s="11">
        <v>27</v>
      </c>
      <c r="C50" s="221"/>
      <c r="D50" s="15" t="s">
        <v>73</v>
      </c>
      <c r="E50" s="1" t="s">
        <v>19</v>
      </c>
      <c r="F50" s="2">
        <v>1174.317</v>
      </c>
      <c r="G50" s="1">
        <f>-127.1</f>
        <v>-127.1</v>
      </c>
      <c r="H50" s="1">
        <f t="shared" si="4"/>
        <v>1047.2170000000001</v>
      </c>
      <c r="I50" s="104">
        <v>541.16499999999996</v>
      </c>
      <c r="J50" s="1"/>
      <c r="K50" s="1">
        <f t="shared" si="3"/>
        <v>506.05200000000013</v>
      </c>
      <c r="L50" s="3">
        <f t="shared" si="5"/>
        <v>0.5167649111884165</v>
      </c>
      <c r="M50" s="25"/>
    </row>
    <row r="51" spans="2:13">
      <c r="B51" s="11">
        <v>28</v>
      </c>
      <c r="C51" s="221"/>
      <c r="D51" s="15" t="s">
        <v>74</v>
      </c>
      <c r="E51" s="1" t="s">
        <v>19</v>
      </c>
      <c r="F51" s="2">
        <v>149.79300000000001</v>
      </c>
      <c r="G51" s="1">
        <f>-45.7-104</f>
        <v>-149.69999999999999</v>
      </c>
      <c r="H51" s="1">
        <f t="shared" si="4"/>
        <v>9.3000000000017735E-2</v>
      </c>
      <c r="I51" s="104">
        <v>0</v>
      </c>
      <c r="J51" s="1"/>
      <c r="K51" s="1">
        <f t="shared" si="3"/>
        <v>9.3000000000017735E-2</v>
      </c>
      <c r="L51" s="3">
        <f t="shared" si="5"/>
        <v>0</v>
      </c>
      <c r="M51" s="47"/>
    </row>
    <row r="52" spans="2:13">
      <c r="B52" s="11">
        <v>29</v>
      </c>
      <c r="C52" s="221"/>
      <c r="D52" s="15" t="s">
        <v>75</v>
      </c>
      <c r="E52" s="1" t="s">
        <v>19</v>
      </c>
      <c r="F52" s="2">
        <v>2215.2530000000002</v>
      </c>
      <c r="G52" s="1">
        <f>182.7</f>
        <v>182.7</v>
      </c>
      <c r="H52" s="1">
        <f t="shared" si="4"/>
        <v>2397.953</v>
      </c>
      <c r="I52" s="104">
        <v>1962.1489999999999</v>
      </c>
      <c r="J52" s="1"/>
      <c r="K52" s="1">
        <f t="shared" si="3"/>
        <v>435.80400000000009</v>
      </c>
      <c r="L52" s="3">
        <f t="shared" si="5"/>
        <v>0.8182599909172531</v>
      </c>
      <c r="M52" s="25"/>
    </row>
    <row r="53" spans="2:13">
      <c r="B53" s="11">
        <v>30</v>
      </c>
      <c r="C53" s="221"/>
      <c r="D53" s="15" t="s">
        <v>76</v>
      </c>
      <c r="E53" s="1" t="s">
        <v>19</v>
      </c>
      <c r="F53" s="2">
        <v>3381.0709999999999</v>
      </c>
      <c r="G53" s="1">
        <f>270+74+200</f>
        <v>544</v>
      </c>
      <c r="H53" s="1">
        <f t="shared" si="4"/>
        <v>3925.0709999999999</v>
      </c>
      <c r="I53" s="104">
        <v>5070.866</v>
      </c>
      <c r="J53" s="1"/>
      <c r="K53" s="1">
        <f t="shared" si="3"/>
        <v>-1145.7950000000001</v>
      </c>
      <c r="L53" s="3">
        <f t="shared" si="5"/>
        <v>1.29191701245659</v>
      </c>
      <c r="M53" s="25"/>
    </row>
    <row r="54" spans="2:13">
      <c r="B54" s="11">
        <v>31</v>
      </c>
      <c r="C54" s="221"/>
      <c r="D54" s="15" t="s">
        <v>77</v>
      </c>
      <c r="E54" s="1" t="s">
        <v>19</v>
      </c>
      <c r="F54" s="2">
        <v>8.9999999999999993E-3</v>
      </c>
      <c r="G54" s="1"/>
      <c r="H54" s="1">
        <f t="shared" si="4"/>
        <v>8.9999999999999993E-3</v>
      </c>
      <c r="I54" s="104">
        <v>0</v>
      </c>
      <c r="J54" s="1"/>
      <c r="K54" s="1">
        <f t="shared" si="3"/>
        <v>8.9999999999999993E-3</v>
      </c>
      <c r="L54" s="3">
        <f t="shared" si="5"/>
        <v>0</v>
      </c>
      <c r="M54" s="47"/>
    </row>
    <row r="55" spans="2:13">
      <c r="B55" s="11">
        <v>32</v>
      </c>
      <c r="C55" s="221"/>
      <c r="D55" s="15" t="s">
        <v>78</v>
      </c>
      <c r="E55" s="1" t="s">
        <v>19</v>
      </c>
      <c r="F55" s="2">
        <v>593.80100000000004</v>
      </c>
      <c r="G55" s="1">
        <f>-5-5-1</f>
        <v>-11</v>
      </c>
      <c r="H55" s="1">
        <f t="shared" si="4"/>
        <v>582.80100000000004</v>
      </c>
      <c r="I55" s="104">
        <v>665.07899999999995</v>
      </c>
      <c r="J55" s="1"/>
      <c r="K55" s="1">
        <f t="shared" si="3"/>
        <v>-82.277999999999906</v>
      </c>
      <c r="L55" s="3">
        <f t="shared" si="5"/>
        <v>1.1411768339450343</v>
      </c>
      <c r="M55" s="47"/>
    </row>
    <row r="56" spans="2:13">
      <c r="B56" s="11">
        <v>33</v>
      </c>
      <c r="C56" s="221"/>
      <c r="D56" s="15" t="s">
        <v>79</v>
      </c>
      <c r="E56" s="1" t="s">
        <v>19</v>
      </c>
      <c r="F56" s="2">
        <v>884.30100000000004</v>
      </c>
      <c r="G56" s="1">
        <f>-10</f>
        <v>-10</v>
      </c>
      <c r="H56" s="1">
        <f t="shared" si="4"/>
        <v>874.30100000000004</v>
      </c>
      <c r="I56" s="104">
        <v>1074.46</v>
      </c>
      <c r="J56" s="1"/>
      <c r="K56" s="1">
        <f t="shared" si="3"/>
        <v>-200.15899999999999</v>
      </c>
      <c r="L56" s="3">
        <f t="shared" si="5"/>
        <v>1.2289360300399976</v>
      </c>
      <c r="M56" s="25"/>
    </row>
    <row r="57" spans="2:13">
      <c r="B57" s="11">
        <v>34</v>
      </c>
      <c r="C57" s="221"/>
      <c r="D57" s="15" t="s">
        <v>80</v>
      </c>
      <c r="E57" s="1" t="s">
        <v>19</v>
      </c>
      <c r="F57" s="2">
        <v>295.60500000000002</v>
      </c>
      <c r="G57" s="1">
        <f>-1-11-99+468+127</f>
        <v>484</v>
      </c>
      <c r="H57" s="1">
        <f t="shared" si="4"/>
        <v>779.60500000000002</v>
      </c>
      <c r="I57" s="104">
        <v>665.25</v>
      </c>
      <c r="J57" s="1"/>
      <c r="K57" s="1">
        <f t="shared" si="3"/>
        <v>114.35500000000002</v>
      </c>
      <c r="L57" s="3">
        <f t="shared" si="5"/>
        <v>0.85331674373560973</v>
      </c>
      <c r="M57" s="47"/>
    </row>
    <row r="58" spans="2:13">
      <c r="B58" s="11">
        <v>35</v>
      </c>
      <c r="C58" s="221"/>
      <c r="D58" s="15" t="s">
        <v>81</v>
      </c>
      <c r="E58" s="1" t="s">
        <v>19</v>
      </c>
      <c r="F58" s="2">
        <v>1698.9359999999999</v>
      </c>
      <c r="G58" s="1">
        <f>5+127.1+100</f>
        <v>232.1</v>
      </c>
      <c r="H58" s="1">
        <f t="shared" si="4"/>
        <v>1931.0359999999998</v>
      </c>
      <c r="I58" s="104">
        <v>1226.5550000000001</v>
      </c>
      <c r="J58" s="1"/>
      <c r="K58" s="1">
        <f t="shared" si="3"/>
        <v>704.48099999999977</v>
      </c>
      <c r="L58" s="3">
        <f t="shared" si="5"/>
        <v>0.63517976878732463</v>
      </c>
      <c r="M58" s="25"/>
    </row>
    <row r="59" spans="2:13">
      <c r="B59" s="11">
        <v>36</v>
      </c>
      <c r="C59" s="221"/>
      <c r="D59" s="15" t="s">
        <v>82</v>
      </c>
      <c r="E59" s="1" t="s">
        <v>19</v>
      </c>
      <c r="F59" s="2">
        <v>928.66300000000001</v>
      </c>
      <c r="G59" s="1">
        <f>-95-122</f>
        <v>-217</v>
      </c>
      <c r="H59" s="1">
        <f t="shared" si="4"/>
        <v>711.66300000000001</v>
      </c>
      <c r="I59" s="104">
        <v>490.07900000000001</v>
      </c>
      <c r="J59" s="1"/>
      <c r="K59" s="1">
        <f t="shared" si="3"/>
        <v>221.584</v>
      </c>
      <c r="L59" s="3">
        <f t="shared" si="5"/>
        <v>0.68863914521339453</v>
      </c>
      <c r="M59" s="25"/>
    </row>
    <row r="60" spans="2:13">
      <c r="B60" s="11">
        <v>37</v>
      </c>
      <c r="C60" s="221"/>
      <c r="D60" s="15" t="s">
        <v>83</v>
      </c>
      <c r="E60" s="1" t="s">
        <v>19</v>
      </c>
      <c r="F60" s="2">
        <v>476.274</v>
      </c>
      <c r="G60" s="1"/>
      <c r="H60" s="1">
        <f t="shared" si="4"/>
        <v>476.274</v>
      </c>
      <c r="I60" s="104">
        <v>254.50299999999999</v>
      </c>
      <c r="J60" s="1"/>
      <c r="K60" s="1">
        <f t="shared" si="3"/>
        <v>221.77100000000002</v>
      </c>
      <c r="L60" s="3">
        <f t="shared" si="5"/>
        <v>0.53436257280472998</v>
      </c>
      <c r="M60" s="25"/>
    </row>
    <row r="61" spans="2:13">
      <c r="B61" s="11">
        <v>38</v>
      </c>
      <c r="C61" s="221"/>
      <c r="D61" s="15" t="s">
        <v>84</v>
      </c>
      <c r="E61" s="1" t="s">
        <v>19</v>
      </c>
      <c r="F61" s="2">
        <v>1490.239</v>
      </c>
      <c r="G61" s="1"/>
      <c r="H61" s="1">
        <f t="shared" si="4"/>
        <v>1490.239</v>
      </c>
      <c r="I61" s="104">
        <v>1305.777</v>
      </c>
      <c r="J61" s="1"/>
      <c r="K61" s="1">
        <f t="shared" si="3"/>
        <v>184.46199999999999</v>
      </c>
      <c r="L61" s="3">
        <f t="shared" si="5"/>
        <v>0.87621985466760699</v>
      </c>
      <c r="M61" s="25"/>
    </row>
    <row r="62" spans="2:13">
      <c r="B62" s="11">
        <v>39</v>
      </c>
      <c r="C62" s="221"/>
      <c r="D62" s="15" t="s">
        <v>85</v>
      </c>
      <c r="E62" s="1" t="s">
        <v>19</v>
      </c>
      <c r="F62" s="2">
        <v>96.450999999999993</v>
      </c>
      <c r="G62" s="1">
        <f>-70</f>
        <v>-70</v>
      </c>
      <c r="H62" s="1">
        <f t="shared" si="4"/>
        <v>26.450999999999993</v>
      </c>
      <c r="I62" s="104">
        <v>4.01</v>
      </c>
      <c r="J62" s="1"/>
      <c r="K62" s="1">
        <f t="shared" si="3"/>
        <v>22.440999999999995</v>
      </c>
      <c r="L62" s="3">
        <f t="shared" si="5"/>
        <v>0.15160107368341463</v>
      </c>
      <c r="M62" s="25"/>
    </row>
    <row r="63" spans="2:13">
      <c r="B63" s="11">
        <v>40</v>
      </c>
      <c r="C63" s="221"/>
      <c r="D63" s="15" t="s">
        <v>86</v>
      </c>
      <c r="E63" s="1" t="s">
        <v>19</v>
      </c>
      <c r="F63" s="2">
        <v>686.90599999999995</v>
      </c>
      <c r="G63" s="1"/>
      <c r="H63" s="1">
        <f t="shared" si="4"/>
        <v>686.90599999999995</v>
      </c>
      <c r="I63" s="104">
        <v>470.70400000000001</v>
      </c>
      <c r="J63" s="1"/>
      <c r="K63" s="1">
        <f t="shared" si="3"/>
        <v>216.20199999999994</v>
      </c>
      <c r="L63" s="3">
        <f t="shared" si="5"/>
        <v>0.68525242172873735</v>
      </c>
      <c r="M63" s="25"/>
    </row>
    <row r="64" spans="2:13">
      <c r="B64" s="11">
        <v>41</v>
      </c>
      <c r="C64" s="221"/>
      <c r="D64" s="15" t="s">
        <v>87</v>
      </c>
      <c r="E64" s="1" t="s">
        <v>19</v>
      </c>
      <c r="F64" s="2">
        <v>1453.874</v>
      </c>
      <c r="G64" s="1"/>
      <c r="H64" s="1">
        <f t="shared" si="4"/>
        <v>1453.874</v>
      </c>
      <c r="I64" s="104">
        <v>688.23</v>
      </c>
      <c r="J64" s="1"/>
      <c r="K64" s="1">
        <f t="shared" si="3"/>
        <v>765.64400000000001</v>
      </c>
      <c r="L64" s="3">
        <f t="shared" si="5"/>
        <v>0.47337664749489983</v>
      </c>
      <c r="M64" s="25"/>
    </row>
    <row r="65" spans="2:13">
      <c r="B65" s="11">
        <v>42</v>
      </c>
      <c r="C65" s="221"/>
      <c r="D65" s="15" t="s">
        <v>88</v>
      </c>
      <c r="E65" s="1" t="s">
        <v>19</v>
      </c>
      <c r="F65" s="2">
        <v>683.83100000000002</v>
      </c>
      <c r="G65" s="1">
        <f>107-15-9</f>
        <v>83</v>
      </c>
      <c r="H65" s="1">
        <f t="shared" si="4"/>
        <v>766.83100000000002</v>
      </c>
      <c r="I65" s="104">
        <v>758.81799999999998</v>
      </c>
      <c r="J65" s="1"/>
      <c r="K65" s="1">
        <f t="shared" si="3"/>
        <v>8.0130000000000337</v>
      </c>
      <c r="L65" s="3">
        <f t="shared" si="5"/>
        <v>0.98955050069702444</v>
      </c>
      <c r="M65" s="25"/>
    </row>
    <row r="66" spans="2:13">
      <c r="B66" s="11">
        <v>43</v>
      </c>
      <c r="C66" s="221"/>
      <c r="D66" s="15" t="s">
        <v>89</v>
      </c>
      <c r="E66" s="1" t="s">
        <v>19</v>
      </c>
      <c r="F66" s="2">
        <v>1792.0039999999999</v>
      </c>
      <c r="G66" s="1">
        <f>-299-298-597-597</f>
        <v>-1791</v>
      </c>
      <c r="H66" s="1">
        <f t="shared" si="4"/>
        <v>1.0039999999999054</v>
      </c>
      <c r="I66" s="104">
        <v>0</v>
      </c>
      <c r="J66" s="1"/>
      <c r="K66" s="1">
        <f t="shared" si="3"/>
        <v>1.0039999999999054</v>
      </c>
      <c r="L66" s="3">
        <f t="shared" si="5"/>
        <v>0</v>
      </c>
      <c r="M66" s="47"/>
    </row>
    <row r="67" spans="2:13">
      <c r="B67" s="11">
        <v>44</v>
      </c>
      <c r="C67" s="221"/>
      <c r="D67" s="15" t="s">
        <v>90</v>
      </c>
      <c r="E67" s="1" t="s">
        <v>19</v>
      </c>
      <c r="F67" s="2">
        <v>11.119</v>
      </c>
      <c r="G67" s="1"/>
      <c r="H67" s="1">
        <f t="shared" si="4"/>
        <v>11.119</v>
      </c>
      <c r="I67" s="104">
        <v>0</v>
      </c>
      <c r="J67" s="1"/>
      <c r="K67" s="1">
        <f t="shared" si="3"/>
        <v>11.119</v>
      </c>
      <c r="L67" s="3">
        <f t="shared" si="5"/>
        <v>0</v>
      </c>
      <c r="M67" s="47"/>
    </row>
    <row r="68" spans="2:13">
      <c r="B68" s="11">
        <v>45</v>
      </c>
      <c r="C68" s="221"/>
      <c r="D68" s="15" t="s">
        <v>91</v>
      </c>
      <c r="E68" s="1" t="s">
        <v>19</v>
      </c>
      <c r="F68" s="2">
        <v>2430.9229999999998</v>
      </c>
      <c r="G68" s="1"/>
      <c r="H68" s="1">
        <f t="shared" si="4"/>
        <v>2430.9229999999998</v>
      </c>
      <c r="I68" s="104">
        <v>2280.8939999999998</v>
      </c>
      <c r="J68" s="1"/>
      <c r="K68" s="1">
        <f t="shared" si="3"/>
        <v>150.029</v>
      </c>
      <c r="L68" s="3">
        <f t="shared" si="5"/>
        <v>0.93828311303977951</v>
      </c>
      <c r="M68" s="25"/>
    </row>
    <row r="69" spans="2:13">
      <c r="B69" s="11">
        <v>46</v>
      </c>
      <c r="C69" s="221"/>
      <c r="D69" s="15" t="s">
        <v>92</v>
      </c>
      <c r="E69" s="1" t="s">
        <v>19</v>
      </c>
      <c r="F69" s="2">
        <v>649.78399999999999</v>
      </c>
      <c r="G69" s="1"/>
      <c r="H69" s="1">
        <f t="shared" si="4"/>
        <v>649.78399999999999</v>
      </c>
      <c r="I69" s="104">
        <v>232.66800000000001</v>
      </c>
      <c r="J69" s="1"/>
      <c r="K69" s="1">
        <f t="shared" si="3"/>
        <v>417.11599999999999</v>
      </c>
      <c r="L69" s="3">
        <f t="shared" si="5"/>
        <v>0.35806975856592343</v>
      </c>
      <c r="M69" s="25"/>
    </row>
    <row r="70" spans="2:13">
      <c r="B70" s="11">
        <v>47</v>
      </c>
      <c r="C70" s="221"/>
      <c r="D70" s="15" t="s">
        <v>93</v>
      </c>
      <c r="E70" s="1" t="s">
        <v>19</v>
      </c>
      <c r="F70" s="2">
        <v>3074.3449999999998</v>
      </c>
      <c r="G70" s="1">
        <f>-120-270-123-200-200-100-250</f>
        <v>-1263</v>
      </c>
      <c r="H70" s="1">
        <f t="shared" si="4"/>
        <v>1811.3449999999998</v>
      </c>
      <c r="I70" s="104">
        <v>2108.498</v>
      </c>
      <c r="J70" s="1"/>
      <c r="K70" s="1">
        <f t="shared" si="3"/>
        <v>-297.15300000000025</v>
      </c>
      <c r="L70" s="3">
        <f t="shared" si="5"/>
        <v>1.1640510228587047</v>
      </c>
      <c r="M70" s="25"/>
    </row>
    <row r="71" spans="2:13">
      <c r="B71" s="11">
        <v>48</v>
      </c>
      <c r="C71" s="221"/>
      <c r="D71" s="15" t="s">
        <v>94</v>
      </c>
      <c r="E71" s="1" t="s">
        <v>19</v>
      </c>
      <c r="F71" s="2">
        <v>894.78</v>
      </c>
      <c r="G71" s="1">
        <f>-468-95-89.5-127-60</f>
        <v>-839.5</v>
      </c>
      <c r="H71" s="1">
        <f t="shared" si="4"/>
        <v>55.279999999999973</v>
      </c>
      <c r="I71" s="104">
        <v>4.8559999999999999</v>
      </c>
      <c r="J71" s="1"/>
      <c r="K71" s="1">
        <f t="shared" si="3"/>
        <v>50.423999999999971</v>
      </c>
      <c r="L71" s="3">
        <f t="shared" si="5"/>
        <v>8.7843704775687453E-2</v>
      </c>
      <c r="M71" s="25"/>
    </row>
    <row r="72" spans="2:13">
      <c r="B72" s="11">
        <v>49</v>
      </c>
      <c r="C72" s="221"/>
      <c r="D72" s="15" t="s">
        <v>95</v>
      </c>
      <c r="E72" s="1" t="s">
        <v>19</v>
      </c>
      <c r="F72" s="2">
        <v>1476.9490000000001</v>
      </c>
      <c r="G72" s="1">
        <f>-132</f>
        <v>-132</v>
      </c>
      <c r="H72" s="1">
        <f t="shared" si="4"/>
        <v>1344.9490000000001</v>
      </c>
      <c r="I72" s="104">
        <v>1194.1790000000001</v>
      </c>
      <c r="J72" s="1"/>
      <c r="K72" s="1">
        <f t="shared" si="3"/>
        <v>150.76999999999998</v>
      </c>
      <c r="L72" s="3">
        <f t="shared" si="5"/>
        <v>0.88789909505862308</v>
      </c>
      <c r="M72" s="25"/>
    </row>
    <row r="73" spans="2:13">
      <c r="B73" s="11">
        <v>50</v>
      </c>
      <c r="C73" s="221"/>
      <c r="D73" s="15" t="s">
        <v>197</v>
      </c>
      <c r="E73" s="1" t="s">
        <v>19</v>
      </c>
      <c r="F73" s="2">
        <v>2532.0070000000001</v>
      </c>
      <c r="G73" s="1">
        <f>150</f>
        <v>150</v>
      </c>
      <c r="H73" s="1">
        <f t="shared" si="4"/>
        <v>2682.0070000000001</v>
      </c>
      <c r="I73" s="104">
        <v>1697.0550000000001</v>
      </c>
      <c r="J73" s="1"/>
      <c r="K73" s="1">
        <f t="shared" si="3"/>
        <v>984.952</v>
      </c>
      <c r="L73" s="3">
        <f t="shared" si="5"/>
        <v>0.63275561920606471</v>
      </c>
      <c r="M73" s="25"/>
    </row>
    <row r="74" spans="2:13">
      <c r="B74" s="11">
        <v>51</v>
      </c>
      <c r="C74" s="221"/>
      <c r="D74" s="15" t="s">
        <v>97</v>
      </c>
      <c r="E74" s="1" t="s">
        <v>19</v>
      </c>
      <c r="F74" s="2">
        <v>388.88099999999997</v>
      </c>
      <c r="G74" s="1">
        <f>-140.9-127.1</f>
        <v>-268</v>
      </c>
      <c r="H74" s="1">
        <f t="shared" si="4"/>
        <v>120.88099999999997</v>
      </c>
      <c r="I74" s="104">
        <v>91.695999999999998</v>
      </c>
      <c r="J74" s="1"/>
      <c r="K74" s="1">
        <f t="shared" si="3"/>
        <v>29.184999999999974</v>
      </c>
      <c r="L74" s="3">
        <f t="shared" si="5"/>
        <v>0.75856420777458844</v>
      </c>
      <c r="M74" s="115">
        <v>43928</v>
      </c>
    </row>
    <row r="75" spans="2:13">
      <c r="B75" s="11">
        <v>52</v>
      </c>
      <c r="C75" s="221"/>
      <c r="D75" s="15" t="s">
        <v>98</v>
      </c>
      <c r="E75" s="1" t="s">
        <v>19</v>
      </c>
      <c r="F75" s="2">
        <v>3737.415</v>
      </c>
      <c r="G75" s="1">
        <f>307.785+332.103</f>
        <v>639.88800000000003</v>
      </c>
      <c r="H75" s="1">
        <f t="shared" si="4"/>
        <v>4377.3029999999999</v>
      </c>
      <c r="I75" s="104">
        <v>3811.1980000000003</v>
      </c>
      <c r="J75" s="1"/>
      <c r="K75" s="1">
        <f t="shared" si="3"/>
        <v>566.10499999999956</v>
      </c>
      <c r="L75" s="3">
        <f t="shared" si="5"/>
        <v>0.87067264934595578</v>
      </c>
      <c r="M75" s="25"/>
    </row>
    <row r="76" spans="2:13">
      <c r="B76" s="11">
        <v>53</v>
      </c>
      <c r="C76" s="221"/>
      <c r="D76" s="15" t="s">
        <v>198</v>
      </c>
      <c r="E76" s="1" t="s">
        <v>19</v>
      </c>
      <c r="F76" s="2">
        <v>27.815000000000001</v>
      </c>
      <c r="G76" s="1"/>
      <c r="H76" s="1">
        <f t="shared" si="4"/>
        <v>27.815000000000001</v>
      </c>
      <c r="I76" s="104">
        <v>0</v>
      </c>
      <c r="J76" s="1"/>
      <c r="K76" s="1">
        <f t="shared" si="3"/>
        <v>27.815000000000001</v>
      </c>
      <c r="L76" s="3">
        <f t="shared" si="5"/>
        <v>0</v>
      </c>
      <c r="M76" s="115">
        <v>43921</v>
      </c>
    </row>
    <row r="77" spans="2:13">
      <c r="B77" s="11">
        <v>54</v>
      </c>
      <c r="C77" s="221"/>
      <c r="D77" s="15" t="s">
        <v>100</v>
      </c>
      <c r="E77" s="1" t="s">
        <v>19</v>
      </c>
      <c r="F77" s="2">
        <v>1.3420000000000001</v>
      </c>
      <c r="G77" s="1"/>
      <c r="H77" s="1">
        <f t="shared" si="4"/>
        <v>1.3420000000000001</v>
      </c>
      <c r="I77" s="104">
        <v>0</v>
      </c>
      <c r="J77" s="1"/>
      <c r="K77" s="1">
        <f t="shared" si="3"/>
        <v>1.3420000000000001</v>
      </c>
      <c r="L77" s="3">
        <f t="shared" si="5"/>
        <v>0</v>
      </c>
      <c r="M77" s="47"/>
    </row>
    <row r="78" spans="2:13">
      <c r="B78" s="11">
        <v>55</v>
      </c>
      <c r="C78" s="221"/>
      <c r="D78" s="15" t="s">
        <v>199</v>
      </c>
      <c r="E78" s="1" t="s">
        <v>19</v>
      </c>
      <c r="F78" s="2">
        <v>4340.8940000000002</v>
      </c>
      <c r="G78" s="1">
        <f>-110</f>
        <v>-110</v>
      </c>
      <c r="H78" s="1">
        <f t="shared" si="4"/>
        <v>4230.8940000000002</v>
      </c>
      <c r="I78" s="104">
        <v>5769.0119999999997</v>
      </c>
      <c r="J78" s="1"/>
      <c r="K78" s="1">
        <f t="shared" si="3"/>
        <v>-1538.1179999999995</v>
      </c>
      <c r="L78" s="3">
        <f t="shared" si="5"/>
        <v>1.3635444423802627</v>
      </c>
      <c r="M78" s="25"/>
    </row>
    <row r="79" spans="2:13">
      <c r="B79" s="11">
        <v>56</v>
      </c>
      <c r="C79" s="221"/>
      <c r="D79" s="15" t="s">
        <v>200</v>
      </c>
      <c r="E79" s="1" t="s">
        <v>19</v>
      </c>
      <c r="F79" s="2">
        <v>1184.327</v>
      </c>
      <c r="G79" s="1">
        <f>45.7+299+5+80</f>
        <v>429.7</v>
      </c>
      <c r="H79" s="1">
        <f t="shared" si="4"/>
        <v>1614.027</v>
      </c>
      <c r="I79" s="104">
        <v>2272.2959999999998</v>
      </c>
      <c r="J79" s="1"/>
      <c r="K79" s="1">
        <f t="shared" si="3"/>
        <v>-658.26899999999978</v>
      </c>
      <c r="L79" s="3">
        <f t="shared" si="5"/>
        <v>1.4078426197331271</v>
      </c>
      <c r="M79" s="47"/>
    </row>
    <row r="80" spans="2:13">
      <c r="B80" s="11">
        <v>57</v>
      </c>
      <c r="C80" s="221"/>
      <c r="D80" s="15" t="s">
        <v>103</v>
      </c>
      <c r="E80" s="1" t="s">
        <v>19</v>
      </c>
      <c r="F80" s="2">
        <v>1189.239</v>
      </c>
      <c r="G80" s="1">
        <f>298+5+76+5.9+1+80</f>
        <v>465.9</v>
      </c>
      <c r="H80" s="1">
        <f t="shared" si="4"/>
        <v>1655.1390000000001</v>
      </c>
      <c r="I80" s="104">
        <v>2203.1469999999999</v>
      </c>
      <c r="J80" s="1"/>
      <c r="K80" s="1">
        <f t="shared" si="3"/>
        <v>-548.00799999999981</v>
      </c>
      <c r="L80" s="3">
        <f t="shared" si="5"/>
        <v>1.3310948506439639</v>
      </c>
      <c r="M80" s="47"/>
    </row>
    <row r="81" spans="2:13">
      <c r="B81" s="11">
        <v>58</v>
      </c>
      <c r="C81" s="221"/>
      <c r="D81" s="15" t="s">
        <v>201</v>
      </c>
      <c r="E81" s="1" t="s">
        <v>19</v>
      </c>
      <c r="F81" s="2">
        <v>652.20600000000002</v>
      </c>
      <c r="G81" s="1">
        <f>-182.7</f>
        <v>-182.7</v>
      </c>
      <c r="H81" s="1">
        <f t="shared" si="4"/>
        <v>469.50600000000003</v>
      </c>
      <c r="I81" s="104">
        <v>84.864000000000004</v>
      </c>
      <c r="J81" s="1"/>
      <c r="K81" s="1">
        <f t="shared" si="3"/>
        <v>384.64200000000005</v>
      </c>
      <c r="L81" s="3">
        <f t="shared" si="5"/>
        <v>0.18075168368455355</v>
      </c>
      <c r="M81" s="25"/>
    </row>
    <row r="82" spans="2:13">
      <c r="B82" s="11">
        <v>59</v>
      </c>
      <c r="C82" s="221"/>
      <c r="D82" s="15" t="s">
        <v>202</v>
      </c>
      <c r="E82" s="1" t="s">
        <v>19</v>
      </c>
      <c r="F82" s="2">
        <v>342.06400000000002</v>
      </c>
      <c r="G82" s="1"/>
      <c r="H82" s="1">
        <f t="shared" si="4"/>
        <v>342.06400000000002</v>
      </c>
      <c r="I82" s="104">
        <v>265.529</v>
      </c>
      <c r="J82" s="1"/>
      <c r="K82" s="1">
        <f t="shared" si="3"/>
        <v>76.535000000000025</v>
      </c>
      <c r="L82" s="3">
        <f t="shared" si="5"/>
        <v>0.77625532064175118</v>
      </c>
      <c r="M82" s="47"/>
    </row>
    <row r="83" spans="2:13">
      <c r="B83" s="11">
        <v>60</v>
      </c>
      <c r="C83" s="221"/>
      <c r="D83" s="15" t="s">
        <v>203</v>
      </c>
      <c r="E83" s="1" t="s">
        <v>19</v>
      </c>
      <c r="F83" s="2">
        <v>1699.5930000000001</v>
      </c>
      <c r="G83" s="1">
        <f>200</f>
        <v>200</v>
      </c>
      <c r="H83" s="1">
        <f t="shared" si="4"/>
        <v>1899.5930000000001</v>
      </c>
      <c r="I83" s="104">
        <v>1092.548</v>
      </c>
      <c r="J83" s="1"/>
      <c r="K83" s="1">
        <f t="shared" si="3"/>
        <v>807.04500000000007</v>
      </c>
      <c r="L83" s="3">
        <f t="shared" si="5"/>
        <v>0.57514846601350922</v>
      </c>
      <c r="M83" s="25"/>
    </row>
    <row r="84" spans="2:13">
      <c r="B84" s="11">
        <v>61</v>
      </c>
      <c r="C84" s="221"/>
      <c r="D84" s="15" t="s">
        <v>107</v>
      </c>
      <c r="E84" s="1" t="s">
        <v>19</v>
      </c>
      <c r="F84" s="2">
        <v>1838.9949999999999</v>
      </c>
      <c r="G84" s="1">
        <f>100</f>
        <v>100</v>
      </c>
      <c r="H84" s="1">
        <f t="shared" si="4"/>
        <v>1938.9949999999999</v>
      </c>
      <c r="I84" s="104">
        <v>2360.4250000000002</v>
      </c>
      <c r="J84" s="1"/>
      <c r="K84" s="1">
        <f t="shared" ref="K84:K134" si="6">H84-(I84+J84)</f>
        <v>-421.43000000000029</v>
      </c>
      <c r="L84" s="3">
        <f t="shared" si="5"/>
        <v>1.2173445522035902</v>
      </c>
      <c r="M84" s="47"/>
    </row>
    <row r="85" spans="2:13">
      <c r="B85" s="11">
        <v>62</v>
      </c>
      <c r="C85" s="221"/>
      <c r="D85" s="15" t="s">
        <v>108</v>
      </c>
      <c r="E85" s="1" t="s">
        <v>19</v>
      </c>
      <c r="F85" s="2">
        <v>511.28500000000003</v>
      </c>
      <c r="G85" s="1"/>
      <c r="H85" s="1">
        <f t="shared" si="4"/>
        <v>511.28500000000003</v>
      </c>
      <c r="I85" s="104">
        <v>211.27699999999999</v>
      </c>
      <c r="J85" s="1"/>
      <c r="K85" s="1">
        <f t="shared" si="6"/>
        <v>300.00800000000004</v>
      </c>
      <c r="L85" s="3">
        <f t="shared" si="5"/>
        <v>0.41322745631105934</v>
      </c>
      <c r="M85" s="47"/>
    </row>
    <row r="86" spans="2:13">
      <c r="B86" s="11">
        <v>63</v>
      </c>
      <c r="C86" s="221"/>
      <c r="D86" s="15" t="s">
        <v>109</v>
      </c>
      <c r="E86" s="1" t="s">
        <v>19</v>
      </c>
      <c r="F86" s="2">
        <v>1414.2629999999999</v>
      </c>
      <c r="G86" s="1">
        <f>-100-190-10</f>
        <v>-300</v>
      </c>
      <c r="H86" s="1">
        <f t="shared" si="4"/>
        <v>1114.2629999999999</v>
      </c>
      <c r="I86" s="104">
        <v>860.59400000000005</v>
      </c>
      <c r="J86" s="1"/>
      <c r="K86" s="1">
        <f t="shared" si="6"/>
        <v>253.66899999999987</v>
      </c>
      <c r="L86" s="3">
        <f t="shared" si="5"/>
        <v>0.77234369264706815</v>
      </c>
      <c r="M86" s="25"/>
    </row>
    <row r="87" spans="2:13">
      <c r="B87" s="11">
        <v>64</v>
      </c>
      <c r="C87" s="221"/>
      <c r="D87" s="15" t="s">
        <v>110</v>
      </c>
      <c r="E87" s="1" t="s">
        <v>19</v>
      </c>
      <c r="F87" s="2">
        <v>279.649</v>
      </c>
      <c r="G87" s="1">
        <f>-76-10</f>
        <v>-86</v>
      </c>
      <c r="H87" s="1">
        <f t="shared" si="4"/>
        <v>193.649</v>
      </c>
      <c r="I87" s="104">
        <v>48.695</v>
      </c>
      <c r="J87" s="1"/>
      <c r="K87" s="1">
        <f t="shared" si="6"/>
        <v>144.95400000000001</v>
      </c>
      <c r="L87" s="3">
        <f t="shared" si="5"/>
        <v>0.25146011598304147</v>
      </c>
      <c r="M87" s="47"/>
    </row>
    <row r="88" spans="2:13">
      <c r="B88" s="11">
        <v>65</v>
      </c>
      <c r="C88" s="221"/>
      <c r="D88" s="15" t="s">
        <v>111</v>
      </c>
      <c r="E88" s="1" t="s">
        <v>19</v>
      </c>
      <c r="F88" s="2">
        <v>954.45399999999995</v>
      </c>
      <c r="G88" s="1"/>
      <c r="H88" s="1">
        <f t="shared" si="4"/>
        <v>954.45399999999995</v>
      </c>
      <c r="I88" s="104">
        <v>1753.7370000000001</v>
      </c>
      <c r="J88" s="1"/>
      <c r="K88" s="1">
        <f t="shared" si="6"/>
        <v>-799.28300000000013</v>
      </c>
      <c r="L88" s="3">
        <f t="shared" si="5"/>
        <v>1.837424328464232</v>
      </c>
      <c r="M88" s="25"/>
    </row>
    <row r="89" spans="2:13">
      <c r="B89" s="11">
        <v>66</v>
      </c>
      <c r="C89" s="221"/>
      <c r="D89" s="15" t="s">
        <v>112</v>
      </c>
      <c r="E89" s="1" t="s">
        <v>19</v>
      </c>
      <c r="F89" s="2">
        <v>1546.8019999999999</v>
      </c>
      <c r="G89" s="1">
        <f>95+89.5</f>
        <v>184.5</v>
      </c>
      <c r="H89" s="1">
        <f t="shared" ref="H89:H102" si="7">F89+G89</f>
        <v>1731.3019999999999</v>
      </c>
      <c r="I89" s="104">
        <v>845.61800000000005</v>
      </c>
      <c r="J89" s="1"/>
      <c r="K89" s="1">
        <f t="shared" si="6"/>
        <v>885.68399999999986</v>
      </c>
      <c r="L89" s="3">
        <f t="shared" si="5"/>
        <v>0.48842893960730138</v>
      </c>
      <c r="M89" s="25"/>
    </row>
    <row r="90" spans="2:13">
      <c r="B90" s="11">
        <v>67</v>
      </c>
      <c r="C90" s="221"/>
      <c r="D90" s="15" t="s">
        <v>113</v>
      </c>
      <c r="E90" s="1" t="s">
        <v>19</v>
      </c>
      <c r="F90" s="2">
        <v>1521.96</v>
      </c>
      <c r="G90" s="1"/>
      <c r="H90" s="1">
        <f t="shared" si="7"/>
        <v>1521.96</v>
      </c>
      <c r="I90" s="104">
        <v>1751.7760000000001</v>
      </c>
      <c r="J90" s="1"/>
      <c r="K90" s="1">
        <f t="shared" si="6"/>
        <v>-229.81600000000003</v>
      </c>
      <c r="L90" s="3">
        <f t="shared" ref="L90:L103" si="8">I90/H90</f>
        <v>1.1510000262818996</v>
      </c>
      <c r="M90" s="25"/>
    </row>
    <row r="91" spans="2:13">
      <c r="B91" s="11">
        <v>68</v>
      </c>
      <c r="C91" s="221"/>
      <c r="D91" s="15" t="s">
        <v>114</v>
      </c>
      <c r="E91" s="1" t="s">
        <v>19</v>
      </c>
      <c r="F91" s="2">
        <v>1836.5170000000001</v>
      </c>
      <c r="G91" s="1"/>
      <c r="H91" s="1">
        <f t="shared" si="7"/>
        <v>1836.5170000000001</v>
      </c>
      <c r="I91" s="104">
        <v>1812.0440000000001</v>
      </c>
      <c r="J91" s="1"/>
      <c r="K91" s="1">
        <f t="shared" si="6"/>
        <v>24.472999999999956</v>
      </c>
      <c r="L91" s="3">
        <f t="shared" si="8"/>
        <v>0.98667423171144075</v>
      </c>
      <c r="M91" s="47"/>
    </row>
    <row r="92" spans="2:13">
      <c r="B92" s="11">
        <v>69</v>
      </c>
      <c r="C92" s="221"/>
      <c r="D92" s="15" t="s">
        <v>204</v>
      </c>
      <c r="E92" s="1" t="s">
        <v>19</v>
      </c>
      <c r="F92" s="2">
        <v>556.41899999999998</v>
      </c>
      <c r="G92" s="1"/>
      <c r="H92" s="1">
        <f t="shared" si="7"/>
        <v>556.41899999999998</v>
      </c>
      <c r="I92" s="104">
        <v>239.61799999999999</v>
      </c>
      <c r="J92" s="1"/>
      <c r="K92" s="1">
        <f t="shared" si="6"/>
        <v>316.80099999999999</v>
      </c>
      <c r="L92" s="3">
        <f t="shared" si="8"/>
        <v>0.43064309450252419</v>
      </c>
      <c r="M92" s="25"/>
    </row>
    <row r="93" spans="2:13">
      <c r="B93" s="11">
        <v>70</v>
      </c>
      <c r="C93" s="221"/>
      <c r="D93" s="15" t="s">
        <v>205</v>
      </c>
      <c r="E93" s="1" t="s">
        <v>19</v>
      </c>
      <c r="F93" s="2">
        <v>8.2759999999999998</v>
      </c>
      <c r="G93" s="1">
        <f>-8</f>
        <v>-8</v>
      </c>
      <c r="H93" s="1">
        <f t="shared" si="7"/>
        <v>0.2759999999999998</v>
      </c>
      <c r="I93" s="104">
        <v>0</v>
      </c>
      <c r="J93" s="1"/>
      <c r="K93" s="1">
        <f t="shared" si="6"/>
        <v>0.2759999999999998</v>
      </c>
      <c r="L93" s="3">
        <f>(F93-I93)/F93</f>
        <v>1</v>
      </c>
      <c r="M93" s="47"/>
    </row>
    <row r="94" spans="2:13">
      <c r="B94" s="11">
        <v>71</v>
      </c>
      <c r="C94" s="221"/>
      <c r="D94" s="15" t="s">
        <v>117</v>
      </c>
      <c r="E94" s="1" t="s">
        <v>19</v>
      </c>
      <c r="F94" s="2">
        <v>246.42099999999999</v>
      </c>
      <c r="G94" s="1">
        <f>64-8-74</f>
        <v>-18</v>
      </c>
      <c r="H94" s="1">
        <f t="shared" si="7"/>
        <v>228.42099999999999</v>
      </c>
      <c r="I94" s="104">
        <v>78.168000000000006</v>
      </c>
      <c r="J94" s="1"/>
      <c r="K94" s="1">
        <f t="shared" si="6"/>
        <v>150.25299999999999</v>
      </c>
      <c r="L94" s="3">
        <f t="shared" si="8"/>
        <v>0.34221021709912841</v>
      </c>
      <c r="M94" s="25"/>
    </row>
    <row r="95" spans="2:13">
      <c r="B95" s="11">
        <v>72</v>
      </c>
      <c r="C95" s="221"/>
      <c r="D95" s="15" t="s">
        <v>118</v>
      </c>
      <c r="E95" s="1" t="s">
        <v>19</v>
      </c>
      <c r="F95" s="2">
        <v>605.39</v>
      </c>
      <c r="G95" s="1">
        <f>100</f>
        <v>100</v>
      </c>
      <c r="H95" s="1">
        <f t="shared" si="7"/>
        <v>705.39</v>
      </c>
      <c r="I95" s="104">
        <v>373.46199999999999</v>
      </c>
      <c r="J95" s="1"/>
      <c r="K95" s="1">
        <f t="shared" si="6"/>
        <v>331.928</v>
      </c>
      <c r="L95" s="3">
        <f t="shared" si="8"/>
        <v>0.52944045138150531</v>
      </c>
      <c r="M95" s="25"/>
    </row>
    <row r="96" spans="2:13">
      <c r="B96" s="11">
        <v>73</v>
      </c>
      <c r="C96" s="221"/>
      <c r="D96" s="15" t="s">
        <v>119</v>
      </c>
      <c r="E96" s="1" t="s">
        <v>19</v>
      </c>
      <c r="F96" s="2">
        <v>3082.556</v>
      </c>
      <c r="G96" s="1">
        <f>250+10</f>
        <v>260</v>
      </c>
      <c r="H96" s="1">
        <f t="shared" si="7"/>
        <v>3342.556</v>
      </c>
      <c r="I96" s="104">
        <v>3304.643</v>
      </c>
      <c r="J96" s="1"/>
      <c r="K96" s="1">
        <f t="shared" si="6"/>
        <v>37.913000000000011</v>
      </c>
      <c r="L96" s="3">
        <f t="shared" si="8"/>
        <v>0.98865748247748131</v>
      </c>
      <c r="M96" s="25"/>
    </row>
    <row r="97" spans="2:14">
      <c r="B97" s="11">
        <v>74</v>
      </c>
      <c r="C97" s="221"/>
      <c r="D97" s="15" t="s">
        <v>235</v>
      </c>
      <c r="E97" s="1" t="s">
        <v>19</v>
      </c>
      <c r="F97" s="2">
        <v>307.25299999999999</v>
      </c>
      <c r="G97" s="1">
        <f>-4-2-1</f>
        <v>-7</v>
      </c>
      <c r="H97" s="1">
        <f t="shared" si="7"/>
        <v>300.25299999999999</v>
      </c>
      <c r="I97" s="104">
        <v>790.47799999999995</v>
      </c>
      <c r="J97" s="1"/>
      <c r="K97" s="1">
        <f t="shared" si="6"/>
        <v>-490.22499999999997</v>
      </c>
      <c r="L97" s="3">
        <f t="shared" si="8"/>
        <v>2.6327064175878343</v>
      </c>
      <c r="M97" s="115">
        <v>43943</v>
      </c>
    </row>
    <row r="98" spans="2:14">
      <c r="B98" s="11">
        <v>75</v>
      </c>
      <c r="C98" s="221"/>
      <c r="D98" s="15" t="s">
        <v>292</v>
      </c>
      <c r="E98" s="1" t="s">
        <v>19</v>
      </c>
      <c r="F98" s="2">
        <v>31.370999999999999</v>
      </c>
      <c r="G98" s="1">
        <f>-5</f>
        <v>-5</v>
      </c>
      <c r="H98" s="1">
        <f t="shared" si="7"/>
        <v>26.370999999999999</v>
      </c>
      <c r="I98" s="104">
        <v>0</v>
      </c>
      <c r="J98" s="1"/>
      <c r="K98" s="1">
        <f t="shared" si="6"/>
        <v>26.370999999999999</v>
      </c>
      <c r="L98" s="3">
        <f t="shared" si="8"/>
        <v>0</v>
      </c>
      <c r="M98" s="47"/>
    </row>
    <row r="99" spans="2:14">
      <c r="B99" s="11">
        <v>76</v>
      </c>
      <c r="C99" s="221"/>
      <c r="D99" s="15" t="s">
        <v>293</v>
      </c>
      <c r="E99" s="1" t="s">
        <v>19</v>
      </c>
      <c r="F99" s="2">
        <v>134.74799999999999</v>
      </c>
      <c r="G99" s="1"/>
      <c r="H99" s="1">
        <f t="shared" si="7"/>
        <v>134.74799999999999</v>
      </c>
      <c r="I99" s="104">
        <v>0</v>
      </c>
      <c r="J99" s="1"/>
      <c r="K99" s="1">
        <f t="shared" si="6"/>
        <v>134.74799999999999</v>
      </c>
      <c r="L99" s="3">
        <f t="shared" si="8"/>
        <v>0</v>
      </c>
      <c r="M99" s="47"/>
    </row>
    <row r="100" spans="2:14">
      <c r="B100" s="11">
        <v>77</v>
      </c>
      <c r="C100" s="221"/>
      <c r="D100" s="15" t="s">
        <v>121</v>
      </c>
      <c r="E100" s="1" t="s">
        <v>19</v>
      </c>
      <c r="F100" s="2">
        <v>1199.9680000000001</v>
      </c>
      <c r="G100" s="1">
        <f>-2+51-100-80-80</f>
        <v>-211</v>
      </c>
      <c r="H100" s="1">
        <f t="shared" si="7"/>
        <v>988.96800000000007</v>
      </c>
      <c r="I100" s="104">
        <v>318.839</v>
      </c>
      <c r="J100" s="1"/>
      <c r="K100" s="1">
        <f t="shared" si="6"/>
        <v>670.12900000000013</v>
      </c>
      <c r="L100" s="3">
        <f t="shared" si="8"/>
        <v>0.3223956690206356</v>
      </c>
      <c r="M100" s="25"/>
    </row>
    <row r="101" spans="2:14">
      <c r="B101" s="11">
        <v>78</v>
      </c>
      <c r="C101" s="221"/>
      <c r="D101" s="15" t="s">
        <v>122</v>
      </c>
      <c r="E101" s="1" t="s">
        <v>19</v>
      </c>
      <c r="F101" s="2">
        <v>63.262</v>
      </c>
      <c r="G101" s="1"/>
      <c r="H101" s="1">
        <f t="shared" si="7"/>
        <v>63.262</v>
      </c>
      <c r="I101" s="104">
        <v>68.486000000000004</v>
      </c>
      <c r="J101" s="1"/>
      <c r="K101" s="1">
        <f t="shared" si="6"/>
        <v>-5.2240000000000038</v>
      </c>
      <c r="L101" s="3">
        <f t="shared" si="8"/>
        <v>1.0825772185514211</v>
      </c>
      <c r="M101" s="115">
        <v>43917</v>
      </c>
    </row>
    <row r="102" spans="2:14">
      <c r="C102" s="221"/>
      <c r="D102" s="15" t="s">
        <v>232</v>
      </c>
      <c r="E102" s="25" t="s">
        <v>19</v>
      </c>
      <c r="F102" s="25">
        <v>0</v>
      </c>
      <c r="G102" s="1">
        <f>104+597+190+182.7+53.677+299.96+251+72+110.6+150+958+1+11+105+261.93+99+127.1+1124+100+95+15+8+4600+50+110+624+108+350.83+20+120+123+10+2476+100+756+4+100+2+2732+231+743+9+2+2+5+1+1+8+740+150+35+2030+89.586+1700+50+2+203+50+122+140+550+100+58.2+132+274+70+80+964+664+450+20+2850+323+190+101+1209+1315+182.432</f>
        <v>33048.014999999999</v>
      </c>
      <c r="H102" s="25">
        <f t="shared" si="7"/>
        <v>33048.014999999999</v>
      </c>
      <c r="I102" s="25"/>
      <c r="J102" s="1"/>
      <c r="K102" s="1">
        <f t="shared" si="6"/>
        <v>33048.014999999999</v>
      </c>
      <c r="L102" s="41">
        <f t="shared" si="8"/>
        <v>0</v>
      </c>
      <c r="M102" s="25"/>
    </row>
    <row r="103" spans="2:14">
      <c r="C103" s="221"/>
      <c r="D103" s="45" t="s">
        <v>264</v>
      </c>
      <c r="E103" s="32" t="s">
        <v>19</v>
      </c>
      <c r="F103" s="66">
        <f>SUM(F23:F102)</f>
        <v>99054.969000000012</v>
      </c>
      <c r="G103" s="31">
        <f>SUM(G23:G102)</f>
        <v>32792.303</v>
      </c>
      <c r="H103" s="32">
        <f>F103+G103</f>
        <v>131847.272</v>
      </c>
      <c r="I103" s="36">
        <f>SUM(I23:I102)</f>
        <v>87730.27</v>
      </c>
      <c r="J103" s="31"/>
      <c r="K103" s="1">
        <f t="shared" si="6"/>
        <v>44117.001999999993</v>
      </c>
      <c r="L103" s="46">
        <f t="shared" si="8"/>
        <v>0.66539313759938856</v>
      </c>
      <c r="M103" s="31"/>
    </row>
    <row r="104" spans="2:14">
      <c r="I104" s="57"/>
    </row>
    <row r="105" spans="2:14" ht="16.5" customHeight="1">
      <c r="C105" s="222" t="s">
        <v>43</v>
      </c>
      <c r="D105" s="15" t="s">
        <v>278</v>
      </c>
      <c r="E105" s="1" t="s">
        <v>19</v>
      </c>
      <c r="F105" s="1">
        <v>1543</v>
      </c>
      <c r="G105" s="1">
        <v>0</v>
      </c>
      <c r="H105" s="1">
        <f>F105+G105</f>
        <v>1543</v>
      </c>
      <c r="I105" s="155">
        <v>964.32</v>
      </c>
      <c r="J105" s="1"/>
      <c r="K105" s="1">
        <f t="shared" si="6"/>
        <v>578.67999999999995</v>
      </c>
      <c r="L105" s="3">
        <f>I105/H105</f>
        <v>0.62496435515230075</v>
      </c>
      <c r="M105" s="115">
        <v>43956</v>
      </c>
      <c r="N105" s="47"/>
    </row>
    <row r="106" spans="2:14" ht="20.25" customHeight="1">
      <c r="C106" s="223"/>
      <c r="D106" s="15" t="s">
        <v>232</v>
      </c>
      <c r="E106" s="25" t="s">
        <v>19</v>
      </c>
      <c r="F106" s="25">
        <v>0</v>
      </c>
      <c r="G106" s="1">
        <f>260+200+380+60</f>
        <v>900</v>
      </c>
      <c r="H106" s="25">
        <f>F106+G106</f>
        <v>900</v>
      </c>
      <c r="I106" s="25"/>
      <c r="J106" s="1"/>
      <c r="K106" s="1">
        <f t="shared" si="6"/>
        <v>900</v>
      </c>
      <c r="L106" s="41">
        <f>I106/H106</f>
        <v>0</v>
      </c>
      <c r="M106" s="1"/>
    </row>
    <row r="107" spans="2:14" ht="20.25" customHeight="1">
      <c r="C107" s="223"/>
      <c r="D107" s="15" t="s">
        <v>265</v>
      </c>
      <c r="E107" s="25" t="s">
        <v>19</v>
      </c>
      <c r="F107" s="25">
        <f>SUM(F105:F106)</f>
        <v>1543</v>
      </c>
      <c r="G107" s="1">
        <f>SUM(G105:G106)</f>
        <v>900</v>
      </c>
      <c r="H107" s="25">
        <f>F107+G107</f>
        <v>2443</v>
      </c>
      <c r="I107" s="25">
        <f>SUM(I105:I106)</f>
        <v>964.32</v>
      </c>
      <c r="J107" s="1">
        <f>J105+J106</f>
        <v>0</v>
      </c>
      <c r="K107" s="1">
        <f t="shared" si="6"/>
        <v>1478.6799999999998</v>
      </c>
      <c r="L107" s="41">
        <f>I107/H107</f>
        <v>0.39472779369627509</v>
      </c>
      <c r="M107" s="1"/>
    </row>
    <row r="108" spans="2:14">
      <c r="I108" s="57"/>
    </row>
    <row r="109" spans="2:14" ht="15" customHeight="1">
      <c r="B109" s="11">
        <v>1</v>
      </c>
      <c r="C109" s="218" t="s">
        <v>44</v>
      </c>
      <c r="D109" s="15" t="s">
        <v>134</v>
      </c>
      <c r="E109" s="1" t="s">
        <v>19</v>
      </c>
      <c r="F109" s="1">
        <v>714.06100000000004</v>
      </c>
      <c r="G109" s="1"/>
      <c r="H109" s="1">
        <f>F109+G109</f>
        <v>714.06100000000004</v>
      </c>
      <c r="I109" s="104">
        <v>86.872</v>
      </c>
      <c r="J109" s="1"/>
      <c r="K109" s="1">
        <f t="shared" si="6"/>
        <v>627.18900000000008</v>
      </c>
      <c r="L109" s="3">
        <f>I109/H109</f>
        <v>0.12165907394466298</v>
      </c>
      <c r="M109" s="47"/>
    </row>
    <row r="110" spans="2:14">
      <c r="B110" s="11">
        <v>2</v>
      </c>
      <c r="C110" s="219"/>
      <c r="D110" s="15" t="s">
        <v>135</v>
      </c>
      <c r="E110" s="1" t="s">
        <v>19</v>
      </c>
      <c r="F110" s="1">
        <v>1273.114</v>
      </c>
      <c r="G110" s="1"/>
      <c r="H110" s="1">
        <f t="shared" ref="H110:H120" si="9">F110+G110</f>
        <v>1273.114</v>
      </c>
      <c r="I110" s="104">
        <v>384.976</v>
      </c>
      <c r="J110" s="1"/>
      <c r="K110" s="1">
        <f t="shared" si="6"/>
        <v>888.13800000000003</v>
      </c>
      <c r="L110" s="3">
        <f t="shared" ref="L110:L121" si="10">I110/H110</f>
        <v>0.30238925972065345</v>
      </c>
      <c r="M110" s="47"/>
    </row>
    <row r="111" spans="2:14">
      <c r="B111" s="11">
        <v>3</v>
      </c>
      <c r="C111" s="219"/>
      <c r="D111" s="15" t="s">
        <v>136</v>
      </c>
      <c r="E111" s="1" t="s">
        <v>19</v>
      </c>
      <c r="F111" s="1">
        <v>1008.612</v>
      </c>
      <c r="G111" s="1"/>
      <c r="H111" s="1">
        <f t="shared" si="9"/>
        <v>1008.612</v>
      </c>
      <c r="I111" s="104">
        <v>531.61400000000003</v>
      </c>
      <c r="J111" s="1"/>
      <c r="K111" s="1">
        <f t="shared" si="6"/>
        <v>476.99799999999993</v>
      </c>
      <c r="L111" s="3">
        <f t="shared" si="10"/>
        <v>0.52707483155068557</v>
      </c>
      <c r="M111" s="47"/>
    </row>
    <row r="112" spans="2:14">
      <c r="B112" s="11">
        <v>4</v>
      </c>
      <c r="C112" s="219"/>
      <c r="D112" s="15" t="s">
        <v>137</v>
      </c>
      <c r="E112" s="1" t="s">
        <v>19</v>
      </c>
      <c r="F112" s="1">
        <v>756.68100000000004</v>
      </c>
      <c r="G112" s="1"/>
      <c r="H112" s="1">
        <f t="shared" si="9"/>
        <v>756.68100000000004</v>
      </c>
      <c r="I112" s="104">
        <v>412.78899999999999</v>
      </c>
      <c r="J112" s="1"/>
      <c r="K112" s="1">
        <f t="shared" si="6"/>
        <v>343.89200000000005</v>
      </c>
      <c r="L112" s="3">
        <f t="shared" si="10"/>
        <v>0.5455257895995802</v>
      </c>
      <c r="M112" s="47"/>
    </row>
    <row r="113" spans="2:13">
      <c r="B113" s="11">
        <v>5</v>
      </c>
      <c r="C113" s="219"/>
      <c r="D113" s="15" t="s">
        <v>138</v>
      </c>
      <c r="E113" s="1" t="s">
        <v>19</v>
      </c>
      <c r="F113" s="1">
        <v>3161.1570000000002</v>
      </c>
      <c r="G113" s="1"/>
      <c r="H113" s="1">
        <f t="shared" si="9"/>
        <v>3161.1570000000002</v>
      </c>
      <c r="I113" s="104">
        <v>1399.8549999999998</v>
      </c>
      <c r="J113" s="1"/>
      <c r="K113" s="1">
        <f t="shared" si="6"/>
        <v>1761.3020000000004</v>
      </c>
      <c r="L113" s="3">
        <f t="shared" si="10"/>
        <v>0.44282995118559432</v>
      </c>
      <c r="M113" s="25"/>
    </row>
    <row r="114" spans="2:13">
      <c r="B114" s="11">
        <v>6</v>
      </c>
      <c r="C114" s="219"/>
      <c r="D114" s="15" t="s">
        <v>139</v>
      </c>
      <c r="E114" s="1" t="s">
        <v>19</v>
      </c>
      <c r="F114" s="1">
        <v>553.16399999999999</v>
      </c>
      <c r="G114" s="1"/>
      <c r="H114" s="1">
        <f t="shared" si="9"/>
        <v>553.16399999999999</v>
      </c>
      <c r="I114" s="104">
        <v>266.60700000000003</v>
      </c>
      <c r="J114" s="1"/>
      <c r="K114" s="1">
        <f t="shared" si="6"/>
        <v>286.55699999999996</v>
      </c>
      <c r="L114" s="3">
        <f t="shared" si="10"/>
        <v>0.48196737314792726</v>
      </c>
      <c r="M114" s="47"/>
    </row>
    <row r="115" spans="2:13">
      <c r="B115" s="11">
        <v>7</v>
      </c>
      <c r="C115" s="219"/>
      <c r="D115" s="15" t="s">
        <v>140</v>
      </c>
      <c r="E115" s="1" t="s">
        <v>19</v>
      </c>
      <c r="F115" s="1">
        <v>567.66300000000001</v>
      </c>
      <c r="G115" s="1"/>
      <c r="H115" s="1">
        <f t="shared" si="9"/>
        <v>567.66300000000001</v>
      </c>
      <c r="I115" s="104">
        <v>302.80100000000004</v>
      </c>
      <c r="J115" s="1"/>
      <c r="K115" s="1">
        <f t="shared" si="6"/>
        <v>264.86199999999997</v>
      </c>
      <c r="L115" s="3">
        <f t="shared" si="10"/>
        <v>0.53341683357907776</v>
      </c>
      <c r="M115" s="47"/>
    </row>
    <row r="116" spans="2:13">
      <c r="B116" s="11">
        <v>8</v>
      </c>
      <c r="C116" s="219"/>
      <c r="D116" s="15" t="s">
        <v>141</v>
      </c>
      <c r="E116" s="1" t="s">
        <v>19</v>
      </c>
      <c r="F116" s="1">
        <v>660.65899999999999</v>
      </c>
      <c r="G116" s="1"/>
      <c r="H116" s="1">
        <f t="shared" si="9"/>
        <v>660.65899999999999</v>
      </c>
      <c r="I116" s="104">
        <v>233.65300000000002</v>
      </c>
      <c r="J116" s="1"/>
      <c r="K116" s="1">
        <f t="shared" si="6"/>
        <v>427.00599999999997</v>
      </c>
      <c r="L116" s="3">
        <f t="shared" si="10"/>
        <v>0.35366656626186888</v>
      </c>
      <c r="M116" s="25"/>
    </row>
    <row r="117" spans="2:13">
      <c r="B117" s="11">
        <v>9</v>
      </c>
      <c r="C117" s="219"/>
      <c r="D117" s="15" t="s">
        <v>142</v>
      </c>
      <c r="E117" s="1" t="s">
        <v>19</v>
      </c>
      <c r="F117" s="1">
        <v>246.363</v>
      </c>
      <c r="G117" s="1"/>
      <c r="H117" s="1">
        <f t="shared" si="9"/>
        <v>246.363</v>
      </c>
      <c r="I117" s="104">
        <v>56.246999999999993</v>
      </c>
      <c r="J117" s="1"/>
      <c r="K117" s="1">
        <f t="shared" si="6"/>
        <v>190.11600000000001</v>
      </c>
      <c r="L117" s="3">
        <f t="shared" si="10"/>
        <v>0.2283094458177567</v>
      </c>
      <c r="M117" s="47"/>
    </row>
    <row r="118" spans="2:13">
      <c r="B118" s="11">
        <v>10</v>
      </c>
      <c r="C118" s="219"/>
      <c r="D118" s="15" t="s">
        <v>143</v>
      </c>
      <c r="E118" s="1" t="s">
        <v>19</v>
      </c>
      <c r="F118" s="1">
        <v>240.339</v>
      </c>
      <c r="G118" s="1">
        <f>-44.64-51</f>
        <v>-95.64</v>
      </c>
      <c r="H118" s="1">
        <f t="shared" si="9"/>
        <v>144.69900000000001</v>
      </c>
      <c r="I118" s="104">
        <v>0</v>
      </c>
      <c r="J118" s="1"/>
      <c r="K118" s="1">
        <f t="shared" si="6"/>
        <v>144.69900000000001</v>
      </c>
      <c r="L118" s="3">
        <f t="shared" si="10"/>
        <v>0</v>
      </c>
      <c r="M118" s="47"/>
    </row>
    <row r="119" spans="2:13">
      <c r="B119" s="11">
        <v>11</v>
      </c>
      <c r="C119" s="219"/>
      <c r="D119" s="15" t="s">
        <v>144</v>
      </c>
      <c r="E119" s="1" t="s">
        <v>19</v>
      </c>
      <c r="F119" s="1">
        <v>119.187</v>
      </c>
      <c r="G119" s="1"/>
      <c r="H119" s="1">
        <f t="shared" si="9"/>
        <v>119.187</v>
      </c>
      <c r="I119" s="104">
        <v>58.856000000000002</v>
      </c>
      <c r="J119" s="1"/>
      <c r="K119" s="1">
        <f t="shared" si="6"/>
        <v>60.330999999999996</v>
      </c>
      <c r="L119" s="3">
        <f t="shared" si="10"/>
        <v>0.49381224462399426</v>
      </c>
      <c r="M119" s="47"/>
    </row>
    <row r="120" spans="2:13">
      <c r="C120" s="219"/>
      <c r="D120" s="15" t="s">
        <v>232</v>
      </c>
      <c r="E120" s="25" t="s">
        <v>19</v>
      </c>
      <c r="F120" s="25"/>
      <c r="G120" s="1">
        <f>701.661+701.66+2268+44.64+116</f>
        <v>3831.9609999999998</v>
      </c>
      <c r="H120" s="25">
        <f t="shared" si="9"/>
        <v>3831.9609999999998</v>
      </c>
      <c r="I120" s="25"/>
      <c r="J120" s="1"/>
      <c r="K120" s="1">
        <f t="shared" si="6"/>
        <v>3831.9609999999998</v>
      </c>
      <c r="L120" s="41">
        <f t="shared" si="10"/>
        <v>0</v>
      </c>
      <c r="M120" s="25"/>
    </row>
    <row r="121" spans="2:13">
      <c r="C121" s="219"/>
      <c r="D121" s="15" t="s">
        <v>266</v>
      </c>
      <c r="E121" s="25" t="s">
        <v>19</v>
      </c>
      <c r="F121" s="25">
        <f>SUM(F109:F120)</f>
        <v>9300.9999999999982</v>
      </c>
      <c r="G121" s="1">
        <f>SUM(G109:G120)</f>
        <v>3736.3209999999999</v>
      </c>
      <c r="H121" s="25">
        <f>F121+G121</f>
        <v>13037.320999999998</v>
      </c>
      <c r="I121" s="25">
        <f>SUM(I109:I120)</f>
        <v>3734.2699999999995</v>
      </c>
      <c r="J121" s="1"/>
      <c r="K121" s="1">
        <f t="shared" si="6"/>
        <v>9303.0509999999995</v>
      </c>
      <c r="L121" s="41">
        <f t="shared" si="10"/>
        <v>0.28642924416757093</v>
      </c>
      <c r="M121" s="25"/>
    </row>
    <row r="122" spans="2:13">
      <c r="I122" s="57"/>
    </row>
    <row r="123" spans="2:13" ht="15" customHeight="1">
      <c r="B123" s="11">
        <v>1</v>
      </c>
      <c r="C123" s="218" t="s">
        <v>45</v>
      </c>
      <c r="D123" s="18" t="s">
        <v>123</v>
      </c>
      <c r="E123" s="1" t="s">
        <v>19</v>
      </c>
      <c r="F123" s="1">
        <v>327.43</v>
      </c>
      <c r="G123" s="1">
        <f>-190-100</f>
        <v>-290</v>
      </c>
      <c r="H123" s="1">
        <f>F123+G123</f>
        <v>37.430000000000007</v>
      </c>
      <c r="I123" s="104">
        <v>8.4789999999999992</v>
      </c>
      <c r="J123" s="1"/>
      <c r="K123" s="1">
        <f t="shared" si="6"/>
        <v>28.951000000000008</v>
      </c>
      <c r="L123" s="3">
        <f>I123/H123</f>
        <v>0.22652952177397803</v>
      </c>
      <c r="M123" s="1"/>
    </row>
    <row r="124" spans="2:13">
      <c r="B124" s="11">
        <v>2</v>
      </c>
      <c r="C124" s="219"/>
      <c r="D124" s="18" t="s">
        <v>124</v>
      </c>
      <c r="E124" s="1" t="s">
        <v>19</v>
      </c>
      <c r="F124" s="1">
        <v>1168.421</v>
      </c>
      <c r="G124" s="1">
        <f>-100-100-150</f>
        <v>-350</v>
      </c>
      <c r="H124" s="1">
        <f t="shared" ref="H124:H133" si="11">F124+G124</f>
        <v>818.42100000000005</v>
      </c>
      <c r="I124" s="104">
        <v>281.84199999999998</v>
      </c>
      <c r="J124" s="1"/>
      <c r="K124" s="1">
        <f t="shared" si="6"/>
        <v>536.57900000000006</v>
      </c>
      <c r="L124" s="3">
        <f t="shared" ref="L124:L134" si="12">I124/H124</f>
        <v>0.34437288388250054</v>
      </c>
      <c r="M124" s="1"/>
    </row>
    <row r="125" spans="2:13">
      <c r="B125" s="11">
        <v>3</v>
      </c>
      <c r="C125" s="219"/>
      <c r="D125" s="18" t="s">
        <v>350</v>
      </c>
      <c r="E125" s="1" t="s">
        <v>19</v>
      </c>
      <c r="F125" s="1">
        <v>1379.3019999999999</v>
      </c>
      <c r="G125" s="1">
        <f>-260-105</f>
        <v>-365</v>
      </c>
      <c r="H125" s="1">
        <f t="shared" si="11"/>
        <v>1014.3019999999999</v>
      </c>
      <c r="I125" s="104">
        <v>400.63600000000002</v>
      </c>
      <c r="J125" s="1"/>
      <c r="K125" s="1">
        <f t="shared" si="6"/>
        <v>613.66599999999994</v>
      </c>
      <c r="L125" s="3">
        <f t="shared" si="12"/>
        <v>0.39498689739347853</v>
      </c>
      <c r="M125" s="1"/>
    </row>
    <row r="126" spans="2:13">
      <c r="B126" s="11">
        <v>4</v>
      </c>
      <c r="C126" s="219"/>
      <c r="D126" s="18" t="s">
        <v>126</v>
      </c>
      <c r="E126" s="1" t="s">
        <v>19</v>
      </c>
      <c r="F126" s="1">
        <v>429.01499999999999</v>
      </c>
      <c r="G126" s="1">
        <f>-150-150-50</f>
        <v>-350</v>
      </c>
      <c r="H126" s="1">
        <f t="shared" si="11"/>
        <v>79.014999999999986</v>
      </c>
      <c r="I126" s="104">
        <v>0</v>
      </c>
      <c r="J126" s="1"/>
      <c r="K126" s="1">
        <f t="shared" si="6"/>
        <v>79.014999999999986</v>
      </c>
      <c r="L126" s="3">
        <f t="shared" si="12"/>
        <v>0</v>
      </c>
      <c r="M126" s="1"/>
    </row>
    <row r="127" spans="2:13">
      <c r="B127" s="11">
        <v>5</v>
      </c>
      <c r="C127" s="219"/>
      <c r="D127" s="18" t="s">
        <v>127</v>
      </c>
      <c r="E127" s="1" t="s">
        <v>19</v>
      </c>
      <c r="F127" s="1">
        <v>450.798</v>
      </c>
      <c r="G127" s="1">
        <f>-10-50</f>
        <v>-60</v>
      </c>
      <c r="H127" s="1">
        <f t="shared" si="11"/>
        <v>390.798</v>
      </c>
      <c r="I127" s="104">
        <v>364.33699999999999</v>
      </c>
      <c r="J127" s="1"/>
      <c r="K127" s="1">
        <f t="shared" si="6"/>
        <v>26.461000000000013</v>
      </c>
      <c r="L127" s="3">
        <f t="shared" si="12"/>
        <v>0.93228982748120515</v>
      </c>
      <c r="M127" s="1"/>
    </row>
    <row r="128" spans="2:13">
      <c r="B128" s="11">
        <v>6</v>
      </c>
      <c r="C128" s="219"/>
      <c r="D128" s="18" t="s">
        <v>128</v>
      </c>
      <c r="E128" s="1" t="s">
        <v>19</v>
      </c>
      <c r="F128" s="1">
        <v>260.93900000000002</v>
      </c>
      <c r="G128" s="1">
        <f>-20-194</f>
        <v>-214</v>
      </c>
      <c r="H128" s="1">
        <f t="shared" si="11"/>
        <v>46.939000000000021</v>
      </c>
      <c r="I128" s="104">
        <v>0</v>
      </c>
      <c r="J128" s="1"/>
      <c r="K128" s="1">
        <f t="shared" si="6"/>
        <v>46.939000000000021</v>
      </c>
      <c r="L128" s="3">
        <f t="shared" si="12"/>
        <v>0</v>
      </c>
      <c r="M128" s="1"/>
    </row>
    <row r="129" spans="2:13">
      <c r="B129" s="11">
        <v>7</v>
      </c>
      <c r="C129" s="219"/>
      <c r="D129" s="18" t="s">
        <v>129</v>
      </c>
      <c r="E129" s="1" t="s">
        <v>19</v>
      </c>
      <c r="F129" s="1">
        <v>225.947</v>
      </c>
      <c r="G129" s="1">
        <f>-107-64</f>
        <v>-171</v>
      </c>
      <c r="H129" s="1">
        <f t="shared" si="11"/>
        <v>54.947000000000003</v>
      </c>
      <c r="I129" s="104">
        <v>2.64</v>
      </c>
      <c r="J129" s="1"/>
      <c r="K129" s="37">
        <f t="shared" si="6"/>
        <v>52.307000000000002</v>
      </c>
      <c r="L129" s="3">
        <f t="shared" si="12"/>
        <v>4.8046299161009699E-2</v>
      </c>
      <c r="M129" s="1"/>
    </row>
    <row r="130" spans="2:13">
      <c r="B130" s="11">
        <v>8</v>
      </c>
      <c r="C130" s="219"/>
      <c r="D130" s="18" t="s">
        <v>130</v>
      </c>
      <c r="E130" s="1" t="s">
        <v>19</v>
      </c>
      <c r="F130" s="1">
        <v>1129.6969999999999</v>
      </c>
      <c r="G130" s="1">
        <f>-307.785-332.103</f>
        <v>-639.88800000000003</v>
      </c>
      <c r="H130" s="1">
        <f t="shared" si="11"/>
        <v>489.80899999999986</v>
      </c>
      <c r="I130" s="104">
        <v>493.80599999999998</v>
      </c>
      <c r="J130" s="1"/>
      <c r="K130" s="1">
        <f t="shared" si="6"/>
        <v>-3.9970000000001278</v>
      </c>
      <c r="L130" s="3">
        <f t="shared" si="12"/>
        <v>1.008160323718021</v>
      </c>
      <c r="M130" s="1"/>
    </row>
    <row r="131" spans="2:13">
      <c r="B131" s="11">
        <v>9</v>
      </c>
      <c r="C131" s="219"/>
      <c r="D131" s="18" t="s">
        <v>131</v>
      </c>
      <c r="E131" s="1" t="s">
        <v>19</v>
      </c>
      <c r="F131" s="1">
        <v>199.827</v>
      </c>
      <c r="G131" s="1">
        <f>15</f>
        <v>15</v>
      </c>
      <c r="H131" s="1">
        <f t="shared" si="11"/>
        <v>214.827</v>
      </c>
      <c r="I131" s="104">
        <v>136.36799999999999</v>
      </c>
      <c r="J131" s="1"/>
      <c r="K131" s="1">
        <f t="shared" si="6"/>
        <v>78.459000000000003</v>
      </c>
      <c r="L131" s="3">
        <f t="shared" si="12"/>
        <v>0.63478054434498454</v>
      </c>
      <c r="M131" s="1"/>
    </row>
    <row r="132" spans="2:13">
      <c r="B132" s="11">
        <v>10</v>
      </c>
      <c r="C132" s="219"/>
      <c r="D132" s="18" t="s">
        <v>132</v>
      </c>
      <c r="E132" s="1" t="s">
        <v>19</v>
      </c>
      <c r="F132" s="1">
        <v>145.69</v>
      </c>
      <c r="G132" s="1"/>
      <c r="H132" s="1">
        <f t="shared" si="11"/>
        <v>145.69</v>
      </c>
      <c r="I132" s="104">
        <v>0</v>
      </c>
      <c r="J132" s="1"/>
      <c r="K132" s="1">
        <f t="shared" si="6"/>
        <v>145.69</v>
      </c>
      <c r="L132" s="3">
        <f t="shared" si="12"/>
        <v>0</v>
      </c>
      <c r="M132" s="1"/>
    </row>
    <row r="133" spans="2:13">
      <c r="B133" s="11">
        <v>11</v>
      </c>
      <c r="C133" s="219"/>
      <c r="D133" s="18" t="s">
        <v>133</v>
      </c>
      <c r="E133" s="1" t="s">
        <v>19</v>
      </c>
      <c r="F133" s="1">
        <v>0</v>
      </c>
      <c r="G133" s="1"/>
      <c r="H133" s="1">
        <f t="shared" si="11"/>
        <v>0</v>
      </c>
      <c r="I133" s="25"/>
      <c r="J133" s="1"/>
      <c r="K133" s="1">
        <f t="shared" si="6"/>
        <v>0</v>
      </c>
      <c r="L133" s="3">
        <v>0</v>
      </c>
      <c r="M133" s="1"/>
    </row>
    <row r="134" spans="2:13">
      <c r="C134" s="219"/>
      <c r="D134" s="18" t="s">
        <v>267</v>
      </c>
      <c r="E134" s="1" t="s">
        <v>19</v>
      </c>
      <c r="F134" s="1">
        <f>SUM(F123:F133)</f>
        <v>5717.0659999999998</v>
      </c>
      <c r="G134" s="1">
        <f>SUM(G123:G133)</f>
        <v>-2424.8879999999999</v>
      </c>
      <c r="H134" s="25">
        <f>F134+G134</f>
        <v>3292.1779999999999</v>
      </c>
      <c r="I134" s="25">
        <f>SUM(I123:I133)</f>
        <v>1688.1079999999999</v>
      </c>
      <c r="J134" s="1"/>
      <c r="K134" s="1">
        <f t="shared" si="6"/>
        <v>1604.07</v>
      </c>
      <c r="L134" s="41">
        <f t="shared" si="12"/>
        <v>0.51276328315176156</v>
      </c>
      <c r="M134" s="1"/>
    </row>
    <row r="135" spans="2:13">
      <c r="I135" s="57"/>
    </row>
    <row r="136" spans="2:13">
      <c r="G136" s="35">
        <f>SUM(G7:G133)</f>
        <v>57245.328000000001</v>
      </c>
    </row>
  </sheetData>
  <mergeCells count="9">
    <mergeCell ref="C109:C121"/>
    <mergeCell ref="C23:C103"/>
    <mergeCell ref="C105:C107"/>
    <mergeCell ref="C123:C134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6600"/>
  </sheetPr>
  <dimension ref="B2:N136"/>
  <sheetViews>
    <sheetView topLeftCell="F102" zoomScale="90" zoomScaleNormal="90" workbookViewId="0">
      <selection activeCell="I109" sqref="I109:I119"/>
    </sheetView>
  </sheetViews>
  <sheetFormatPr baseColWidth="10" defaultRowHeight="15"/>
  <cols>
    <col min="1" max="1" width="7.5703125" customWidth="1"/>
    <col min="2" max="2" width="7.42578125" customWidth="1"/>
    <col min="3" max="3" width="14.42578125" customWidth="1"/>
    <col min="4" max="4" width="61.28515625" customWidth="1"/>
    <col min="5" max="5" width="13.140625" customWidth="1"/>
    <col min="6" max="6" width="14.5703125" bestFit="1" customWidth="1"/>
    <col min="7" max="7" width="12.7109375" customWidth="1"/>
    <col min="8" max="8" width="13.7109375" bestFit="1" customWidth="1"/>
    <col min="9" max="9" width="14.85546875" customWidth="1"/>
    <col min="10" max="10" width="11.42578125" style="11"/>
    <col min="12" max="12" width="13.42578125" bestFit="1" customWidth="1"/>
  </cols>
  <sheetData>
    <row r="2" spans="3:13" ht="18.75">
      <c r="C2" s="238" t="s">
        <v>303</v>
      </c>
      <c r="D2" s="238"/>
      <c r="E2" s="238"/>
      <c r="F2" s="238"/>
      <c r="G2" s="238"/>
      <c r="H2" s="238"/>
      <c r="I2" s="238"/>
      <c r="J2" s="238"/>
      <c r="K2" s="238"/>
      <c r="L2" s="238"/>
      <c r="M2" s="238"/>
    </row>
    <row r="3" spans="3:13">
      <c r="C3" s="215">
        <f>RESUMEN!B3</f>
        <v>44020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5" spans="3:13" ht="30" customHeight="1">
      <c r="C5" s="75" t="s">
        <v>38</v>
      </c>
      <c r="D5" s="75" t="s">
        <v>35</v>
      </c>
      <c r="E5" s="75" t="s">
        <v>0</v>
      </c>
      <c r="F5" s="75" t="s">
        <v>1</v>
      </c>
      <c r="G5" s="75" t="s">
        <v>2</v>
      </c>
      <c r="H5" s="75" t="s">
        <v>3</v>
      </c>
      <c r="I5" s="75" t="s">
        <v>4</v>
      </c>
      <c r="J5" s="76" t="s">
        <v>180</v>
      </c>
      <c r="K5" s="75" t="s">
        <v>5</v>
      </c>
      <c r="L5" s="75" t="s">
        <v>6</v>
      </c>
      <c r="M5" s="77" t="s">
        <v>37</v>
      </c>
    </row>
    <row r="7" spans="3:13" ht="15" customHeight="1">
      <c r="C7" s="234" t="s">
        <v>39</v>
      </c>
      <c r="D7" s="7" t="s">
        <v>148</v>
      </c>
      <c r="E7" s="1" t="s">
        <v>19</v>
      </c>
      <c r="F7" s="1">
        <v>2717.2139999999999</v>
      </c>
      <c r="G7" s="1">
        <f>-1500-1078</f>
        <v>-2578</v>
      </c>
      <c r="H7" s="1">
        <f>F7+G7</f>
        <v>139.21399999999994</v>
      </c>
      <c r="I7" s="25"/>
      <c r="J7" s="1"/>
      <c r="K7" s="1">
        <f>H7-(I7+J7)</f>
        <v>139.21399999999994</v>
      </c>
      <c r="L7" s="3">
        <f>I7/H7</f>
        <v>0</v>
      </c>
      <c r="M7" s="164">
        <v>43965</v>
      </c>
    </row>
    <row r="8" spans="3:13">
      <c r="C8" s="235"/>
      <c r="D8" s="7" t="s">
        <v>149</v>
      </c>
      <c r="E8" s="1" t="s">
        <v>19</v>
      </c>
      <c r="F8" s="1">
        <v>180.905</v>
      </c>
      <c r="G8" s="1">
        <f>-180.905</f>
        <v>-180.905</v>
      </c>
      <c r="H8" s="1">
        <f>F8+G8</f>
        <v>0</v>
      </c>
      <c r="I8" s="25"/>
      <c r="J8" s="1"/>
      <c r="K8" s="1">
        <f t="shared" ref="K8:K12" si="0">H8-(I8+J8)</f>
        <v>0</v>
      </c>
      <c r="L8" s="3">
        <v>1</v>
      </c>
      <c r="M8" s="115">
        <v>43966</v>
      </c>
    </row>
    <row r="9" spans="3:13">
      <c r="C9" s="235"/>
      <c r="D9" s="78" t="s">
        <v>150</v>
      </c>
      <c r="E9" s="1" t="s">
        <v>19</v>
      </c>
      <c r="F9" s="1">
        <v>2.7229999999999999</v>
      </c>
      <c r="G9" s="1"/>
      <c r="H9" s="1">
        <f>F9+G9</f>
        <v>2.7229999999999999</v>
      </c>
      <c r="I9" s="104">
        <v>0.8</v>
      </c>
      <c r="J9" s="1"/>
      <c r="K9" s="1">
        <f t="shared" si="0"/>
        <v>1.9229999999999998</v>
      </c>
      <c r="L9" s="3">
        <f>I9/H9</f>
        <v>0.2937936099889828</v>
      </c>
      <c r="M9" s="25"/>
    </row>
    <row r="10" spans="3:13" s="11" customFormat="1">
      <c r="C10" s="235"/>
      <c r="D10" s="78" t="s">
        <v>304</v>
      </c>
      <c r="E10" s="1" t="s">
        <v>19</v>
      </c>
      <c r="F10" s="1">
        <v>31.510999999999999</v>
      </c>
      <c r="G10" s="1"/>
      <c r="H10" s="1">
        <f t="shared" ref="H10:H11" si="1">F10+G10</f>
        <v>31.510999999999999</v>
      </c>
      <c r="I10" s="114"/>
      <c r="J10" s="1"/>
      <c r="K10" s="1">
        <f t="shared" si="0"/>
        <v>31.510999999999999</v>
      </c>
      <c r="L10" s="3">
        <f t="shared" ref="L10:L11" si="2">I10/H10</f>
        <v>0</v>
      </c>
      <c r="M10" s="25"/>
    </row>
    <row r="11" spans="3:13" s="11" customFormat="1">
      <c r="C11" s="235"/>
      <c r="D11" s="78" t="s">
        <v>305</v>
      </c>
      <c r="E11" s="1" t="s">
        <v>19</v>
      </c>
      <c r="F11" s="1">
        <v>1.6990000000000001</v>
      </c>
      <c r="G11" s="1"/>
      <c r="H11" s="1">
        <f t="shared" si="1"/>
        <v>1.6990000000000001</v>
      </c>
      <c r="I11" s="114"/>
      <c r="J11" s="1"/>
      <c r="K11" s="1">
        <f t="shared" si="0"/>
        <v>1.6990000000000001</v>
      </c>
      <c r="L11" s="3">
        <f t="shared" si="2"/>
        <v>0</v>
      </c>
      <c r="M11" s="25"/>
    </row>
    <row r="12" spans="3:13">
      <c r="C12" s="235"/>
      <c r="D12" s="7" t="s">
        <v>151</v>
      </c>
      <c r="E12" s="1" t="s">
        <v>19</v>
      </c>
      <c r="F12" s="1">
        <v>544.947</v>
      </c>
      <c r="G12" s="1">
        <f>219.451</f>
        <v>219.45099999999999</v>
      </c>
      <c r="H12" s="1">
        <f>F12+G12</f>
        <v>764.39800000000002</v>
      </c>
      <c r="I12" s="43">
        <v>403.67700000000002</v>
      </c>
      <c r="J12" s="1"/>
      <c r="K12" s="1">
        <f t="shared" si="0"/>
        <v>360.721</v>
      </c>
      <c r="L12" s="92">
        <f>I12/H12</f>
        <v>0.52809792804272127</v>
      </c>
      <c r="M12" s="164">
        <v>43937</v>
      </c>
    </row>
    <row r="13" spans="3:13" s="11" customFormat="1">
      <c r="C13" s="235"/>
      <c r="D13" s="7" t="s">
        <v>268</v>
      </c>
      <c r="E13" s="25" t="s">
        <v>19</v>
      </c>
      <c r="F13" s="1">
        <f>SUM(F7:F12)</f>
        <v>3478.9990000000003</v>
      </c>
      <c r="G13" s="1">
        <f>SUM(G7:G12)</f>
        <v>-2539.4540000000002</v>
      </c>
      <c r="H13" s="25">
        <f>F13+G13</f>
        <v>939.54500000000007</v>
      </c>
      <c r="I13" s="25">
        <f>SUM(I7:I12)</f>
        <v>404.47700000000003</v>
      </c>
      <c r="J13" s="1">
        <f>SUM(J7:J12)</f>
        <v>0</v>
      </c>
      <c r="K13" s="1">
        <f>H13-(I13+J13)</f>
        <v>535.06799999999998</v>
      </c>
      <c r="L13" s="3">
        <f>I13/H13</f>
        <v>0.43050306265266697</v>
      </c>
      <c r="M13" s="47"/>
    </row>
    <row r="14" spans="3:13">
      <c r="I14" s="57"/>
    </row>
    <row r="15" spans="3:13" ht="18.75" customHeight="1">
      <c r="C15" s="239" t="s">
        <v>40</v>
      </c>
      <c r="D15" s="67" t="s">
        <v>276</v>
      </c>
      <c r="E15" s="1" t="s">
        <v>19</v>
      </c>
      <c r="F15" s="1">
        <v>82</v>
      </c>
      <c r="G15" s="1">
        <v>0</v>
      </c>
      <c r="H15" s="1">
        <f>F15+G15</f>
        <v>82</v>
      </c>
      <c r="I15" s="104">
        <v>0</v>
      </c>
      <c r="J15" s="1"/>
      <c r="K15" s="1">
        <f>H15-(I15+J15)</f>
        <v>82</v>
      </c>
      <c r="L15" s="1">
        <f>I15/H15</f>
        <v>0</v>
      </c>
      <c r="M15" s="1"/>
    </row>
    <row r="16" spans="3:13" s="11" customFormat="1" ht="18.75" customHeight="1">
      <c r="C16" s="240"/>
      <c r="D16" s="67" t="s">
        <v>262</v>
      </c>
      <c r="E16" s="25" t="s">
        <v>19</v>
      </c>
      <c r="F16" s="1">
        <f>F15</f>
        <v>82</v>
      </c>
      <c r="G16" s="1">
        <f>G15</f>
        <v>0</v>
      </c>
      <c r="H16" s="25">
        <f>F16+G16</f>
        <v>82</v>
      </c>
      <c r="I16" s="25">
        <f>I15</f>
        <v>0</v>
      </c>
      <c r="J16" s="1">
        <f>J15</f>
        <v>0</v>
      </c>
      <c r="K16" s="1">
        <f>H16-(I16+J16)</f>
        <v>82</v>
      </c>
      <c r="L16" s="41">
        <f>I16/H16</f>
        <v>0</v>
      </c>
      <c r="M16" s="1"/>
    </row>
    <row r="17" spans="2:13">
      <c r="I17" s="57"/>
    </row>
    <row r="18" spans="2:13" ht="15" customHeight="1">
      <c r="C18" s="234" t="s">
        <v>41</v>
      </c>
      <c r="D18" s="7" t="s">
        <v>145</v>
      </c>
      <c r="E18" s="1" t="s">
        <v>19</v>
      </c>
      <c r="F18" s="1">
        <v>735.75400000000002</v>
      </c>
      <c r="G18" s="1"/>
      <c r="H18" s="1">
        <f>F18+G18</f>
        <v>735.75400000000002</v>
      </c>
      <c r="I18" s="104">
        <v>105.934</v>
      </c>
      <c r="J18" s="1"/>
      <c r="K18" s="1">
        <f>H18-(I18+J18)</f>
        <v>629.82000000000005</v>
      </c>
      <c r="L18" s="3">
        <f>I18/H18</f>
        <v>0.14398018903057272</v>
      </c>
      <c r="M18" s="1"/>
    </row>
    <row r="19" spans="2:13">
      <c r="C19" s="235"/>
      <c r="D19" s="7" t="s">
        <v>146</v>
      </c>
      <c r="E19" s="1" t="s">
        <v>19</v>
      </c>
      <c r="F19" s="1">
        <v>398.92200000000003</v>
      </c>
      <c r="G19" s="1">
        <f>-398.92</f>
        <v>-398.92</v>
      </c>
      <c r="H19" s="1">
        <f>F19+G19</f>
        <v>2.0000000000095497E-3</v>
      </c>
      <c r="I19" s="25"/>
      <c r="J19" s="1"/>
      <c r="K19" s="1">
        <f t="shared" ref="K19:K83" si="3">H19-(I19+J19)</f>
        <v>2.0000000000095497E-3</v>
      </c>
      <c r="L19" s="3">
        <f>I19/H19</f>
        <v>0</v>
      </c>
      <c r="M19" s="1"/>
    </row>
    <row r="20" spans="2:13">
      <c r="C20" s="235"/>
      <c r="D20" s="7" t="s">
        <v>147</v>
      </c>
      <c r="E20" s="1" t="s">
        <v>19</v>
      </c>
      <c r="F20" s="1">
        <v>123.325</v>
      </c>
      <c r="G20" s="1"/>
      <c r="H20" s="1">
        <f>F20+G20</f>
        <v>123.325</v>
      </c>
      <c r="I20" s="25"/>
      <c r="J20" s="1"/>
      <c r="K20" s="1">
        <f t="shared" si="3"/>
        <v>123.325</v>
      </c>
      <c r="L20" s="3">
        <f>I20/H20</f>
        <v>0</v>
      </c>
      <c r="M20" s="1"/>
    </row>
    <row r="21" spans="2:13" s="11" customFormat="1">
      <c r="C21" s="235"/>
      <c r="D21" s="7" t="s">
        <v>263</v>
      </c>
      <c r="E21" s="25" t="s">
        <v>19</v>
      </c>
      <c r="F21" s="1">
        <f>SUM(F18:F20)</f>
        <v>1258.001</v>
      </c>
      <c r="G21" s="1">
        <f>SUM(G18:G20)</f>
        <v>-398.92</v>
      </c>
      <c r="H21" s="25">
        <f>F21+G21</f>
        <v>859.0809999999999</v>
      </c>
      <c r="I21" s="25">
        <f>SUM(I18:I20)</f>
        <v>105.934</v>
      </c>
      <c r="J21" s="1"/>
      <c r="K21" s="1">
        <f t="shared" si="3"/>
        <v>753.14699999999993</v>
      </c>
      <c r="L21" s="41">
        <f>I21/H21</f>
        <v>0.12331084030493052</v>
      </c>
      <c r="M21" s="1"/>
    </row>
    <row r="22" spans="2:13">
      <c r="I22" s="57"/>
    </row>
    <row r="23" spans="2:13" ht="15" customHeight="1">
      <c r="B23">
        <v>1</v>
      </c>
      <c r="C23" s="232" t="s">
        <v>42</v>
      </c>
      <c r="D23" s="7" t="s">
        <v>47</v>
      </c>
      <c r="E23" s="1" t="s">
        <v>19</v>
      </c>
      <c r="F23" s="2">
        <v>480.16500000000002</v>
      </c>
      <c r="G23" s="1">
        <f>-137-180.5-35-25</f>
        <v>-377.5</v>
      </c>
      <c r="H23" s="1">
        <f>F23+G23</f>
        <v>102.66500000000002</v>
      </c>
      <c r="I23" s="104">
        <v>106.078</v>
      </c>
      <c r="J23" s="1"/>
      <c r="K23" s="1">
        <f t="shared" si="3"/>
        <v>-3.4129999999999825</v>
      </c>
      <c r="L23" s="3">
        <f>I23/H23</f>
        <v>1.0332440461695804</v>
      </c>
      <c r="M23" s="25"/>
    </row>
    <row r="24" spans="2:13">
      <c r="B24">
        <v>2</v>
      </c>
      <c r="C24" s="233"/>
      <c r="D24" s="7" t="s">
        <v>48</v>
      </c>
      <c r="E24" s="1" t="s">
        <v>19</v>
      </c>
      <c r="F24" s="2">
        <v>254.072</v>
      </c>
      <c r="G24" s="1">
        <f>-40</f>
        <v>-40</v>
      </c>
      <c r="H24" s="1">
        <f t="shared" ref="H24:H88" si="4">F24+G24</f>
        <v>214.072</v>
      </c>
      <c r="I24" s="104">
        <v>191.23099999999999</v>
      </c>
      <c r="J24" s="1"/>
      <c r="K24" s="1">
        <f t="shared" si="3"/>
        <v>22.841000000000008</v>
      </c>
      <c r="L24" s="3">
        <f>I24/H24</f>
        <v>0.89330225344743819</v>
      </c>
      <c r="M24" s="47"/>
    </row>
    <row r="25" spans="2:13">
      <c r="B25">
        <v>3</v>
      </c>
      <c r="C25" s="233"/>
      <c r="D25" s="7" t="s">
        <v>49</v>
      </c>
      <c r="E25" s="1" t="s">
        <v>19</v>
      </c>
      <c r="F25" s="2">
        <v>1542.8989999999999</v>
      </c>
      <c r="G25" s="1">
        <f>-361.8-832-70</f>
        <v>-1263.8</v>
      </c>
      <c r="H25" s="1">
        <f t="shared" si="4"/>
        <v>279.09899999999993</v>
      </c>
      <c r="I25" s="104">
        <v>186.33500000000001</v>
      </c>
      <c r="J25" s="1"/>
      <c r="K25" s="1">
        <f t="shared" si="3"/>
        <v>92.763999999999925</v>
      </c>
      <c r="L25" s="3">
        <f t="shared" ref="L25:L89" si="5">I25/H25</f>
        <v>0.6676304823736382</v>
      </c>
      <c r="M25" s="25"/>
    </row>
    <row r="26" spans="2:13">
      <c r="B26">
        <v>4</v>
      </c>
      <c r="C26" s="233"/>
      <c r="D26" s="7" t="s">
        <v>50</v>
      </c>
      <c r="E26" s="1" t="s">
        <v>19</v>
      </c>
      <c r="F26" s="2">
        <v>1808.2550000000001</v>
      </c>
      <c r="G26" s="1"/>
      <c r="H26" s="1">
        <f t="shared" si="4"/>
        <v>1808.2550000000001</v>
      </c>
      <c r="I26" s="104">
        <v>1407.306</v>
      </c>
      <c r="J26" s="1"/>
      <c r="K26" s="1">
        <f t="shared" si="3"/>
        <v>400.94900000000007</v>
      </c>
      <c r="L26" s="3">
        <f t="shared" si="5"/>
        <v>0.77826744568658734</v>
      </c>
      <c r="M26" s="25"/>
    </row>
    <row r="27" spans="2:13">
      <c r="B27">
        <v>5</v>
      </c>
      <c r="C27" s="233"/>
      <c r="D27" s="7" t="s">
        <v>51</v>
      </c>
      <c r="E27" s="1" t="s">
        <v>19</v>
      </c>
      <c r="F27" s="2">
        <v>3041.9479999999999</v>
      </c>
      <c r="G27" s="1">
        <f>-400-470-450-233-233-234-145</f>
        <v>-2165</v>
      </c>
      <c r="H27" s="1">
        <f t="shared" si="4"/>
        <v>876.94799999999987</v>
      </c>
      <c r="I27" s="104">
        <v>832.39599999999996</v>
      </c>
      <c r="J27" s="1"/>
      <c r="K27" s="1">
        <f t="shared" si="3"/>
        <v>44.551999999999907</v>
      </c>
      <c r="L27" s="3">
        <f t="shared" si="5"/>
        <v>0.9491965316073474</v>
      </c>
      <c r="M27" s="25"/>
    </row>
    <row r="28" spans="2:13">
      <c r="B28" s="11">
        <v>6</v>
      </c>
      <c r="C28" s="233"/>
      <c r="D28" s="7" t="s">
        <v>52</v>
      </c>
      <c r="E28" s="1" t="s">
        <v>19</v>
      </c>
      <c r="F28" s="2">
        <v>5258.1080000000002</v>
      </c>
      <c r="G28" s="1"/>
      <c r="H28" s="1">
        <f t="shared" si="4"/>
        <v>5258.1080000000002</v>
      </c>
      <c r="I28" s="104">
        <v>2338.4549999999999</v>
      </c>
      <c r="J28" s="1"/>
      <c r="K28" s="1">
        <f t="shared" si="3"/>
        <v>2919.6530000000002</v>
      </c>
      <c r="L28" s="3">
        <f t="shared" si="5"/>
        <v>0.44473316257482726</v>
      </c>
      <c r="M28" s="47"/>
    </row>
    <row r="29" spans="2:13">
      <c r="B29" s="11">
        <v>7</v>
      </c>
      <c r="C29" s="233"/>
      <c r="D29" s="7" t="s">
        <v>53</v>
      </c>
      <c r="E29" s="1" t="s">
        <v>19</v>
      </c>
      <c r="F29" s="2">
        <v>7956.2920000000004</v>
      </c>
      <c r="G29" s="1"/>
      <c r="H29" s="1">
        <f t="shared" si="4"/>
        <v>7956.2920000000004</v>
      </c>
      <c r="I29" s="104">
        <v>4268.1970000000001</v>
      </c>
      <c r="J29" s="1"/>
      <c r="K29" s="1">
        <f t="shared" si="3"/>
        <v>3688.0950000000003</v>
      </c>
      <c r="L29" s="3">
        <f t="shared" si="5"/>
        <v>0.53645554989686151</v>
      </c>
      <c r="M29" s="25"/>
    </row>
    <row r="30" spans="2:13">
      <c r="B30" s="11">
        <v>8</v>
      </c>
      <c r="C30" s="233"/>
      <c r="D30" s="7" t="s">
        <v>54</v>
      </c>
      <c r="E30" s="1" t="s">
        <v>19</v>
      </c>
      <c r="F30" s="2">
        <v>3027.9319999999998</v>
      </c>
      <c r="G30" s="1"/>
      <c r="H30" s="1">
        <f t="shared" si="4"/>
        <v>3027.9319999999998</v>
      </c>
      <c r="I30" s="104">
        <v>1348.03</v>
      </c>
      <c r="J30" s="1"/>
      <c r="K30" s="1">
        <f t="shared" si="3"/>
        <v>1679.9019999999998</v>
      </c>
      <c r="L30" s="3">
        <f t="shared" si="5"/>
        <v>0.44519824091161891</v>
      </c>
      <c r="M30" s="47"/>
    </row>
    <row r="31" spans="2:13">
      <c r="B31" s="11">
        <v>9</v>
      </c>
      <c r="C31" s="233"/>
      <c r="D31" s="7" t="s">
        <v>55</v>
      </c>
      <c r="E31" s="1" t="s">
        <v>19</v>
      </c>
      <c r="F31" s="2">
        <v>3641.15</v>
      </c>
      <c r="G31" s="1"/>
      <c r="H31" s="1">
        <f t="shared" si="4"/>
        <v>3641.15</v>
      </c>
      <c r="I31" s="104">
        <v>1416.617</v>
      </c>
      <c r="J31" s="1"/>
      <c r="K31" s="1">
        <f t="shared" si="3"/>
        <v>2224.5330000000004</v>
      </c>
      <c r="L31" s="3">
        <f t="shared" si="5"/>
        <v>0.38905757796300616</v>
      </c>
      <c r="M31" s="25"/>
    </row>
    <row r="32" spans="2:13">
      <c r="B32" s="11">
        <v>10</v>
      </c>
      <c r="C32" s="233"/>
      <c r="D32" s="7" t="s">
        <v>56</v>
      </c>
      <c r="E32" s="1" t="s">
        <v>19</v>
      </c>
      <c r="F32" s="2">
        <v>334.6</v>
      </c>
      <c r="G32" s="1">
        <f>-30-3</f>
        <v>-33</v>
      </c>
      <c r="H32" s="1">
        <f t="shared" si="4"/>
        <v>301.60000000000002</v>
      </c>
      <c r="I32" s="104">
        <v>372.34300000000002</v>
      </c>
      <c r="J32" s="1"/>
      <c r="K32" s="1">
        <f t="shared" si="3"/>
        <v>-70.742999999999995</v>
      </c>
      <c r="L32" s="3">
        <f t="shared" si="5"/>
        <v>1.2345590185676392</v>
      </c>
      <c r="M32" s="115">
        <v>43986</v>
      </c>
    </row>
    <row r="33" spans="2:13">
      <c r="B33" s="11">
        <v>11</v>
      </c>
      <c r="C33" s="233"/>
      <c r="D33" s="7" t="s">
        <v>57</v>
      </c>
      <c r="E33" s="1" t="s">
        <v>19</v>
      </c>
      <c r="F33" s="2">
        <v>2034.568</v>
      </c>
      <c r="G33" s="1">
        <f>-100</f>
        <v>-100</v>
      </c>
      <c r="H33" s="1">
        <f t="shared" si="4"/>
        <v>1934.568</v>
      </c>
      <c r="I33" s="104">
        <v>1713.259</v>
      </c>
      <c r="J33" s="1"/>
      <c r="K33" s="1">
        <f t="shared" si="3"/>
        <v>221.30899999999997</v>
      </c>
      <c r="L33" s="3">
        <f t="shared" si="5"/>
        <v>0.88560288395135245</v>
      </c>
      <c r="M33" s="47"/>
    </row>
    <row r="34" spans="2:13">
      <c r="B34" s="11">
        <v>12</v>
      </c>
      <c r="C34" s="233"/>
      <c r="D34" s="7" t="s">
        <v>58</v>
      </c>
      <c r="E34" s="1" t="s">
        <v>19</v>
      </c>
      <c r="F34" s="2">
        <v>296.45600000000002</v>
      </c>
      <c r="G34" s="1">
        <f>240-70-68-67</f>
        <v>35</v>
      </c>
      <c r="H34" s="1">
        <f t="shared" si="4"/>
        <v>331.45600000000002</v>
      </c>
      <c r="I34" s="104">
        <v>208.26300000000001</v>
      </c>
      <c r="J34" s="1"/>
      <c r="K34" s="1">
        <f t="shared" si="3"/>
        <v>123.19300000000001</v>
      </c>
      <c r="L34" s="3">
        <f t="shared" si="5"/>
        <v>0.62832774184205442</v>
      </c>
      <c r="M34" s="115">
        <v>43956</v>
      </c>
    </row>
    <row r="35" spans="2:13">
      <c r="B35" s="11">
        <v>13</v>
      </c>
      <c r="C35" s="233"/>
      <c r="D35" s="7" t="s">
        <v>59</v>
      </c>
      <c r="E35" s="1" t="s">
        <v>19</v>
      </c>
      <c r="F35" s="2">
        <v>2572.1860000000001</v>
      </c>
      <c r="G35" s="1">
        <f>470+450+400+348+150+9.7+145+277</f>
        <v>2249.6999999999998</v>
      </c>
      <c r="H35" s="1">
        <f t="shared" si="4"/>
        <v>4821.8860000000004</v>
      </c>
      <c r="I35" s="104">
        <v>2566.933</v>
      </c>
      <c r="J35" s="1"/>
      <c r="K35" s="1">
        <f t="shared" si="3"/>
        <v>2254.9530000000004</v>
      </c>
      <c r="L35" s="3">
        <f t="shared" si="5"/>
        <v>0.53235041226607183</v>
      </c>
      <c r="M35" s="47"/>
    </row>
    <row r="36" spans="2:13">
      <c r="B36" s="11">
        <v>14</v>
      </c>
      <c r="C36" s="233"/>
      <c r="D36" s="7" t="s">
        <v>60</v>
      </c>
      <c r="E36" s="1" t="s">
        <v>19</v>
      </c>
      <c r="F36" s="2">
        <v>891.202</v>
      </c>
      <c r="G36" s="1"/>
      <c r="H36" s="1">
        <f t="shared" si="4"/>
        <v>891.202</v>
      </c>
      <c r="I36" s="104">
        <v>773.59699999999998</v>
      </c>
      <c r="J36" s="1"/>
      <c r="K36" s="1">
        <f t="shared" si="3"/>
        <v>117.60500000000002</v>
      </c>
      <c r="L36" s="3">
        <f t="shared" si="5"/>
        <v>0.86803777370338031</v>
      </c>
      <c r="M36" s="47"/>
    </row>
    <row r="37" spans="2:13" s="11" customFormat="1">
      <c r="B37" s="11">
        <v>15</v>
      </c>
      <c r="C37" s="233"/>
      <c r="D37" s="7" t="s">
        <v>291</v>
      </c>
      <c r="E37" s="1" t="s">
        <v>19</v>
      </c>
      <c r="F37" s="2">
        <v>4828.232</v>
      </c>
      <c r="G37" s="1"/>
      <c r="H37" s="1">
        <f t="shared" si="4"/>
        <v>4828.232</v>
      </c>
      <c r="I37" s="104">
        <v>2428.3609999999999</v>
      </c>
      <c r="J37" s="1"/>
      <c r="K37" s="1">
        <f t="shared" si="3"/>
        <v>2399.8710000000001</v>
      </c>
      <c r="L37" s="3">
        <f t="shared" si="5"/>
        <v>0.50295035532675314</v>
      </c>
      <c r="M37" s="47"/>
    </row>
    <row r="38" spans="2:13">
      <c r="B38" s="11">
        <v>16</v>
      </c>
      <c r="C38" s="233"/>
      <c r="D38" s="7" t="s">
        <v>61</v>
      </c>
      <c r="E38" s="1" t="s">
        <v>19</v>
      </c>
      <c r="F38" s="2">
        <v>57.225000000000001</v>
      </c>
      <c r="G38" s="1"/>
      <c r="H38" s="1">
        <f t="shared" si="4"/>
        <v>57.225000000000001</v>
      </c>
      <c r="I38" s="104">
        <v>65.989999999999995</v>
      </c>
      <c r="J38" s="1"/>
      <c r="K38" s="1">
        <f t="shared" si="3"/>
        <v>-8.7649999999999935</v>
      </c>
      <c r="L38" s="3">
        <f t="shared" si="5"/>
        <v>1.1531673219746612</v>
      </c>
      <c r="M38" s="47"/>
    </row>
    <row r="39" spans="2:13">
      <c r="B39" s="11">
        <v>17</v>
      </c>
      <c r="C39" s="233"/>
      <c r="D39" s="7" t="s">
        <v>62</v>
      </c>
      <c r="E39" s="1" t="s">
        <v>19</v>
      </c>
      <c r="F39" s="2">
        <v>20850.108</v>
      </c>
      <c r="G39" s="1">
        <f>1303+190+400+279.2+430+350+832+900</f>
        <v>4684.2</v>
      </c>
      <c r="H39" s="1">
        <f t="shared" si="4"/>
        <v>25534.308000000001</v>
      </c>
      <c r="I39" s="104">
        <v>17337.12</v>
      </c>
      <c r="J39" s="1"/>
      <c r="K39" s="1">
        <f t="shared" si="3"/>
        <v>8197.1880000000019</v>
      </c>
      <c r="L39" s="3">
        <f t="shared" si="5"/>
        <v>0.67897355980823915</v>
      </c>
      <c r="M39" s="25"/>
    </row>
    <row r="40" spans="2:13">
      <c r="B40" s="11">
        <v>18</v>
      </c>
      <c r="C40" s="233"/>
      <c r="D40" s="7" t="s">
        <v>63</v>
      </c>
      <c r="E40" s="1" t="s">
        <v>19</v>
      </c>
      <c r="F40" s="2">
        <v>309.03699999999998</v>
      </c>
      <c r="G40" s="1">
        <f>-80</f>
        <v>-80</v>
      </c>
      <c r="H40" s="1">
        <f t="shared" si="4"/>
        <v>229.03699999999998</v>
      </c>
      <c r="I40" s="104">
        <v>117.30200000000001</v>
      </c>
      <c r="J40" s="1"/>
      <c r="K40" s="1">
        <f t="shared" si="3"/>
        <v>111.73499999999997</v>
      </c>
      <c r="L40" s="3">
        <f t="shared" si="5"/>
        <v>0.51215305823949853</v>
      </c>
      <c r="M40" s="25"/>
    </row>
    <row r="41" spans="2:13">
      <c r="B41" s="11">
        <v>19</v>
      </c>
      <c r="C41" s="233"/>
      <c r="D41" s="7" t="s">
        <v>64</v>
      </c>
      <c r="E41" s="1" t="s">
        <v>19</v>
      </c>
      <c r="F41" s="2">
        <v>3712.1350000000002</v>
      </c>
      <c r="G41" s="1">
        <f>356</f>
        <v>356</v>
      </c>
      <c r="H41" s="1">
        <f t="shared" si="4"/>
        <v>4068.1350000000002</v>
      </c>
      <c r="I41" s="104">
        <v>2409.0209999999997</v>
      </c>
      <c r="J41" s="1"/>
      <c r="K41" s="1">
        <f t="shared" si="3"/>
        <v>1659.1140000000005</v>
      </c>
      <c r="L41" s="3">
        <f t="shared" si="5"/>
        <v>0.59216840149110084</v>
      </c>
      <c r="M41" s="47"/>
    </row>
    <row r="42" spans="2:13">
      <c r="B42" s="11">
        <v>20</v>
      </c>
      <c r="C42" s="233"/>
      <c r="D42" s="7" t="s">
        <v>65</v>
      </c>
      <c r="E42" s="1" t="s">
        <v>19</v>
      </c>
      <c r="F42" s="2">
        <v>2282.4279999999999</v>
      </c>
      <c r="G42" s="131">
        <f>200</f>
        <v>200</v>
      </c>
      <c r="H42" s="1">
        <f t="shared" si="4"/>
        <v>2482.4279999999999</v>
      </c>
      <c r="I42" s="104">
        <v>641.86800000000005</v>
      </c>
      <c r="J42" s="1"/>
      <c r="K42" s="1">
        <f t="shared" si="3"/>
        <v>1840.56</v>
      </c>
      <c r="L42" s="3">
        <f t="shared" si="5"/>
        <v>0.2585645988524139</v>
      </c>
      <c r="M42" s="25"/>
    </row>
    <row r="43" spans="2:13">
      <c r="B43" s="11">
        <v>21</v>
      </c>
      <c r="C43" s="233"/>
      <c r="D43" s="7" t="s">
        <v>66</v>
      </c>
      <c r="E43" s="1" t="s">
        <v>19</v>
      </c>
      <c r="F43" s="2">
        <v>2625.5720000000001</v>
      </c>
      <c r="G43" s="1"/>
      <c r="H43" s="1">
        <f t="shared" si="4"/>
        <v>2625.5720000000001</v>
      </c>
      <c r="I43" s="104">
        <v>1319.94</v>
      </c>
      <c r="J43" s="1"/>
      <c r="K43" s="1">
        <f t="shared" si="3"/>
        <v>1305.6320000000001</v>
      </c>
      <c r="L43" s="3">
        <f t="shared" si="5"/>
        <v>0.50272473959959962</v>
      </c>
      <c r="M43" s="25"/>
    </row>
    <row r="44" spans="2:13">
      <c r="B44" s="11">
        <v>22</v>
      </c>
      <c r="C44" s="233"/>
      <c r="D44" s="7" t="s">
        <v>67</v>
      </c>
      <c r="E44" s="1" t="s">
        <v>19</v>
      </c>
      <c r="F44" s="2">
        <v>4851.567</v>
      </c>
      <c r="G44" s="1"/>
      <c r="H44" s="1">
        <f t="shared" si="4"/>
        <v>4851.567</v>
      </c>
      <c r="I44" s="104">
        <v>3095.5169999999998</v>
      </c>
      <c r="J44" s="1"/>
      <c r="K44" s="1">
        <f t="shared" si="3"/>
        <v>1756.0500000000002</v>
      </c>
      <c r="L44" s="3">
        <f t="shared" si="5"/>
        <v>0.63804478017102517</v>
      </c>
      <c r="M44" s="25"/>
    </row>
    <row r="45" spans="2:13">
      <c r="B45" s="11">
        <v>23</v>
      </c>
      <c r="C45" s="233"/>
      <c r="D45" s="7" t="s">
        <v>68</v>
      </c>
      <c r="E45" s="1" t="s">
        <v>19</v>
      </c>
      <c r="F45" s="2">
        <v>3882.6170000000002</v>
      </c>
      <c r="G45" s="1"/>
      <c r="H45" s="1">
        <f t="shared" si="4"/>
        <v>3882.6170000000002</v>
      </c>
      <c r="I45" s="104">
        <v>3304.8310000000001</v>
      </c>
      <c r="J45" s="1"/>
      <c r="K45" s="1">
        <f t="shared" si="3"/>
        <v>577.78600000000006</v>
      </c>
      <c r="L45" s="3">
        <f t="shared" si="5"/>
        <v>0.85118645490915024</v>
      </c>
      <c r="M45" s="25"/>
    </row>
    <row r="46" spans="2:13" hidden="1">
      <c r="C46" s="233"/>
      <c r="D46" s="7" t="s">
        <v>69</v>
      </c>
      <c r="E46" s="1" t="s">
        <v>19</v>
      </c>
      <c r="F46" s="2">
        <v>0</v>
      </c>
      <c r="G46" s="1"/>
      <c r="H46" s="1">
        <f t="shared" si="4"/>
        <v>0</v>
      </c>
      <c r="I46" s="104"/>
      <c r="J46" s="1"/>
      <c r="K46" s="1">
        <f t="shared" si="3"/>
        <v>0</v>
      </c>
      <c r="L46" s="3" t="e">
        <f t="shared" si="5"/>
        <v>#DIV/0!</v>
      </c>
      <c r="M46" s="47"/>
    </row>
    <row r="47" spans="2:13">
      <c r="B47">
        <v>24</v>
      </c>
      <c r="C47" s="233"/>
      <c r="D47" s="7" t="s">
        <v>70</v>
      </c>
      <c r="E47" s="1" t="s">
        <v>19</v>
      </c>
      <c r="F47" s="2">
        <v>235.99100000000001</v>
      </c>
      <c r="G47" s="1">
        <f>5</f>
        <v>5</v>
      </c>
      <c r="H47" s="1">
        <f t="shared" si="4"/>
        <v>240.99100000000001</v>
      </c>
      <c r="I47" s="104">
        <v>78.106999999999999</v>
      </c>
      <c r="J47" s="1"/>
      <c r="K47" s="1">
        <f t="shared" si="3"/>
        <v>162.88400000000001</v>
      </c>
      <c r="L47" s="3">
        <f t="shared" si="5"/>
        <v>0.32410753928569946</v>
      </c>
      <c r="M47" s="47"/>
    </row>
    <row r="48" spans="2:13">
      <c r="B48">
        <v>25</v>
      </c>
      <c r="C48" s="233"/>
      <c r="D48" s="7" t="s">
        <v>71</v>
      </c>
      <c r="E48" s="1" t="s">
        <v>19</v>
      </c>
      <c r="F48" s="2">
        <v>2990.9810000000002</v>
      </c>
      <c r="G48" s="1"/>
      <c r="H48" s="1">
        <f t="shared" si="4"/>
        <v>2990.9810000000002</v>
      </c>
      <c r="I48" s="104">
        <v>2789.2579999999998</v>
      </c>
      <c r="J48" s="1"/>
      <c r="K48" s="1">
        <f t="shared" si="3"/>
        <v>201.72300000000041</v>
      </c>
      <c r="L48" s="3">
        <f t="shared" si="5"/>
        <v>0.93255624158093942</v>
      </c>
      <c r="M48" s="25"/>
    </row>
    <row r="49" spans="2:13">
      <c r="B49">
        <v>26</v>
      </c>
      <c r="C49" s="233"/>
      <c r="D49" s="7" t="s">
        <v>72</v>
      </c>
      <c r="E49" s="1" t="s">
        <v>19</v>
      </c>
      <c r="F49" s="2">
        <v>11.847</v>
      </c>
      <c r="G49" s="1">
        <f>-11.8</f>
        <v>-11.8</v>
      </c>
      <c r="H49" s="1">
        <f t="shared" si="4"/>
        <v>4.699999999999882E-2</v>
      </c>
      <c r="I49" s="104">
        <v>0</v>
      </c>
      <c r="J49" s="1"/>
      <c r="K49" s="1">
        <f t="shared" si="3"/>
        <v>4.699999999999882E-2</v>
      </c>
      <c r="L49" s="3">
        <f t="shared" si="5"/>
        <v>0</v>
      </c>
      <c r="M49" s="25"/>
    </row>
    <row r="50" spans="2:13">
      <c r="B50">
        <v>27</v>
      </c>
      <c r="C50" s="233"/>
      <c r="D50" s="7" t="s">
        <v>73</v>
      </c>
      <c r="E50" s="1" t="s">
        <v>19</v>
      </c>
      <c r="F50" s="2">
        <v>2325.8029999999999</v>
      </c>
      <c r="G50" s="1">
        <f>-251.7-70</f>
        <v>-321.7</v>
      </c>
      <c r="H50" s="1">
        <f t="shared" si="4"/>
        <v>2004.1029999999998</v>
      </c>
      <c r="I50" s="104">
        <v>1738.7239999999999</v>
      </c>
      <c r="J50" s="1"/>
      <c r="K50" s="1">
        <f t="shared" si="3"/>
        <v>265.37899999999991</v>
      </c>
      <c r="L50" s="3">
        <f t="shared" si="5"/>
        <v>0.86758215520858961</v>
      </c>
      <c r="M50" s="25"/>
    </row>
    <row r="51" spans="2:13">
      <c r="B51">
        <v>28</v>
      </c>
      <c r="C51" s="233"/>
      <c r="D51" s="7" t="s">
        <v>74</v>
      </c>
      <c r="E51" s="1" t="s">
        <v>19</v>
      </c>
      <c r="F51" s="2">
        <v>296.67599999999999</v>
      </c>
      <c r="G51" s="1">
        <f>-90.6-206</f>
        <v>-296.60000000000002</v>
      </c>
      <c r="H51" s="1">
        <f t="shared" si="4"/>
        <v>7.5999999999964984E-2</v>
      </c>
      <c r="I51" s="104">
        <v>0</v>
      </c>
      <c r="J51" s="1"/>
      <c r="K51" s="1">
        <f t="shared" si="3"/>
        <v>7.5999999999964984E-2</v>
      </c>
      <c r="L51" s="3">
        <f t="shared" si="5"/>
        <v>0</v>
      </c>
      <c r="M51" s="47"/>
    </row>
    <row r="52" spans="2:13">
      <c r="B52">
        <v>29</v>
      </c>
      <c r="C52" s="233"/>
      <c r="D52" s="7" t="s">
        <v>75</v>
      </c>
      <c r="E52" s="1" t="s">
        <v>19</v>
      </c>
      <c r="F52" s="2">
        <v>4387.4350000000004</v>
      </c>
      <c r="G52" s="1">
        <f>361.8</f>
        <v>361.8</v>
      </c>
      <c r="H52" s="1">
        <f t="shared" si="4"/>
        <v>4749.2350000000006</v>
      </c>
      <c r="I52" s="104">
        <v>3317.8980000000001</v>
      </c>
      <c r="J52" s="1"/>
      <c r="K52" s="1">
        <f t="shared" si="3"/>
        <v>1431.3370000000004</v>
      </c>
      <c r="L52" s="3">
        <f t="shared" si="5"/>
        <v>0.69861735626895693</v>
      </c>
      <c r="M52" s="25"/>
    </row>
    <row r="53" spans="2:13">
      <c r="B53">
        <v>30</v>
      </c>
      <c r="C53" s="233"/>
      <c r="D53" s="7" t="s">
        <v>76</v>
      </c>
      <c r="E53" s="1" t="s">
        <v>19</v>
      </c>
      <c r="F53" s="2">
        <v>6696.4049999999997</v>
      </c>
      <c r="G53" s="1">
        <f>500+37+400</f>
        <v>937</v>
      </c>
      <c r="H53" s="1">
        <f t="shared" si="4"/>
        <v>7633.4049999999997</v>
      </c>
      <c r="I53" s="104">
        <v>4188.7449999999999</v>
      </c>
      <c r="J53" s="1"/>
      <c r="K53" s="1">
        <f t="shared" si="3"/>
        <v>3444.66</v>
      </c>
      <c r="L53" s="3">
        <f t="shared" si="5"/>
        <v>0.5487387345489988</v>
      </c>
      <c r="M53" s="25"/>
    </row>
    <row r="54" spans="2:13">
      <c r="B54">
        <v>31</v>
      </c>
      <c r="C54" s="233"/>
      <c r="D54" s="7" t="s">
        <v>77</v>
      </c>
      <c r="E54" s="1" t="s">
        <v>19</v>
      </c>
      <c r="F54" s="2">
        <v>1.7999999999999999E-2</v>
      </c>
      <c r="G54" s="1"/>
      <c r="H54" s="1">
        <f t="shared" si="4"/>
        <v>1.7999999999999999E-2</v>
      </c>
      <c r="I54" s="104">
        <v>0</v>
      </c>
      <c r="J54" s="1"/>
      <c r="K54" s="1">
        <f t="shared" si="3"/>
        <v>1.7999999999999999E-2</v>
      </c>
      <c r="L54" s="3">
        <f t="shared" si="5"/>
        <v>0</v>
      </c>
      <c r="M54" s="47"/>
    </row>
    <row r="55" spans="2:13">
      <c r="B55">
        <v>32</v>
      </c>
      <c r="C55" s="233"/>
      <c r="D55" s="7" t="s">
        <v>78</v>
      </c>
      <c r="E55" s="1" t="s">
        <v>19</v>
      </c>
      <c r="F55" s="2">
        <v>1176.057</v>
      </c>
      <c r="G55" s="1">
        <f>-245-245-68</f>
        <v>-558</v>
      </c>
      <c r="H55" s="1">
        <f t="shared" si="4"/>
        <v>618.05700000000002</v>
      </c>
      <c r="I55" s="104">
        <v>376.60500000000002</v>
      </c>
      <c r="J55" s="1"/>
      <c r="K55" s="1">
        <f t="shared" si="3"/>
        <v>241.452</v>
      </c>
      <c r="L55" s="3">
        <f t="shared" si="5"/>
        <v>0.60933700289779102</v>
      </c>
      <c r="M55" s="47"/>
    </row>
    <row r="56" spans="2:13">
      <c r="B56" s="11">
        <v>33</v>
      </c>
      <c r="C56" s="233"/>
      <c r="D56" s="7" t="s">
        <v>79</v>
      </c>
      <c r="E56" s="1" t="s">
        <v>19</v>
      </c>
      <c r="F56" s="2">
        <v>1751.4110000000001</v>
      </c>
      <c r="G56" s="1">
        <f>-290</f>
        <v>-290</v>
      </c>
      <c r="H56" s="1">
        <f t="shared" si="4"/>
        <v>1461.4110000000001</v>
      </c>
      <c r="I56" s="104">
        <v>955.19399999999996</v>
      </c>
      <c r="J56" s="1"/>
      <c r="K56" s="1">
        <f t="shared" si="3"/>
        <v>506.2170000000001</v>
      </c>
      <c r="L56" s="3">
        <f t="shared" si="5"/>
        <v>0.65361079121479171</v>
      </c>
      <c r="M56" s="25"/>
    </row>
    <row r="57" spans="2:13">
      <c r="B57" s="11">
        <v>34</v>
      </c>
      <c r="C57" s="233"/>
      <c r="D57" s="7" t="s">
        <v>80</v>
      </c>
      <c r="E57" s="1" t="s">
        <v>19</v>
      </c>
      <c r="F57" s="2">
        <v>585.46199999999999</v>
      </c>
      <c r="G57" s="1">
        <f>-449-11-1+928+251</f>
        <v>718</v>
      </c>
      <c r="H57" s="1">
        <f t="shared" si="4"/>
        <v>1303.462</v>
      </c>
      <c r="I57" s="104">
        <v>1108.75</v>
      </c>
      <c r="J57" s="1"/>
      <c r="K57" s="1">
        <f t="shared" si="3"/>
        <v>194.71199999999999</v>
      </c>
      <c r="L57" s="3">
        <f t="shared" si="5"/>
        <v>0.85061935062165217</v>
      </c>
      <c r="M57" s="47"/>
    </row>
    <row r="58" spans="2:13">
      <c r="B58" s="11">
        <v>35</v>
      </c>
      <c r="C58" s="233"/>
      <c r="D58" s="7" t="s">
        <v>81</v>
      </c>
      <c r="E58" s="1" t="s">
        <v>19</v>
      </c>
      <c r="F58" s="2">
        <v>3364.8409999999999</v>
      </c>
      <c r="G58" s="1">
        <f>35+251.7+234</f>
        <v>520.70000000000005</v>
      </c>
      <c r="H58" s="1">
        <f t="shared" si="4"/>
        <v>3885.5410000000002</v>
      </c>
      <c r="I58" s="104">
        <v>2562.585</v>
      </c>
      <c r="J58" s="1"/>
      <c r="K58" s="1">
        <f t="shared" si="3"/>
        <v>1322.9560000000001</v>
      </c>
      <c r="L58" s="3">
        <f t="shared" si="5"/>
        <v>0.65951819836671388</v>
      </c>
      <c r="M58" s="25"/>
    </row>
    <row r="59" spans="2:13">
      <c r="B59" s="11">
        <v>36</v>
      </c>
      <c r="C59" s="233"/>
      <c r="D59" s="7" t="s">
        <v>82</v>
      </c>
      <c r="E59" s="1" t="s">
        <v>19</v>
      </c>
      <c r="F59" s="2">
        <v>1839.2729999999999</v>
      </c>
      <c r="G59" s="1">
        <f>-188-30</f>
        <v>-218</v>
      </c>
      <c r="H59" s="1">
        <f t="shared" si="4"/>
        <v>1621.2729999999999</v>
      </c>
      <c r="I59" s="104">
        <v>1532.3579999999999</v>
      </c>
      <c r="J59" s="1"/>
      <c r="K59" s="1">
        <f t="shared" si="3"/>
        <v>88.914999999999964</v>
      </c>
      <c r="L59" s="3">
        <f t="shared" si="5"/>
        <v>0.94515729306538754</v>
      </c>
      <c r="M59" s="25"/>
    </row>
    <row r="60" spans="2:13">
      <c r="B60" s="11">
        <v>37</v>
      </c>
      <c r="C60" s="233"/>
      <c r="D60" s="7" t="s">
        <v>83</v>
      </c>
      <c r="E60" s="1" t="s">
        <v>19</v>
      </c>
      <c r="F60" s="2">
        <v>943.28700000000003</v>
      </c>
      <c r="G60" s="1"/>
      <c r="H60" s="1">
        <f t="shared" si="4"/>
        <v>943.28700000000003</v>
      </c>
      <c r="I60" s="104">
        <v>581.73699999999997</v>
      </c>
      <c r="J60" s="1"/>
      <c r="K60" s="1">
        <f t="shared" si="3"/>
        <v>361.55000000000007</v>
      </c>
      <c r="L60" s="3">
        <f t="shared" si="5"/>
        <v>0.61671262298748941</v>
      </c>
      <c r="M60" s="25"/>
    </row>
    <row r="61" spans="2:13">
      <c r="B61" s="11">
        <v>38</v>
      </c>
      <c r="C61" s="233"/>
      <c r="D61" s="7" t="s">
        <v>84</v>
      </c>
      <c r="E61" s="1" t="s">
        <v>19</v>
      </c>
      <c r="F61" s="2">
        <v>2951.5039999999999</v>
      </c>
      <c r="G61" s="1"/>
      <c r="H61" s="1">
        <f t="shared" si="4"/>
        <v>2951.5039999999999</v>
      </c>
      <c r="I61" s="104">
        <v>2061.616</v>
      </c>
      <c r="J61" s="1"/>
      <c r="K61" s="1">
        <f t="shared" si="3"/>
        <v>889.88799999999992</v>
      </c>
      <c r="L61" s="3">
        <f t="shared" si="5"/>
        <v>0.69849676639435354</v>
      </c>
      <c r="M61" s="25"/>
    </row>
    <row r="62" spans="2:13">
      <c r="B62" s="11">
        <v>39</v>
      </c>
      <c r="C62" s="233"/>
      <c r="D62" s="7" t="s">
        <v>85</v>
      </c>
      <c r="E62" s="1" t="s">
        <v>19</v>
      </c>
      <c r="F62" s="2">
        <v>191.02699999999999</v>
      </c>
      <c r="G62" s="1">
        <f>-142</f>
        <v>-142</v>
      </c>
      <c r="H62" s="1">
        <f t="shared" si="4"/>
        <v>49.026999999999987</v>
      </c>
      <c r="I62" s="104">
        <v>45.25</v>
      </c>
      <c r="J62" s="1"/>
      <c r="K62" s="1">
        <f t="shared" si="3"/>
        <v>3.7769999999999868</v>
      </c>
      <c r="L62" s="3">
        <f t="shared" si="5"/>
        <v>0.92296081750871994</v>
      </c>
      <c r="M62" s="25"/>
    </row>
    <row r="63" spans="2:13">
      <c r="B63" s="11">
        <v>40</v>
      </c>
      <c r="C63" s="233"/>
      <c r="D63" s="7" t="s">
        <v>86</v>
      </c>
      <c r="E63" s="1" t="s">
        <v>19</v>
      </c>
      <c r="F63" s="2">
        <v>1360.4559999999999</v>
      </c>
      <c r="G63" s="1"/>
      <c r="H63" s="1">
        <f t="shared" si="4"/>
        <v>1360.4559999999999</v>
      </c>
      <c r="I63" s="104">
        <v>817.45699999999999</v>
      </c>
      <c r="J63" s="1"/>
      <c r="K63" s="1">
        <f t="shared" si="3"/>
        <v>542.99899999999991</v>
      </c>
      <c r="L63" s="3">
        <f t="shared" si="5"/>
        <v>0.60086985540142424</v>
      </c>
      <c r="M63" s="25"/>
    </row>
    <row r="64" spans="2:13">
      <c r="B64" s="11">
        <v>41</v>
      </c>
      <c r="C64" s="233"/>
      <c r="D64" s="7" t="s">
        <v>87</v>
      </c>
      <c r="E64" s="1" t="s">
        <v>19</v>
      </c>
      <c r="F64" s="2">
        <v>2879.4789999999998</v>
      </c>
      <c r="G64" s="1"/>
      <c r="H64" s="1">
        <f t="shared" si="4"/>
        <v>2879.4789999999998</v>
      </c>
      <c r="I64" s="104">
        <v>2068.7530000000002</v>
      </c>
      <c r="J64" s="1"/>
      <c r="K64" s="1">
        <f t="shared" si="3"/>
        <v>810.72599999999966</v>
      </c>
      <c r="L64" s="3">
        <f t="shared" si="5"/>
        <v>0.71844698294378961</v>
      </c>
      <c r="M64" s="25"/>
    </row>
    <row r="65" spans="2:13">
      <c r="B65" s="11">
        <v>42</v>
      </c>
      <c r="C65" s="233"/>
      <c r="D65" s="7" t="s">
        <v>88</v>
      </c>
      <c r="E65" s="1" t="s">
        <v>19</v>
      </c>
      <c r="F65" s="2">
        <v>1354.364</v>
      </c>
      <c r="G65" s="1">
        <f>336+315-18</f>
        <v>633</v>
      </c>
      <c r="H65" s="1">
        <f t="shared" si="4"/>
        <v>1987.364</v>
      </c>
      <c r="I65" s="104">
        <v>1446.6869999999999</v>
      </c>
      <c r="J65" s="1"/>
      <c r="K65" s="1">
        <f t="shared" si="3"/>
        <v>540.67700000000013</v>
      </c>
      <c r="L65" s="3">
        <f t="shared" si="5"/>
        <v>0.72794264160968991</v>
      </c>
      <c r="M65" s="25"/>
    </row>
    <row r="66" spans="2:13">
      <c r="B66" s="11">
        <v>43</v>
      </c>
      <c r="C66" s="233"/>
      <c r="D66" s="7" t="s">
        <v>89</v>
      </c>
      <c r="E66" s="1" t="s">
        <v>19</v>
      </c>
      <c r="F66" s="2">
        <v>3549.1689999999999</v>
      </c>
      <c r="G66" s="1">
        <f>-500-403-1333-1303</f>
        <v>-3539</v>
      </c>
      <c r="H66" s="1">
        <f t="shared" si="4"/>
        <v>10.168999999999869</v>
      </c>
      <c r="I66" s="104">
        <v>0</v>
      </c>
      <c r="J66" s="1"/>
      <c r="K66" s="1">
        <f t="shared" si="3"/>
        <v>10.168999999999869</v>
      </c>
      <c r="L66" s="3">
        <f t="shared" si="5"/>
        <v>0</v>
      </c>
      <c r="M66" s="47"/>
    </row>
    <row r="67" spans="2:13">
      <c r="B67" s="11">
        <v>44</v>
      </c>
      <c r="C67" s="233"/>
      <c r="D67" s="7" t="s">
        <v>90</v>
      </c>
      <c r="E67" s="1" t="s">
        <v>19</v>
      </c>
      <c r="F67" s="2">
        <v>22.021999999999998</v>
      </c>
      <c r="G67" s="1"/>
      <c r="H67" s="1">
        <f t="shared" si="4"/>
        <v>22.021999999999998</v>
      </c>
      <c r="I67" s="104">
        <v>3</v>
      </c>
      <c r="J67" s="1"/>
      <c r="K67" s="1">
        <f t="shared" si="3"/>
        <v>19.021999999999998</v>
      </c>
      <c r="L67" s="3">
        <f t="shared" si="5"/>
        <v>0.13622740895468169</v>
      </c>
      <c r="M67" s="47"/>
    </row>
    <row r="68" spans="2:13">
      <c r="B68" s="11">
        <v>45</v>
      </c>
      <c r="C68" s="233"/>
      <c r="D68" s="7" t="s">
        <v>91</v>
      </c>
      <c r="E68" s="1" t="s">
        <v>19</v>
      </c>
      <c r="F68" s="2">
        <v>4814.58</v>
      </c>
      <c r="G68" s="1"/>
      <c r="H68" s="1">
        <f t="shared" si="4"/>
        <v>4814.58</v>
      </c>
      <c r="I68" s="104">
        <v>3404.9349999999999</v>
      </c>
      <c r="J68" s="1"/>
      <c r="K68" s="1">
        <f t="shared" si="3"/>
        <v>1409.645</v>
      </c>
      <c r="L68" s="3">
        <f t="shared" si="5"/>
        <v>0.70721329794083809</v>
      </c>
      <c r="M68" s="25"/>
    </row>
    <row r="69" spans="2:13">
      <c r="B69" s="11">
        <v>46</v>
      </c>
      <c r="C69" s="233"/>
      <c r="D69" s="7" t="s">
        <v>92</v>
      </c>
      <c r="E69" s="1" t="s">
        <v>19</v>
      </c>
      <c r="F69" s="2">
        <v>1286.9359999999999</v>
      </c>
      <c r="G69" s="1"/>
      <c r="H69" s="1">
        <f t="shared" si="4"/>
        <v>1286.9359999999999</v>
      </c>
      <c r="I69" s="104">
        <v>1205.5360000000001</v>
      </c>
      <c r="J69" s="1"/>
      <c r="K69" s="1">
        <f t="shared" si="3"/>
        <v>81.399999999999864</v>
      </c>
      <c r="L69" s="3">
        <f t="shared" si="5"/>
        <v>0.93674899140283596</v>
      </c>
      <c r="M69" s="25"/>
    </row>
    <row r="70" spans="2:13">
      <c r="B70" s="11">
        <v>47</v>
      </c>
      <c r="C70" s="233"/>
      <c r="D70" s="7" t="s">
        <v>93</v>
      </c>
      <c r="E70" s="1" t="s">
        <v>19</v>
      </c>
      <c r="F70" s="2">
        <v>6088.9160000000002</v>
      </c>
      <c r="G70" s="1">
        <f>-250-500-247-400-500-300-550</f>
        <v>-2747</v>
      </c>
      <c r="H70" s="1">
        <f t="shared" si="4"/>
        <v>3341.9160000000002</v>
      </c>
      <c r="I70" s="104">
        <v>2109.578</v>
      </c>
      <c r="J70" s="1"/>
      <c r="K70" s="1">
        <f t="shared" si="3"/>
        <v>1232.3380000000002</v>
      </c>
      <c r="L70" s="3">
        <f t="shared" si="5"/>
        <v>0.63124806248870402</v>
      </c>
      <c r="M70" s="25"/>
    </row>
    <row r="71" spans="2:13">
      <c r="B71" s="11">
        <v>48</v>
      </c>
      <c r="C71" s="233"/>
      <c r="D71" s="7" t="s">
        <v>94</v>
      </c>
      <c r="E71" s="1" t="s">
        <v>19</v>
      </c>
      <c r="F71" s="2">
        <v>1772.163</v>
      </c>
      <c r="G71" s="1">
        <f>-928-190-74.5-251-140</f>
        <v>-1583.5</v>
      </c>
      <c r="H71" s="1">
        <f t="shared" si="4"/>
        <v>188.66300000000001</v>
      </c>
      <c r="I71" s="104">
        <v>236.29400000000001</v>
      </c>
      <c r="J71" s="1"/>
      <c r="K71" s="1">
        <f t="shared" si="3"/>
        <v>-47.631</v>
      </c>
      <c r="L71" s="3">
        <f t="shared" si="5"/>
        <v>1.2524660373258136</v>
      </c>
      <c r="M71" s="25"/>
    </row>
    <row r="72" spans="2:13">
      <c r="B72" s="11">
        <v>49</v>
      </c>
      <c r="C72" s="233"/>
      <c r="D72" s="7" t="s">
        <v>95</v>
      </c>
      <c r="E72" s="1" t="s">
        <v>19</v>
      </c>
      <c r="F72" s="2">
        <v>2925.18</v>
      </c>
      <c r="G72" s="1">
        <f>-245</f>
        <v>-245</v>
      </c>
      <c r="H72" s="1">
        <f t="shared" si="4"/>
        <v>2680.18</v>
      </c>
      <c r="I72" s="104">
        <v>1965.675</v>
      </c>
      <c r="J72" s="1"/>
      <c r="K72" s="1">
        <f t="shared" si="3"/>
        <v>714.50499999999988</v>
      </c>
      <c r="L72" s="3">
        <f t="shared" si="5"/>
        <v>0.73341156191002099</v>
      </c>
      <c r="M72" s="25"/>
    </row>
    <row r="73" spans="2:13">
      <c r="B73" s="11">
        <v>50</v>
      </c>
      <c r="C73" s="233"/>
      <c r="D73" s="7" t="s">
        <v>96</v>
      </c>
      <c r="E73" s="1" t="s">
        <v>19</v>
      </c>
      <c r="F73" s="2">
        <v>5014.7879999999996</v>
      </c>
      <c r="G73" s="1">
        <f>350</f>
        <v>350</v>
      </c>
      <c r="H73" s="1">
        <f t="shared" si="4"/>
        <v>5364.7879999999996</v>
      </c>
      <c r="I73" s="104">
        <v>5464.8419999999996</v>
      </c>
      <c r="J73" s="1"/>
      <c r="K73" s="1">
        <f t="shared" si="3"/>
        <v>-100.05400000000009</v>
      </c>
      <c r="L73" s="3">
        <f t="shared" si="5"/>
        <v>1.0186501311887814</v>
      </c>
      <c r="M73" s="25"/>
    </row>
    <row r="74" spans="2:13">
      <c r="B74" s="11">
        <v>51</v>
      </c>
      <c r="C74" s="233"/>
      <c r="D74" s="7" t="s">
        <v>97</v>
      </c>
      <c r="E74" s="1" t="s">
        <v>19</v>
      </c>
      <c r="F74" s="2">
        <v>770.202</v>
      </c>
      <c r="G74" s="1">
        <f>-279.2-251.7</f>
        <v>-530.9</v>
      </c>
      <c r="H74" s="1">
        <f t="shared" si="4"/>
        <v>239.30200000000002</v>
      </c>
      <c r="I74" s="104">
        <v>272.29399999999998</v>
      </c>
      <c r="J74" s="1"/>
      <c r="K74" s="1">
        <f t="shared" si="3"/>
        <v>-32.991999999999962</v>
      </c>
      <c r="L74" s="3">
        <f t="shared" si="5"/>
        <v>1.1378676316955143</v>
      </c>
      <c r="M74" s="115">
        <v>43928</v>
      </c>
    </row>
    <row r="75" spans="2:13">
      <c r="B75" s="11">
        <v>52</v>
      </c>
      <c r="C75" s="233"/>
      <c r="D75" s="7" t="s">
        <v>98</v>
      </c>
      <c r="E75" s="1" t="s">
        <v>19</v>
      </c>
      <c r="F75" s="2">
        <v>7402.1620000000003</v>
      </c>
      <c r="G75" s="1">
        <f>1534.656+704.611+800</f>
        <v>3039.2669999999998</v>
      </c>
      <c r="H75" s="1">
        <f t="shared" si="4"/>
        <v>10441.429</v>
      </c>
      <c r="I75" s="104">
        <v>8051.9229999999998</v>
      </c>
      <c r="J75" s="1"/>
      <c r="K75" s="1">
        <f t="shared" si="3"/>
        <v>2389.5060000000003</v>
      </c>
      <c r="L75" s="3">
        <f t="shared" si="5"/>
        <v>0.77115143913730577</v>
      </c>
      <c r="M75" s="25"/>
    </row>
    <row r="76" spans="2:13">
      <c r="B76" s="11">
        <v>53</v>
      </c>
      <c r="C76" s="233"/>
      <c r="D76" s="7" t="s">
        <v>99</v>
      </c>
      <c r="E76" s="1" t="s">
        <v>19</v>
      </c>
      <c r="F76" s="2">
        <v>55.088000000000001</v>
      </c>
      <c r="G76" s="1"/>
      <c r="H76" s="1">
        <f t="shared" si="4"/>
        <v>55.088000000000001</v>
      </c>
      <c r="I76" s="104">
        <v>84.12</v>
      </c>
      <c r="J76" s="1"/>
      <c r="K76" s="1">
        <f t="shared" si="3"/>
        <v>-29.032000000000004</v>
      </c>
      <c r="L76" s="3">
        <f t="shared" si="5"/>
        <v>1.5270113273308161</v>
      </c>
      <c r="M76" s="115">
        <v>43921</v>
      </c>
    </row>
    <row r="77" spans="2:13">
      <c r="B77" s="11">
        <v>54</v>
      </c>
      <c r="C77" s="233"/>
      <c r="D77" s="7" t="s">
        <v>100</v>
      </c>
      <c r="E77" s="1" t="s">
        <v>19</v>
      </c>
      <c r="F77" s="2">
        <v>2.6579999999999999</v>
      </c>
      <c r="G77" s="1"/>
      <c r="H77" s="1">
        <f t="shared" si="4"/>
        <v>2.6579999999999999</v>
      </c>
      <c r="I77" s="104">
        <v>0</v>
      </c>
      <c r="J77" s="1"/>
      <c r="K77" s="1">
        <f t="shared" si="3"/>
        <v>2.6579999999999999</v>
      </c>
      <c r="L77" s="3">
        <f t="shared" si="5"/>
        <v>0</v>
      </c>
      <c r="M77" s="47"/>
    </row>
    <row r="78" spans="2:13">
      <c r="B78" s="11">
        <v>55</v>
      </c>
      <c r="C78" s="233"/>
      <c r="D78" s="7" t="s">
        <v>101</v>
      </c>
      <c r="E78" s="1" t="s">
        <v>19</v>
      </c>
      <c r="F78" s="2">
        <v>8597.3870000000006</v>
      </c>
      <c r="G78" s="1">
        <f>-90-150-9.7-277</f>
        <v>-526.70000000000005</v>
      </c>
      <c r="H78" s="1">
        <f t="shared" si="4"/>
        <v>8070.6870000000008</v>
      </c>
      <c r="I78" s="104">
        <v>4635.942</v>
      </c>
      <c r="J78" s="1"/>
      <c r="K78" s="1">
        <f t="shared" si="3"/>
        <v>3434.7450000000008</v>
      </c>
      <c r="L78" s="3">
        <f t="shared" si="5"/>
        <v>0.57441727079739302</v>
      </c>
      <c r="M78" s="25"/>
    </row>
    <row r="79" spans="2:13">
      <c r="B79" s="11">
        <v>56</v>
      </c>
      <c r="C79" s="233"/>
      <c r="D79" s="7" t="s">
        <v>102</v>
      </c>
      <c r="E79" s="1" t="s">
        <v>19</v>
      </c>
      <c r="F79" s="2">
        <v>2345.6260000000002</v>
      </c>
      <c r="G79" s="1">
        <f>90.6+500+245+20</f>
        <v>855.6</v>
      </c>
      <c r="H79" s="1">
        <f t="shared" si="4"/>
        <v>3201.2260000000001</v>
      </c>
      <c r="I79" s="104">
        <v>2282.7420000000002</v>
      </c>
      <c r="J79" s="1"/>
      <c r="K79" s="1">
        <f t="shared" si="3"/>
        <v>918.48399999999992</v>
      </c>
      <c r="L79" s="3">
        <f t="shared" si="5"/>
        <v>0.71308367481708579</v>
      </c>
      <c r="M79" s="47"/>
    </row>
    <row r="80" spans="2:13">
      <c r="B80" s="11">
        <v>57</v>
      </c>
      <c r="C80" s="233"/>
      <c r="D80" s="7" t="s">
        <v>103</v>
      </c>
      <c r="E80" s="1" t="s">
        <v>19</v>
      </c>
      <c r="F80" s="2">
        <v>2355.3539999999998</v>
      </c>
      <c r="G80" s="1">
        <f>403+245+157+11.8+68+20</f>
        <v>904.8</v>
      </c>
      <c r="H80" s="1">
        <f t="shared" si="4"/>
        <v>3260.1539999999995</v>
      </c>
      <c r="I80" s="104">
        <v>2176.6849999999999</v>
      </c>
      <c r="J80" s="1"/>
      <c r="K80" s="1">
        <f t="shared" si="3"/>
        <v>1083.4689999999996</v>
      </c>
      <c r="L80" s="3">
        <f t="shared" si="5"/>
        <v>0.66766324535589427</v>
      </c>
      <c r="M80" s="47"/>
    </row>
    <row r="81" spans="2:13">
      <c r="B81" s="11">
        <v>58</v>
      </c>
      <c r="C81" s="233"/>
      <c r="D81" s="7" t="s">
        <v>104</v>
      </c>
      <c r="E81" s="1" t="s">
        <v>19</v>
      </c>
      <c r="F81" s="2">
        <v>1291.73</v>
      </c>
      <c r="G81" s="1">
        <f>-361.8</f>
        <v>-361.8</v>
      </c>
      <c r="H81" s="1">
        <f t="shared" si="4"/>
        <v>929.93000000000006</v>
      </c>
      <c r="I81" s="104">
        <v>1206.7760000000001</v>
      </c>
      <c r="J81" s="1"/>
      <c r="K81" s="1">
        <f t="shared" si="3"/>
        <v>-276.846</v>
      </c>
      <c r="L81" s="3">
        <f t="shared" si="5"/>
        <v>1.297706278967234</v>
      </c>
      <c r="M81" s="25"/>
    </row>
    <row r="82" spans="2:13">
      <c r="B82" s="11">
        <v>59</v>
      </c>
      <c r="C82" s="233"/>
      <c r="D82" s="7" t="s">
        <v>105</v>
      </c>
      <c r="E82" s="1" t="s">
        <v>19</v>
      </c>
      <c r="F82" s="2">
        <v>677.47900000000004</v>
      </c>
      <c r="G82" s="1"/>
      <c r="H82" s="1">
        <f t="shared" si="4"/>
        <v>677.47900000000004</v>
      </c>
      <c r="I82" s="104">
        <v>417.50799999999998</v>
      </c>
      <c r="J82" s="1"/>
      <c r="K82" s="1">
        <f t="shared" si="3"/>
        <v>259.97100000000006</v>
      </c>
      <c r="L82" s="3">
        <f t="shared" si="5"/>
        <v>0.61626707248490353</v>
      </c>
      <c r="M82" s="47"/>
    </row>
    <row r="83" spans="2:13">
      <c r="B83" s="11">
        <v>60</v>
      </c>
      <c r="C83" s="233"/>
      <c r="D83" s="7" t="s">
        <v>106</v>
      </c>
      <c r="E83" s="1" t="s">
        <v>19</v>
      </c>
      <c r="F83" s="2">
        <v>3366.1419999999998</v>
      </c>
      <c r="G83" s="1">
        <f>500</f>
        <v>500</v>
      </c>
      <c r="H83" s="1">
        <f t="shared" si="4"/>
        <v>3866.1419999999998</v>
      </c>
      <c r="I83" s="104">
        <v>3318.4679999999998</v>
      </c>
      <c r="J83" s="1"/>
      <c r="K83" s="1">
        <f t="shared" si="3"/>
        <v>547.67399999999998</v>
      </c>
      <c r="L83" s="3">
        <f t="shared" si="5"/>
        <v>0.85834095074624783</v>
      </c>
      <c r="M83" s="25"/>
    </row>
    <row r="84" spans="2:13">
      <c r="B84" s="11">
        <v>61</v>
      </c>
      <c r="C84" s="233"/>
      <c r="D84" s="7" t="s">
        <v>107</v>
      </c>
      <c r="E84" s="1" t="s">
        <v>19</v>
      </c>
      <c r="F84" s="2">
        <v>3642.2330000000002</v>
      </c>
      <c r="G84" s="1">
        <f>700</f>
        <v>700</v>
      </c>
      <c r="H84" s="1">
        <f t="shared" si="4"/>
        <v>4342.2330000000002</v>
      </c>
      <c r="I84" s="104">
        <v>1954.0740000000001</v>
      </c>
      <c r="J84" s="1"/>
      <c r="K84" s="1">
        <f t="shared" ref="K84:K134" si="6">H84-(I84+J84)</f>
        <v>2388.1590000000001</v>
      </c>
      <c r="L84" s="3">
        <f t="shared" si="5"/>
        <v>0.4500159249860613</v>
      </c>
      <c r="M84" s="47"/>
    </row>
    <row r="85" spans="2:13">
      <c r="B85" s="11">
        <v>62</v>
      </c>
      <c r="C85" s="233"/>
      <c r="D85" s="7" t="s">
        <v>108</v>
      </c>
      <c r="E85" s="1" t="s">
        <v>19</v>
      </c>
      <c r="F85" s="2">
        <v>1012.629</v>
      </c>
      <c r="G85" s="1"/>
      <c r="H85" s="1">
        <f t="shared" si="4"/>
        <v>1012.629</v>
      </c>
      <c r="I85" s="104">
        <v>307.39800000000002</v>
      </c>
      <c r="J85" s="1"/>
      <c r="K85" s="1">
        <f t="shared" si="6"/>
        <v>705.23099999999999</v>
      </c>
      <c r="L85" s="3">
        <f t="shared" si="5"/>
        <v>0.30356428662422269</v>
      </c>
      <c r="M85" s="47"/>
    </row>
    <row r="86" spans="2:13">
      <c r="B86" s="11">
        <v>63</v>
      </c>
      <c r="C86" s="233"/>
      <c r="D86" s="7" t="s">
        <v>109</v>
      </c>
      <c r="E86" s="1" t="s">
        <v>19</v>
      </c>
      <c r="F86" s="2">
        <v>2801.029</v>
      </c>
      <c r="G86" s="1">
        <f>-700-500-190</f>
        <v>-1390</v>
      </c>
      <c r="H86" s="1">
        <f t="shared" si="4"/>
        <v>1411.029</v>
      </c>
      <c r="I86" s="104">
        <v>1210.328</v>
      </c>
      <c r="J86" s="1"/>
      <c r="K86" s="1">
        <f t="shared" si="6"/>
        <v>200.70100000000002</v>
      </c>
      <c r="L86" s="3">
        <f t="shared" si="5"/>
        <v>0.85776266823715175</v>
      </c>
      <c r="M86" s="25"/>
    </row>
    <row r="87" spans="2:13">
      <c r="B87" s="11">
        <v>64</v>
      </c>
      <c r="C87" s="233"/>
      <c r="D87" s="7" t="s">
        <v>110</v>
      </c>
      <c r="E87" s="1" t="s">
        <v>19</v>
      </c>
      <c r="F87" s="2">
        <v>553.86099999999999</v>
      </c>
      <c r="G87" s="1">
        <f>-157-20</f>
        <v>-177</v>
      </c>
      <c r="H87" s="1">
        <f t="shared" si="4"/>
        <v>376.86099999999999</v>
      </c>
      <c r="I87" s="104">
        <v>510.54700000000003</v>
      </c>
      <c r="J87" s="1"/>
      <c r="K87" s="1">
        <f t="shared" si="6"/>
        <v>-133.68600000000004</v>
      </c>
      <c r="L87" s="3">
        <f t="shared" si="5"/>
        <v>1.3547355656329523</v>
      </c>
      <c r="M87" s="47"/>
    </row>
    <row r="88" spans="2:13">
      <c r="B88" s="11">
        <v>65</v>
      </c>
      <c r="C88" s="233"/>
      <c r="D88" s="7" t="s">
        <v>111</v>
      </c>
      <c r="E88" s="1" t="s">
        <v>19</v>
      </c>
      <c r="F88" s="2">
        <v>1890.35</v>
      </c>
      <c r="G88" s="1"/>
      <c r="H88" s="1">
        <f t="shared" si="4"/>
        <v>1890.35</v>
      </c>
      <c r="I88" s="104">
        <v>779.90300000000002</v>
      </c>
      <c r="J88" s="1"/>
      <c r="K88" s="1">
        <f t="shared" si="6"/>
        <v>1110.4469999999999</v>
      </c>
      <c r="L88" s="3">
        <f t="shared" si="5"/>
        <v>0.41257068796783669</v>
      </c>
      <c r="M88" s="25"/>
    </row>
    <row r="89" spans="2:13">
      <c r="B89" s="11">
        <v>66</v>
      </c>
      <c r="C89" s="233"/>
      <c r="D89" s="7" t="s">
        <v>112</v>
      </c>
      <c r="E89" s="1" t="s">
        <v>19</v>
      </c>
      <c r="F89" s="2">
        <v>3063.529</v>
      </c>
      <c r="G89" s="1">
        <f>190+74.5</f>
        <v>264.5</v>
      </c>
      <c r="H89" s="1">
        <f t="shared" ref="H89:H102" si="7">F89+G89</f>
        <v>3328.029</v>
      </c>
      <c r="I89" s="104">
        <v>1971.778</v>
      </c>
      <c r="J89" s="1"/>
      <c r="K89" s="1">
        <f t="shared" si="6"/>
        <v>1356.251</v>
      </c>
      <c r="L89" s="3">
        <f t="shared" si="5"/>
        <v>0.59247620738881779</v>
      </c>
      <c r="M89" s="25"/>
    </row>
    <row r="90" spans="2:13">
      <c r="B90" s="11">
        <v>67</v>
      </c>
      <c r="C90" s="233"/>
      <c r="D90" s="7" t="s">
        <v>113</v>
      </c>
      <c r="E90" s="1" t="s">
        <v>19</v>
      </c>
      <c r="F90" s="2">
        <v>3014.3310000000001</v>
      </c>
      <c r="G90" s="1"/>
      <c r="H90" s="1">
        <f t="shared" si="7"/>
        <v>3014.3310000000001</v>
      </c>
      <c r="I90" s="104">
        <v>1936.617</v>
      </c>
      <c r="J90" s="1"/>
      <c r="K90" s="1">
        <f t="shared" si="6"/>
        <v>1077.7140000000002</v>
      </c>
      <c r="L90" s="3">
        <f t="shared" ref="L90:L103" si="8">I90/H90</f>
        <v>0.64246992118649204</v>
      </c>
      <c r="M90" s="25"/>
    </row>
    <row r="91" spans="2:13">
      <c r="B91" s="11">
        <v>68</v>
      </c>
      <c r="C91" s="233"/>
      <c r="D91" s="7" t="s">
        <v>114</v>
      </c>
      <c r="E91" s="1" t="s">
        <v>19</v>
      </c>
      <c r="F91" s="2">
        <v>3637.326</v>
      </c>
      <c r="G91" s="1">
        <f>-200</f>
        <v>-200</v>
      </c>
      <c r="H91" s="1">
        <f t="shared" si="7"/>
        <v>3437.326</v>
      </c>
      <c r="I91" s="104">
        <v>2757.8429999999998</v>
      </c>
      <c r="J91" s="1"/>
      <c r="K91" s="1">
        <f t="shared" si="6"/>
        <v>679.48300000000017</v>
      </c>
      <c r="L91" s="3">
        <f t="shared" si="8"/>
        <v>0.80232221209160837</v>
      </c>
      <c r="M91" s="47"/>
    </row>
    <row r="92" spans="2:13">
      <c r="B92" s="11">
        <v>69</v>
      </c>
      <c r="C92" s="233"/>
      <c r="D92" s="7" t="s">
        <v>115</v>
      </c>
      <c r="E92" s="1" t="s">
        <v>19</v>
      </c>
      <c r="F92" s="2">
        <v>1102.02</v>
      </c>
      <c r="G92" s="1"/>
      <c r="H92" s="1">
        <f t="shared" si="7"/>
        <v>1102.02</v>
      </c>
      <c r="I92" s="104">
        <v>613.57000000000005</v>
      </c>
      <c r="J92" s="1"/>
      <c r="K92" s="1">
        <f t="shared" si="6"/>
        <v>488.44999999999993</v>
      </c>
      <c r="L92" s="3">
        <f t="shared" si="8"/>
        <v>0.55676847970091292</v>
      </c>
      <c r="M92" s="25"/>
    </row>
    <row r="93" spans="2:13">
      <c r="B93" s="11">
        <v>70</v>
      </c>
      <c r="C93" s="233"/>
      <c r="D93" s="7" t="s">
        <v>116</v>
      </c>
      <c r="E93" s="1" t="s">
        <v>19</v>
      </c>
      <c r="F93" s="2">
        <v>16.39</v>
      </c>
      <c r="G93" s="1">
        <f>-16</f>
        <v>-16</v>
      </c>
      <c r="H93" s="1">
        <f t="shared" si="7"/>
        <v>0.39000000000000057</v>
      </c>
      <c r="I93" s="104">
        <v>0</v>
      </c>
      <c r="J93" s="1"/>
      <c r="K93" s="1">
        <f t="shared" si="6"/>
        <v>0.39000000000000057</v>
      </c>
      <c r="L93" s="3">
        <f>(F93-I93)/F93</f>
        <v>1</v>
      </c>
      <c r="M93" s="47"/>
    </row>
    <row r="94" spans="2:13">
      <c r="B94" s="11">
        <v>71</v>
      </c>
      <c r="C94" s="233"/>
      <c r="D94" s="7" t="s">
        <v>117</v>
      </c>
      <c r="E94" s="1" t="s">
        <v>19</v>
      </c>
      <c r="F94" s="2">
        <v>488.04700000000003</v>
      </c>
      <c r="G94" s="1">
        <f>150-16-37</f>
        <v>97</v>
      </c>
      <c r="H94" s="1">
        <f t="shared" si="7"/>
        <v>585.04700000000003</v>
      </c>
      <c r="I94" s="104">
        <v>677</v>
      </c>
      <c r="J94" s="1"/>
      <c r="K94" s="1">
        <f t="shared" si="6"/>
        <v>-91.952999999999975</v>
      </c>
      <c r="L94" s="3">
        <f t="shared" si="8"/>
        <v>1.1571719878915712</v>
      </c>
      <c r="M94" s="25"/>
    </row>
    <row r="95" spans="2:13">
      <c r="B95" s="11">
        <v>72</v>
      </c>
      <c r="C95" s="233"/>
      <c r="D95" s="7" t="s">
        <v>118</v>
      </c>
      <c r="E95" s="1" t="s">
        <v>19</v>
      </c>
      <c r="F95" s="2">
        <v>1199.0070000000001</v>
      </c>
      <c r="G95" s="1">
        <f>233</f>
        <v>233</v>
      </c>
      <c r="H95" s="1">
        <f t="shared" si="7"/>
        <v>1432.0070000000001</v>
      </c>
      <c r="I95" s="104">
        <v>1684.65</v>
      </c>
      <c r="J95" s="1"/>
      <c r="K95" s="1">
        <f t="shared" si="6"/>
        <v>-252.64300000000003</v>
      </c>
      <c r="L95" s="3">
        <f t="shared" si="8"/>
        <v>1.1764258135609673</v>
      </c>
      <c r="M95" s="25"/>
    </row>
    <row r="96" spans="2:13">
      <c r="B96" s="11">
        <v>73</v>
      </c>
      <c r="C96" s="233"/>
      <c r="D96" s="7" t="s">
        <v>119</v>
      </c>
      <c r="E96" s="1" t="s">
        <v>19</v>
      </c>
      <c r="F96" s="2">
        <v>6105.1769999999997</v>
      </c>
      <c r="G96" s="1">
        <f>550+290</f>
        <v>840</v>
      </c>
      <c r="H96" s="1">
        <f t="shared" si="7"/>
        <v>6945.1769999999997</v>
      </c>
      <c r="I96" s="104">
        <v>2151.3669999999997</v>
      </c>
      <c r="J96" s="1"/>
      <c r="K96" s="1">
        <f t="shared" si="6"/>
        <v>4793.8099999999995</v>
      </c>
      <c r="L96" s="3">
        <f t="shared" si="8"/>
        <v>0.30976417159706654</v>
      </c>
      <c r="M96" s="25"/>
    </row>
    <row r="97" spans="2:14">
      <c r="B97" s="11">
        <v>74</v>
      </c>
      <c r="C97" s="233"/>
      <c r="D97" s="7" t="s">
        <v>235</v>
      </c>
      <c r="E97" s="1" t="s">
        <v>19</v>
      </c>
      <c r="F97" s="2">
        <v>608.53300000000002</v>
      </c>
      <c r="G97" s="1">
        <f>-66-70-67</f>
        <v>-203</v>
      </c>
      <c r="H97" s="1">
        <f t="shared" si="7"/>
        <v>405.53300000000002</v>
      </c>
      <c r="I97" s="104">
        <v>428.79899999999998</v>
      </c>
      <c r="J97" s="1"/>
      <c r="K97" s="1">
        <f t="shared" si="6"/>
        <v>-23.265999999999963</v>
      </c>
      <c r="L97" s="3">
        <f t="shared" si="8"/>
        <v>1.0573714099715681</v>
      </c>
      <c r="M97" s="115">
        <v>43943</v>
      </c>
    </row>
    <row r="98" spans="2:14" s="11" customFormat="1">
      <c r="B98" s="11">
        <v>75</v>
      </c>
      <c r="C98" s="233"/>
      <c r="D98" s="7" t="s">
        <v>292</v>
      </c>
      <c r="E98" s="1" t="s">
        <v>19</v>
      </c>
      <c r="F98" s="2">
        <v>62.131999999999998</v>
      </c>
      <c r="G98" s="1">
        <f>-5</f>
        <v>-5</v>
      </c>
      <c r="H98" s="1">
        <f t="shared" si="7"/>
        <v>57.131999999999998</v>
      </c>
      <c r="I98" s="104">
        <v>0</v>
      </c>
      <c r="J98" s="1"/>
      <c r="K98" s="1">
        <f t="shared" si="6"/>
        <v>57.131999999999998</v>
      </c>
      <c r="L98" s="3">
        <f t="shared" si="8"/>
        <v>0</v>
      </c>
      <c r="M98" s="47"/>
    </row>
    <row r="99" spans="2:14" s="11" customFormat="1">
      <c r="B99" s="11">
        <v>76</v>
      </c>
      <c r="C99" s="233"/>
      <c r="D99" s="7" t="s">
        <v>293</v>
      </c>
      <c r="E99" s="1" t="s">
        <v>19</v>
      </c>
      <c r="F99" s="2">
        <v>266.875</v>
      </c>
      <c r="G99" s="1"/>
      <c r="H99" s="1">
        <f t="shared" si="7"/>
        <v>266.875</v>
      </c>
      <c r="I99" s="104">
        <v>46.024999999999999</v>
      </c>
      <c r="J99" s="1"/>
      <c r="K99" s="1">
        <f t="shared" si="6"/>
        <v>220.85</v>
      </c>
      <c r="L99" s="3">
        <f t="shared" si="8"/>
        <v>0.1724590163934426</v>
      </c>
      <c r="M99" s="47"/>
    </row>
    <row r="100" spans="2:14">
      <c r="B100" s="11">
        <v>77</v>
      </c>
      <c r="C100" s="233"/>
      <c r="D100" s="7" t="s">
        <v>121</v>
      </c>
      <c r="E100" s="1" t="s">
        <v>19</v>
      </c>
      <c r="F100" s="2">
        <v>2376.605</v>
      </c>
      <c r="G100" s="1">
        <f>-28+155-50-20-20</f>
        <v>37</v>
      </c>
      <c r="H100" s="1">
        <f t="shared" si="7"/>
        <v>2413.605</v>
      </c>
      <c r="I100" s="104">
        <v>1925.204</v>
      </c>
      <c r="J100" s="1"/>
      <c r="K100" s="1">
        <f t="shared" si="6"/>
        <v>488.40100000000007</v>
      </c>
      <c r="L100" s="3">
        <f t="shared" si="8"/>
        <v>0.79764667375150444</v>
      </c>
      <c r="M100" s="25"/>
    </row>
    <row r="101" spans="2:14">
      <c r="B101" s="11">
        <v>78</v>
      </c>
      <c r="C101" s="233"/>
      <c r="D101" s="7" t="s">
        <v>122</v>
      </c>
      <c r="E101" s="1" t="s">
        <v>19</v>
      </c>
      <c r="F101" s="2">
        <v>125.29600000000001</v>
      </c>
      <c r="G101" s="1"/>
      <c r="H101" s="1">
        <f t="shared" si="7"/>
        <v>125.29600000000001</v>
      </c>
      <c r="I101" s="104">
        <v>415.13</v>
      </c>
      <c r="J101" s="1"/>
      <c r="K101" s="1">
        <f t="shared" si="6"/>
        <v>-289.834</v>
      </c>
      <c r="L101" s="3">
        <f t="shared" si="8"/>
        <v>3.313194355765547</v>
      </c>
      <c r="M101" s="115">
        <v>43917</v>
      </c>
    </row>
    <row r="102" spans="2:14" s="11" customFormat="1">
      <c r="C102" s="233"/>
      <c r="D102" s="7" t="s">
        <v>283</v>
      </c>
      <c r="E102" s="25" t="s">
        <v>19</v>
      </c>
      <c r="F102" s="25"/>
      <c r="G102" s="1">
        <f>206+1333+500+361.8+1446.907+2700.375+298+137+180.5+500+1254+449+11+145+571.182+398.92+1+251.7+2123+300+188+30+16+1500+50+90+70+1550+142+180+250+247+20+53+1724+233+544+66+300+70+6690+1914.32+569+869+18+200+68+70+25+67+67+16+1500+350+70+1677+180.905+730+100+28+147+200+30+110+1503+50+40+245+176+142+3+1966+1636+2190+80+4593+477+310+249+2941+3235+393.249</f>
        <v>56416.858</v>
      </c>
      <c r="H102" s="25">
        <f t="shared" si="7"/>
        <v>56416.858</v>
      </c>
      <c r="I102" s="25"/>
      <c r="J102" s="1"/>
      <c r="K102" s="1">
        <f t="shared" si="6"/>
        <v>56416.858</v>
      </c>
      <c r="L102" s="41">
        <f t="shared" si="8"/>
        <v>0</v>
      </c>
      <c r="M102" s="25"/>
    </row>
    <row r="103" spans="2:14" s="11" customFormat="1">
      <c r="C103" s="233"/>
      <c r="D103" s="7" t="s">
        <v>269</v>
      </c>
      <c r="E103" s="25" t="s">
        <v>19</v>
      </c>
      <c r="F103" s="5">
        <f>SUM(F23:F102)</f>
        <v>196184.02300000002</v>
      </c>
      <c r="G103" s="1">
        <f>SUM(G23:G102)</f>
        <v>57516.125</v>
      </c>
      <c r="H103" s="25">
        <f>F103+G103</f>
        <v>253700.14800000002</v>
      </c>
      <c r="I103" s="25">
        <f>SUM(I23:I102)</f>
        <v>130325.26499999996</v>
      </c>
      <c r="J103" s="1">
        <f>SUM(J23:J102)</f>
        <v>0</v>
      </c>
      <c r="K103" s="1">
        <f t="shared" si="6"/>
        <v>123374.88300000006</v>
      </c>
      <c r="L103" s="41">
        <f t="shared" si="8"/>
        <v>0.51369802511900764</v>
      </c>
      <c r="M103" s="1"/>
    </row>
    <row r="104" spans="2:14">
      <c r="I104" s="57"/>
    </row>
    <row r="105" spans="2:14" ht="18.75" customHeight="1">
      <c r="C105" s="234" t="s">
        <v>43</v>
      </c>
      <c r="D105" s="7" t="s">
        <v>278</v>
      </c>
      <c r="E105" s="1" t="s">
        <v>19</v>
      </c>
      <c r="F105" s="1">
        <v>2904</v>
      </c>
      <c r="G105" s="1">
        <v>1169</v>
      </c>
      <c r="H105" s="1">
        <f>F105+G105</f>
        <v>4073</v>
      </c>
      <c r="I105" s="104">
        <v>4891.9669999999996</v>
      </c>
      <c r="J105" s="1"/>
      <c r="K105" s="1">
        <f t="shared" si="6"/>
        <v>-818.96699999999964</v>
      </c>
      <c r="L105" s="3">
        <f>I105/H105</f>
        <v>1.2010721826663393</v>
      </c>
      <c r="M105" s="115">
        <v>43956</v>
      </c>
      <c r="N105" s="59"/>
    </row>
    <row r="106" spans="2:14" s="11" customFormat="1" ht="18" customHeight="1">
      <c r="C106" s="235"/>
      <c r="D106" s="7" t="s">
        <v>221</v>
      </c>
      <c r="E106" s="25" t="s">
        <v>19</v>
      </c>
      <c r="F106" s="25"/>
      <c r="G106" s="1">
        <f>1925+1100+800+140</f>
        <v>3965</v>
      </c>
      <c r="H106" s="25">
        <f>F106+G106</f>
        <v>3965</v>
      </c>
      <c r="I106" s="25"/>
      <c r="J106" s="1"/>
      <c r="K106" s="1">
        <f t="shared" si="6"/>
        <v>3965</v>
      </c>
      <c r="L106" s="41">
        <f>I106/H106</f>
        <v>0</v>
      </c>
      <c r="M106" s="1"/>
    </row>
    <row r="107" spans="2:14" s="11" customFormat="1" ht="18" customHeight="1">
      <c r="C107" s="235"/>
      <c r="D107" s="7" t="s">
        <v>270</v>
      </c>
      <c r="E107" s="25" t="s">
        <v>19</v>
      </c>
      <c r="F107" s="25">
        <f>SUM(F105:F106)</f>
        <v>2904</v>
      </c>
      <c r="G107" s="1">
        <f>SUM(G105:G106)</f>
        <v>5134</v>
      </c>
      <c r="H107" s="25">
        <f>F107+G107</f>
        <v>8038</v>
      </c>
      <c r="I107" s="25">
        <f>SUM(I105:I106)</f>
        <v>4891.9669999999996</v>
      </c>
      <c r="J107" s="1">
        <f>SUM(J105:J106)</f>
        <v>0</v>
      </c>
      <c r="K107" s="1">
        <f t="shared" si="6"/>
        <v>3146.0330000000004</v>
      </c>
      <c r="L107" s="41">
        <f>I107/H107</f>
        <v>0.60860500124409056</v>
      </c>
      <c r="M107" s="1"/>
    </row>
    <row r="108" spans="2:14">
      <c r="I108" s="57"/>
    </row>
    <row r="109" spans="2:14" ht="15" customHeight="1">
      <c r="B109">
        <v>1</v>
      </c>
      <c r="C109" s="236" t="s">
        <v>44</v>
      </c>
      <c r="D109" s="7" t="s">
        <v>134</v>
      </c>
      <c r="E109" s="1" t="s">
        <v>19</v>
      </c>
      <c r="F109" s="1">
        <v>2157.9229999999998</v>
      </c>
      <c r="G109" s="1">
        <f>-450</f>
        <v>-450</v>
      </c>
      <c r="H109" s="1">
        <f>F109+G109</f>
        <v>1707.9229999999998</v>
      </c>
      <c r="I109" s="104">
        <v>304.90499999999997</v>
      </c>
      <c r="J109" s="1"/>
      <c r="K109" s="1">
        <f t="shared" si="6"/>
        <v>1403.0179999999998</v>
      </c>
      <c r="L109" s="3">
        <f>I109/H109</f>
        <v>0.17852385616915986</v>
      </c>
      <c r="M109" s="47"/>
    </row>
    <row r="110" spans="2:14">
      <c r="B110">
        <v>2</v>
      </c>
      <c r="C110" s="237"/>
      <c r="D110" s="7" t="s">
        <v>135</v>
      </c>
      <c r="E110" s="1" t="s">
        <v>19</v>
      </c>
      <c r="F110" s="1">
        <v>3847.402</v>
      </c>
      <c r="G110" s="1"/>
      <c r="H110" s="1">
        <f t="shared" ref="H110:H120" si="9">F110+G110</f>
        <v>3847.402</v>
      </c>
      <c r="I110" s="104">
        <v>3744.6089999999999</v>
      </c>
      <c r="J110" s="1"/>
      <c r="K110" s="1">
        <f t="shared" si="6"/>
        <v>102.79300000000012</v>
      </c>
      <c r="L110" s="3">
        <f t="shared" ref="L110:L121" si="10">I110/H110</f>
        <v>0.97328249036622627</v>
      </c>
      <c r="M110" s="47"/>
    </row>
    <row r="111" spans="2:14">
      <c r="B111">
        <v>3</v>
      </c>
      <c r="C111" s="237"/>
      <c r="D111" s="7" t="s">
        <v>136</v>
      </c>
      <c r="E111" s="1" t="s">
        <v>19</v>
      </c>
      <c r="F111" s="1">
        <v>3048.067</v>
      </c>
      <c r="G111" s="1"/>
      <c r="H111" s="1">
        <f t="shared" si="9"/>
        <v>3048.067</v>
      </c>
      <c r="I111" s="104">
        <v>2614.2739999999999</v>
      </c>
      <c r="J111" s="1"/>
      <c r="K111" s="1">
        <f t="shared" si="6"/>
        <v>433.79300000000012</v>
      </c>
      <c r="L111" s="3">
        <f t="shared" si="10"/>
        <v>0.85768259031051475</v>
      </c>
      <c r="M111" s="47"/>
    </row>
    <row r="112" spans="2:14">
      <c r="B112">
        <v>4</v>
      </c>
      <c r="C112" s="237"/>
      <c r="D112" s="7" t="s">
        <v>137</v>
      </c>
      <c r="E112" s="1" t="s">
        <v>19</v>
      </c>
      <c r="F112" s="1">
        <v>2286.721</v>
      </c>
      <c r="G112" s="1"/>
      <c r="H112" s="1">
        <f t="shared" si="9"/>
        <v>2286.721</v>
      </c>
      <c r="I112" s="104">
        <v>1867.904</v>
      </c>
      <c r="J112" s="1"/>
      <c r="K112" s="1">
        <f t="shared" si="6"/>
        <v>418.81700000000001</v>
      </c>
      <c r="L112" s="3">
        <f t="shared" si="10"/>
        <v>0.81684822940796009</v>
      </c>
      <c r="M112" s="47"/>
    </row>
    <row r="113" spans="2:13">
      <c r="B113">
        <v>5</v>
      </c>
      <c r="C113" s="237"/>
      <c r="D113" s="7" t="s">
        <v>138</v>
      </c>
      <c r="E113" s="1" t="s">
        <v>19</v>
      </c>
      <c r="F113" s="1">
        <v>9553.1450000000004</v>
      </c>
      <c r="G113" s="1"/>
      <c r="H113" s="1">
        <f t="shared" si="9"/>
        <v>9553.1450000000004</v>
      </c>
      <c r="I113" s="104">
        <v>9409.8940000000021</v>
      </c>
      <c r="J113" s="1"/>
      <c r="K113" s="1">
        <f t="shared" si="6"/>
        <v>143.25099999999838</v>
      </c>
      <c r="L113" s="3">
        <f t="shared" si="10"/>
        <v>0.98500483348677337</v>
      </c>
      <c r="M113" s="25"/>
    </row>
    <row r="114" spans="2:13">
      <c r="B114" s="152">
        <v>6</v>
      </c>
      <c r="C114" s="237"/>
      <c r="D114" s="7" t="s">
        <v>139</v>
      </c>
      <c r="E114" s="1" t="s">
        <v>19</v>
      </c>
      <c r="F114" s="1">
        <v>1671.683</v>
      </c>
      <c r="G114" s="1"/>
      <c r="H114" s="1">
        <f t="shared" si="9"/>
        <v>1671.683</v>
      </c>
      <c r="I114" s="104">
        <v>1899.029</v>
      </c>
      <c r="J114" s="1"/>
      <c r="K114" s="1">
        <f t="shared" si="6"/>
        <v>-227.346</v>
      </c>
      <c r="L114" s="3">
        <f t="shared" si="10"/>
        <v>1.1359982723997313</v>
      </c>
      <c r="M114" s="47"/>
    </row>
    <row r="115" spans="2:13">
      <c r="B115">
        <v>7</v>
      </c>
      <c r="C115" s="237"/>
      <c r="D115" s="7" t="s">
        <v>140</v>
      </c>
      <c r="E115" s="1" t="s">
        <v>19</v>
      </c>
      <c r="F115" s="1">
        <v>1715.501</v>
      </c>
      <c r="G115" s="1"/>
      <c r="H115" s="1">
        <f t="shared" si="9"/>
        <v>1715.501</v>
      </c>
      <c r="I115" s="104">
        <v>855.72299999999996</v>
      </c>
      <c r="J115" s="1"/>
      <c r="K115" s="1">
        <f t="shared" si="6"/>
        <v>859.77800000000002</v>
      </c>
      <c r="L115" s="3">
        <f t="shared" si="10"/>
        <v>0.49881812951435178</v>
      </c>
      <c r="M115" s="47"/>
    </row>
    <row r="116" spans="2:13">
      <c r="B116">
        <v>8</v>
      </c>
      <c r="C116" s="237"/>
      <c r="D116" s="7" t="s">
        <v>141</v>
      </c>
      <c r="E116" s="1" t="s">
        <v>19</v>
      </c>
      <c r="F116" s="1">
        <v>1996.538</v>
      </c>
      <c r="G116" s="1"/>
      <c r="H116" s="1">
        <f t="shared" si="9"/>
        <v>1996.538</v>
      </c>
      <c r="I116" s="104">
        <v>1843.377</v>
      </c>
      <c r="J116" s="1"/>
      <c r="K116" s="1">
        <f t="shared" si="6"/>
        <v>153.16100000000006</v>
      </c>
      <c r="L116" s="3">
        <f t="shared" si="10"/>
        <v>0.92328670929378753</v>
      </c>
      <c r="M116" s="25"/>
    </row>
    <row r="117" spans="2:13">
      <c r="B117">
        <v>9</v>
      </c>
      <c r="C117" s="237"/>
      <c r="D117" s="7" t="s">
        <v>142</v>
      </c>
      <c r="E117" s="1" t="s">
        <v>19</v>
      </c>
      <c r="F117" s="1">
        <v>744.51900000000001</v>
      </c>
      <c r="G117" s="1"/>
      <c r="H117" s="1">
        <f t="shared" si="9"/>
        <v>744.51900000000001</v>
      </c>
      <c r="I117" s="104">
        <v>342.36299999999994</v>
      </c>
      <c r="J117" s="1"/>
      <c r="K117" s="1">
        <f t="shared" si="6"/>
        <v>402.15600000000006</v>
      </c>
      <c r="L117" s="3">
        <f t="shared" si="10"/>
        <v>0.45984454392701857</v>
      </c>
      <c r="M117" s="47"/>
    </row>
    <row r="118" spans="2:13">
      <c r="B118">
        <v>10</v>
      </c>
      <c r="C118" s="237"/>
      <c r="D118" s="7" t="s">
        <v>143</v>
      </c>
      <c r="E118" s="1" t="s">
        <v>19</v>
      </c>
      <c r="F118" s="1">
        <v>726.31299999999999</v>
      </c>
      <c r="G118" s="1">
        <f>-135.06-155</f>
        <v>-290.06</v>
      </c>
      <c r="H118" s="1">
        <f t="shared" si="9"/>
        <v>436.25299999999999</v>
      </c>
      <c r="I118" s="104">
        <v>0</v>
      </c>
      <c r="J118" s="1"/>
      <c r="K118" s="1">
        <f t="shared" si="6"/>
        <v>436.25299999999999</v>
      </c>
      <c r="L118" s="3">
        <f t="shared" si="10"/>
        <v>0</v>
      </c>
      <c r="M118" s="47"/>
    </row>
    <row r="119" spans="2:13">
      <c r="B119">
        <v>11</v>
      </c>
      <c r="C119" s="237"/>
      <c r="D119" s="7" t="s">
        <v>144</v>
      </c>
      <c r="E119" s="1" t="s">
        <v>19</v>
      </c>
      <c r="F119" s="1">
        <v>360.18700000000001</v>
      </c>
      <c r="G119" s="1"/>
      <c r="H119" s="1">
        <f t="shared" si="9"/>
        <v>360.18700000000001</v>
      </c>
      <c r="I119" s="104">
        <v>192.47899999999998</v>
      </c>
      <c r="J119" s="1"/>
      <c r="K119" s="1">
        <f t="shared" si="6"/>
        <v>167.70800000000003</v>
      </c>
      <c r="L119" s="3">
        <f t="shared" si="10"/>
        <v>0.53438630489162564</v>
      </c>
      <c r="M119" s="47"/>
    </row>
    <row r="120" spans="2:13" s="11" customFormat="1">
      <c r="C120" s="237"/>
      <c r="D120" s="7" t="s">
        <v>283</v>
      </c>
      <c r="E120" s="25" t="s">
        <v>19</v>
      </c>
      <c r="F120" s="25"/>
      <c r="G120" s="1">
        <f>623.108+934.662+934.659+4810+155.777+135.06+450+248</f>
        <v>8291.2659999999996</v>
      </c>
      <c r="H120" s="25">
        <f t="shared" si="9"/>
        <v>8291.2659999999996</v>
      </c>
      <c r="I120" s="25"/>
      <c r="J120" s="1"/>
      <c r="K120" s="1">
        <f t="shared" si="6"/>
        <v>8291.2659999999996</v>
      </c>
      <c r="L120" s="41">
        <f t="shared" si="10"/>
        <v>0</v>
      </c>
      <c r="M120" s="25"/>
    </row>
    <row r="121" spans="2:13" s="11" customFormat="1">
      <c r="C121" s="237"/>
      <c r="D121" s="79" t="s">
        <v>271</v>
      </c>
      <c r="E121" s="25" t="s">
        <v>19</v>
      </c>
      <c r="F121" s="25">
        <f>SUM(F109:F120)</f>
        <v>28107.999000000003</v>
      </c>
      <c r="G121" s="1">
        <f>SUM(G109:G120)</f>
        <v>7551.2060000000001</v>
      </c>
      <c r="H121" s="25">
        <f>F121+G121</f>
        <v>35659.205000000002</v>
      </c>
      <c r="I121" s="25">
        <f>SUM(I109:I120)</f>
        <v>23074.557000000004</v>
      </c>
      <c r="J121" s="1">
        <f>SUM(J109:J120)</f>
        <v>0</v>
      </c>
      <c r="K121" s="1">
        <f t="shared" si="6"/>
        <v>12584.647999999997</v>
      </c>
      <c r="L121" s="41">
        <f t="shared" si="10"/>
        <v>0.64708557019148361</v>
      </c>
      <c r="M121" s="1"/>
    </row>
    <row r="122" spans="2:13">
      <c r="I122" s="57"/>
    </row>
    <row r="123" spans="2:13" ht="15" customHeight="1">
      <c r="B123">
        <v>1</v>
      </c>
      <c r="C123" s="236" t="s">
        <v>45</v>
      </c>
      <c r="D123" s="80" t="s">
        <v>123</v>
      </c>
      <c r="E123" s="1" t="s">
        <v>19</v>
      </c>
      <c r="F123" s="1">
        <v>760.11900000000003</v>
      </c>
      <c r="G123" s="1">
        <f>-430-300</f>
        <v>-730</v>
      </c>
      <c r="H123" s="1">
        <f>F123+G123</f>
        <v>30.119000000000028</v>
      </c>
      <c r="I123" s="104">
        <v>24.100999999999999</v>
      </c>
      <c r="J123" s="1"/>
      <c r="K123" s="1">
        <f t="shared" si="6"/>
        <v>6.0180000000000291</v>
      </c>
      <c r="L123" s="3">
        <f>I123/H123</f>
        <v>0.80019256947441741</v>
      </c>
      <c r="M123" s="1"/>
    </row>
    <row r="124" spans="2:13">
      <c r="B124">
        <v>2</v>
      </c>
      <c r="C124" s="237"/>
      <c r="D124" s="80" t="s">
        <v>124</v>
      </c>
      <c r="E124" s="1" t="s">
        <v>19</v>
      </c>
      <c r="F124" s="1">
        <v>2712.4520000000002</v>
      </c>
      <c r="G124" s="1">
        <f>-400-900-800-350</f>
        <v>-2450</v>
      </c>
      <c r="H124" s="1">
        <f t="shared" ref="H124:H133" si="11">F124+G124</f>
        <v>262.45200000000023</v>
      </c>
      <c r="I124" s="104">
        <v>253.62399999999997</v>
      </c>
      <c r="J124" s="1"/>
      <c r="K124" s="1">
        <f t="shared" si="6"/>
        <v>8.8280000000002588</v>
      </c>
      <c r="L124" s="3">
        <f t="shared" ref="L124:L134" si="12">I124/H124</f>
        <v>0.9663633731120348</v>
      </c>
      <c r="M124" s="1"/>
    </row>
    <row r="125" spans="2:13">
      <c r="B125">
        <v>3</v>
      </c>
      <c r="C125" s="237"/>
      <c r="D125" s="80" t="s">
        <v>350</v>
      </c>
      <c r="E125" s="1" t="s">
        <v>19</v>
      </c>
      <c r="F125" s="1">
        <v>3202.0059999999999</v>
      </c>
      <c r="G125" s="1">
        <f>-1925-145-200</f>
        <v>-2270</v>
      </c>
      <c r="H125" s="1">
        <f t="shared" si="11"/>
        <v>932.00599999999986</v>
      </c>
      <c r="I125" s="104">
        <v>296.14400000000001</v>
      </c>
      <c r="J125" s="1"/>
      <c r="K125" s="1">
        <f t="shared" si="6"/>
        <v>635.86199999999985</v>
      </c>
      <c r="L125" s="3">
        <f t="shared" si="12"/>
        <v>0.31774902736677668</v>
      </c>
      <c r="M125" s="1"/>
    </row>
    <row r="126" spans="2:13">
      <c r="B126">
        <v>4</v>
      </c>
      <c r="C126" s="237"/>
      <c r="D126" s="80" t="s">
        <v>126</v>
      </c>
      <c r="E126" s="1" t="s">
        <v>19</v>
      </c>
      <c r="F126" s="1">
        <v>990.90499999999997</v>
      </c>
      <c r="G126" s="1">
        <f>-500-350-50</f>
        <v>-900</v>
      </c>
      <c r="H126" s="1">
        <f t="shared" si="11"/>
        <v>90.904999999999973</v>
      </c>
      <c r="I126" s="104">
        <v>0</v>
      </c>
      <c r="J126" s="1"/>
      <c r="K126" s="1">
        <f t="shared" si="6"/>
        <v>90.904999999999973</v>
      </c>
      <c r="L126" s="3">
        <f t="shared" si="12"/>
        <v>0</v>
      </c>
      <c r="M126" s="1"/>
    </row>
    <row r="127" spans="2:13">
      <c r="B127">
        <v>5</v>
      </c>
      <c r="C127" s="237"/>
      <c r="D127" s="80" t="s">
        <v>127</v>
      </c>
      <c r="E127" s="1" t="s">
        <v>19</v>
      </c>
      <c r="F127" s="1">
        <v>1046.5119999999999</v>
      </c>
      <c r="G127" s="1">
        <f>-240-200</f>
        <v>-440</v>
      </c>
      <c r="H127" s="1">
        <f t="shared" si="11"/>
        <v>606.51199999999994</v>
      </c>
      <c r="I127" s="104">
        <v>375.75700000000006</v>
      </c>
      <c r="J127" s="1"/>
      <c r="K127" s="1">
        <f t="shared" si="6"/>
        <v>230.75499999999988</v>
      </c>
      <c r="L127" s="3">
        <f t="shared" si="12"/>
        <v>0.61953761838182941</v>
      </c>
      <c r="M127" s="1"/>
    </row>
    <row r="128" spans="2:13">
      <c r="B128">
        <v>6</v>
      </c>
      <c r="C128" s="237"/>
      <c r="D128" s="80" t="s">
        <v>128</v>
      </c>
      <c r="E128" s="1" t="s">
        <v>19</v>
      </c>
      <c r="F128" s="1">
        <v>635.77800000000002</v>
      </c>
      <c r="G128" s="1">
        <f>-180-356</f>
        <v>-536</v>
      </c>
      <c r="H128" s="1">
        <f t="shared" si="11"/>
        <v>99.77800000000002</v>
      </c>
      <c r="I128" s="104">
        <v>0</v>
      </c>
      <c r="J128" s="1"/>
      <c r="K128" s="1">
        <f t="shared" si="6"/>
        <v>99.77800000000002</v>
      </c>
      <c r="L128" s="3">
        <f t="shared" si="12"/>
        <v>0</v>
      </c>
      <c r="M128" s="1"/>
    </row>
    <row r="129" spans="2:13">
      <c r="B129">
        <v>7</v>
      </c>
      <c r="C129" s="237"/>
      <c r="D129" s="80" t="s">
        <v>129</v>
      </c>
      <c r="E129" s="1" t="s">
        <v>19</v>
      </c>
      <c r="F129" s="1">
        <v>524.52700000000004</v>
      </c>
      <c r="G129" s="1">
        <f>-336-150</f>
        <v>-486</v>
      </c>
      <c r="H129" s="1">
        <f t="shared" si="11"/>
        <v>38.527000000000044</v>
      </c>
      <c r="I129" s="104">
        <v>14.33</v>
      </c>
      <c r="J129" s="1"/>
      <c r="K129" s="1">
        <f>H129-(I129+J129)</f>
        <v>24.197000000000045</v>
      </c>
      <c r="L129" s="3">
        <f>I129/H129</f>
        <v>0.37194694629740138</v>
      </c>
      <c r="M129" s="1"/>
    </row>
    <row r="130" spans="2:13">
      <c r="B130">
        <v>8</v>
      </c>
      <c r="C130" s="237"/>
      <c r="D130" s="80" t="s">
        <v>130</v>
      </c>
      <c r="E130" s="1" t="s">
        <v>19</v>
      </c>
      <c r="F130" s="1">
        <v>2622.5540000000001</v>
      </c>
      <c r="G130" s="1">
        <f>-1534.656-704.611</f>
        <v>-2239.2669999999998</v>
      </c>
      <c r="H130" s="1">
        <f t="shared" si="11"/>
        <v>383.28700000000026</v>
      </c>
      <c r="I130" s="104">
        <v>278.22399999999999</v>
      </c>
      <c r="J130" s="1"/>
      <c r="K130" s="1">
        <f>H130-(I130+J130)</f>
        <v>105.06300000000027</v>
      </c>
      <c r="L130" s="3">
        <f>I130/H130</f>
        <v>0.72588947707592433</v>
      </c>
      <c r="M130" s="1"/>
    </row>
    <row r="131" spans="2:13">
      <c r="B131">
        <v>9</v>
      </c>
      <c r="C131" s="237"/>
      <c r="D131" s="80" t="s">
        <v>131</v>
      </c>
      <c r="E131" s="1" t="s">
        <v>19</v>
      </c>
      <c r="F131" s="1">
        <v>463.89100000000002</v>
      </c>
      <c r="G131" s="1">
        <f>-315-53</f>
        <v>-368</v>
      </c>
      <c r="H131" s="1">
        <f t="shared" si="11"/>
        <v>95.89100000000002</v>
      </c>
      <c r="I131" s="104">
        <v>13.338000000000001</v>
      </c>
      <c r="J131" s="1"/>
      <c r="K131" s="1">
        <f t="shared" si="6"/>
        <v>82.553000000000026</v>
      </c>
      <c r="L131" s="3">
        <f t="shared" si="12"/>
        <v>0.13909543127092217</v>
      </c>
      <c r="M131" s="1"/>
    </row>
    <row r="132" spans="2:13">
      <c r="B132">
        <v>10</v>
      </c>
      <c r="C132" s="237"/>
      <c r="D132" s="80" t="s">
        <v>132</v>
      </c>
      <c r="E132" s="1" t="s">
        <v>19</v>
      </c>
      <c r="F132" s="1">
        <v>338.21499999999997</v>
      </c>
      <c r="G132" s="1"/>
      <c r="H132" s="1">
        <f t="shared" si="11"/>
        <v>338.21499999999997</v>
      </c>
      <c r="I132" s="104">
        <v>4.1000000000000002E-2</v>
      </c>
      <c r="J132" s="1"/>
      <c r="K132" s="1">
        <f t="shared" si="6"/>
        <v>338.17399999999998</v>
      </c>
      <c r="L132" s="3">
        <f t="shared" si="12"/>
        <v>1.2122466478423489E-4</v>
      </c>
      <c r="M132" s="1"/>
    </row>
    <row r="133" spans="2:13">
      <c r="B133">
        <v>11</v>
      </c>
      <c r="C133" s="237"/>
      <c r="D133" s="80" t="s">
        <v>133</v>
      </c>
      <c r="E133" s="1" t="s">
        <v>19</v>
      </c>
      <c r="F133" s="1">
        <v>0</v>
      </c>
      <c r="G133" s="1"/>
      <c r="H133" s="1">
        <f t="shared" si="11"/>
        <v>0</v>
      </c>
      <c r="I133" s="25"/>
      <c r="J133" s="1"/>
      <c r="K133" s="1">
        <f t="shared" si="6"/>
        <v>0</v>
      </c>
      <c r="L133" s="3">
        <v>0</v>
      </c>
      <c r="M133" s="1"/>
    </row>
    <row r="134" spans="2:13">
      <c r="C134" s="237"/>
      <c r="D134" s="81" t="s">
        <v>267</v>
      </c>
      <c r="E134" s="32" t="s">
        <v>19</v>
      </c>
      <c r="F134">
        <f>SUM(F123:F133)</f>
        <v>13296.959000000001</v>
      </c>
      <c r="G134">
        <f>SUM(G123:G133)</f>
        <v>-10419.267</v>
      </c>
      <c r="H134" s="32">
        <f>F134+G134</f>
        <v>2877.6920000000009</v>
      </c>
      <c r="I134" s="57">
        <f>SUM(I123:I133)</f>
        <v>1255.559</v>
      </c>
      <c r="J134" s="11">
        <f>SUM(J123:J133)</f>
        <v>0</v>
      </c>
      <c r="K134" s="32">
        <f t="shared" si="6"/>
        <v>1622.1330000000009</v>
      </c>
      <c r="L134" s="48">
        <f t="shared" si="12"/>
        <v>0.43630763820450541</v>
      </c>
    </row>
    <row r="136" spans="2:13">
      <c r="G136" s="35">
        <f>SUM(G7:G133)</f>
        <v>124106.64700000003</v>
      </c>
    </row>
  </sheetData>
  <mergeCells count="9">
    <mergeCell ref="C23:C103"/>
    <mergeCell ref="C105:C107"/>
    <mergeCell ref="C109:C121"/>
    <mergeCell ref="C123:C134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R43"/>
  <sheetViews>
    <sheetView workbookViewId="0">
      <selection activeCell="P26" sqref="P26"/>
    </sheetView>
  </sheetViews>
  <sheetFormatPr baseColWidth="10" defaultRowHeight="1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>
      <c r="B2" s="243" t="s">
        <v>286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</row>
    <row r="3" spans="2:18">
      <c r="B3" s="244">
        <f>RESUMEN!B3</f>
        <v>44020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5" spans="2:18" ht="47.25" customHeight="1">
      <c r="B5" s="19" t="s">
        <v>46</v>
      </c>
      <c r="C5" s="19" t="s">
        <v>35</v>
      </c>
      <c r="D5" s="19" t="s">
        <v>0</v>
      </c>
      <c r="E5" s="19" t="s">
        <v>159</v>
      </c>
      <c r="F5" s="19" t="s">
        <v>176</v>
      </c>
      <c r="G5" s="19" t="s">
        <v>177</v>
      </c>
      <c r="H5" s="19" t="s">
        <v>178</v>
      </c>
      <c r="I5" s="19" t="s">
        <v>179</v>
      </c>
      <c r="J5" s="19" t="s">
        <v>210</v>
      </c>
      <c r="K5" s="19" t="s">
        <v>187</v>
      </c>
      <c r="L5" s="19" t="s">
        <v>181</v>
      </c>
      <c r="M5" s="19" t="s">
        <v>182</v>
      </c>
      <c r="N5" s="19" t="s">
        <v>183</v>
      </c>
      <c r="O5" s="19" t="s">
        <v>184</v>
      </c>
      <c r="P5" s="19" t="s">
        <v>185</v>
      </c>
      <c r="Q5" s="19" t="s">
        <v>186</v>
      </c>
      <c r="R5" s="40" t="s">
        <v>240</v>
      </c>
    </row>
    <row r="6" spans="2:18">
      <c r="B6" s="241" t="s">
        <v>188</v>
      </c>
      <c r="C6" s="15" t="s">
        <v>148</v>
      </c>
      <c r="D6" s="1" t="s">
        <v>19</v>
      </c>
      <c r="E6" s="1">
        <f>Anchoveta!H7+'Sardina comun'!H7</f>
        <v>455.96799999999985</v>
      </c>
      <c r="F6" s="1">
        <f>E6*0.4</f>
        <v>182.38719999999995</v>
      </c>
      <c r="G6" s="28">
        <f>Anchoveta!I7</f>
        <v>55.59</v>
      </c>
      <c r="H6" s="28">
        <f>'Sardina comun'!I7</f>
        <v>0</v>
      </c>
      <c r="I6" s="1">
        <f>G6+H6</f>
        <v>55.59</v>
      </c>
      <c r="J6" s="1">
        <f>Anchoveta!J7+'Sardina comun'!J7</f>
        <v>0</v>
      </c>
      <c r="K6" s="1">
        <f>Anchoveta!K7</f>
        <v>261.16399999999987</v>
      </c>
      <c r="L6" s="1">
        <f>'Sardina comun'!K7</f>
        <v>139.21399999999994</v>
      </c>
      <c r="M6" s="1">
        <f>K6+L6</f>
        <v>400.37799999999982</v>
      </c>
      <c r="N6" s="38" t="str">
        <f>IF(K6&lt;0,K6,IF(K6&lt;0,L6,IF(L6&lt;0,L6,IF(L6&gt;0,"0","0"))))</f>
        <v>0</v>
      </c>
      <c r="O6" s="1"/>
      <c r="P6" s="6">
        <f>(I6+J6)/E6</f>
        <v>0.12191645027721248</v>
      </c>
      <c r="Q6" s="6">
        <f>N6/E6</f>
        <v>0</v>
      </c>
      <c r="R6" s="1"/>
    </row>
    <row r="7" spans="2:18">
      <c r="B7" s="241"/>
      <c r="C7" s="15" t="s">
        <v>149</v>
      </c>
      <c r="D7" s="1" t="s">
        <v>19</v>
      </c>
      <c r="E7" s="1">
        <f>Anchoveta!H8+'Sardina comun'!H8</f>
        <v>0</v>
      </c>
      <c r="F7" s="1">
        <f>E7*0.4</f>
        <v>0</v>
      </c>
      <c r="G7" s="28">
        <f>Anchoveta!I8</f>
        <v>0</v>
      </c>
      <c r="H7" s="28">
        <f>'Sardina comun'!I8</f>
        <v>0</v>
      </c>
      <c r="I7" s="1">
        <f>G7+H7</f>
        <v>0</v>
      </c>
      <c r="J7" s="1">
        <f>Anchoveta!J8+'Sardina comun'!J8</f>
        <v>0</v>
      </c>
      <c r="K7" s="1">
        <f>Anchoveta!K8</f>
        <v>0</v>
      </c>
      <c r="L7" s="1">
        <f>'Sardina comun'!K8</f>
        <v>0</v>
      </c>
      <c r="M7" s="1">
        <f>K7+L7</f>
        <v>0</v>
      </c>
      <c r="N7" s="38" t="str">
        <f t="shared" ref="N7:N11" si="0">IF(K7&lt;0,K7,IF(K7&lt;0,L7,IF(L7&lt;0,L7,IF(L7&gt;0,"0","0"))))</f>
        <v>0</v>
      </c>
      <c r="O7" s="33">
        <f>Anchoveta!M8</f>
        <v>43966</v>
      </c>
      <c r="P7" s="6">
        <v>1</v>
      </c>
      <c r="Q7" s="6">
        <v>0</v>
      </c>
      <c r="R7" s="1"/>
    </row>
    <row r="8" spans="2:18">
      <c r="B8" s="241"/>
      <c r="C8" s="16" t="s">
        <v>150</v>
      </c>
      <c r="D8" s="25" t="s">
        <v>19</v>
      </c>
      <c r="E8" s="1">
        <f>Anchoveta!H9+'Sardina comun'!H9</f>
        <v>2.839</v>
      </c>
      <c r="F8" s="1">
        <f>E8*0.4</f>
        <v>1.1355999999999999</v>
      </c>
      <c r="G8" s="28">
        <f>Anchoveta!I9</f>
        <v>0</v>
      </c>
      <c r="H8" s="28">
        <f>'Sardina comun'!I9</f>
        <v>0.8</v>
      </c>
      <c r="I8" s="1">
        <f>G8+H8</f>
        <v>0.8</v>
      </c>
      <c r="J8" s="1">
        <f>Anchoveta!J9+'Sardina comun'!J9</f>
        <v>0</v>
      </c>
      <c r="K8" s="1">
        <f>Anchoveta!K9</f>
        <v>0.11600000000000001</v>
      </c>
      <c r="L8" s="1">
        <f>'Sardina comun'!K9</f>
        <v>1.9229999999999998</v>
      </c>
      <c r="M8" s="1">
        <f>K8+L8</f>
        <v>2.0389999999999997</v>
      </c>
      <c r="N8" s="38" t="str">
        <f t="shared" si="0"/>
        <v>0</v>
      </c>
      <c r="O8" s="1"/>
      <c r="P8" s="6">
        <f t="shared" ref="P8:P42" si="1">(I8+J8)/E8</f>
        <v>0.28178936245156749</v>
      </c>
      <c r="Q8" s="6">
        <f t="shared" ref="Q8:Q11" si="2">N8/E8</f>
        <v>0</v>
      </c>
      <c r="R8" s="1"/>
    </row>
    <row r="9" spans="2:18" s="11" customFormat="1">
      <c r="B9" s="241"/>
      <c r="C9" s="16" t="s">
        <v>304</v>
      </c>
      <c r="D9" s="25" t="s">
        <v>19</v>
      </c>
      <c r="E9" s="1">
        <f>Anchoveta!H10+'Sardina comun'!H10</f>
        <v>37.359000000000002</v>
      </c>
      <c r="F9" s="1">
        <f t="shared" ref="F9:F10" si="3">E9*0.4</f>
        <v>14.943600000000002</v>
      </c>
      <c r="G9" s="39">
        <f>Anchoveta!I10</f>
        <v>0</v>
      </c>
      <c r="H9" s="39">
        <f>'Sardina comun'!I10</f>
        <v>0</v>
      </c>
      <c r="I9" s="1">
        <f t="shared" ref="I9:I10" si="4">G9+H9</f>
        <v>0</v>
      </c>
      <c r="J9" s="1">
        <f>Anchoveta!J10+'Sardina comun'!J10</f>
        <v>0</v>
      </c>
      <c r="K9" s="1">
        <f>Anchoveta!K10</f>
        <v>5.8479999999999999</v>
      </c>
      <c r="L9" s="1">
        <f>'Sardina comun'!K10</f>
        <v>31.510999999999999</v>
      </c>
      <c r="M9" s="1">
        <f t="shared" ref="M9:M10" si="5">K9+L9</f>
        <v>37.359000000000002</v>
      </c>
      <c r="N9" s="91" t="str">
        <f t="shared" ref="N9:N10" si="6">IF(K9&lt;0,K9,IF(K9&lt;0,L9,IF(L9&lt;0,L9,IF(L9&gt;0,"0","0"))))</f>
        <v>0</v>
      </c>
      <c r="O9" s="1"/>
      <c r="P9" s="6">
        <f t="shared" ref="P9:P10" si="7">(I9+J9)/E9</f>
        <v>0</v>
      </c>
      <c r="Q9" s="6">
        <f t="shared" ref="Q9:Q10" si="8">N9/E9</f>
        <v>0</v>
      </c>
      <c r="R9" s="1"/>
    </row>
    <row r="10" spans="2:18" s="11" customFormat="1">
      <c r="B10" s="241"/>
      <c r="C10" s="16" t="s">
        <v>305</v>
      </c>
      <c r="D10" s="25" t="s">
        <v>19</v>
      </c>
      <c r="E10" s="1">
        <f>Anchoveta!H11+'Sardina comun'!H11</f>
        <v>1.718</v>
      </c>
      <c r="F10" s="1">
        <f t="shared" si="3"/>
        <v>0.68720000000000003</v>
      </c>
      <c r="G10" s="39">
        <f>Anchoveta!I11</f>
        <v>0</v>
      </c>
      <c r="H10" s="39">
        <f>'Sardina comun'!I11</f>
        <v>0</v>
      </c>
      <c r="I10" s="1">
        <f t="shared" si="4"/>
        <v>0</v>
      </c>
      <c r="J10" s="1">
        <f>Anchoveta!J11+'Sardina comun'!J11</f>
        <v>0</v>
      </c>
      <c r="K10" s="1">
        <f>Anchoveta!K11</f>
        <v>1.9E-2</v>
      </c>
      <c r="L10" s="1">
        <f>'Sardina comun'!K11</f>
        <v>1.6990000000000001</v>
      </c>
      <c r="M10" s="1">
        <f t="shared" si="5"/>
        <v>1.718</v>
      </c>
      <c r="N10" s="91" t="str">
        <f t="shared" si="6"/>
        <v>0</v>
      </c>
      <c r="O10" s="1"/>
      <c r="P10" s="6">
        <f t="shared" si="7"/>
        <v>0</v>
      </c>
      <c r="Q10" s="6">
        <f t="shared" si="8"/>
        <v>0</v>
      </c>
      <c r="R10" s="1"/>
    </row>
    <row r="11" spans="2:18">
      <c r="B11" s="241"/>
      <c r="C11" s="15" t="s">
        <v>151</v>
      </c>
      <c r="D11" s="25" t="s">
        <v>19</v>
      </c>
      <c r="E11" s="1">
        <f>Anchoveta!H12+'Sardina comun'!H12</f>
        <v>840.07400000000007</v>
      </c>
      <c r="F11" s="1">
        <f>E11*0.4</f>
        <v>336.02960000000007</v>
      </c>
      <c r="G11" s="28">
        <f>Anchoveta!I12</f>
        <v>221.173</v>
      </c>
      <c r="H11" s="28">
        <f>'Sardina comun'!I12</f>
        <v>403.67700000000002</v>
      </c>
      <c r="I11" s="1">
        <f>G11+H11</f>
        <v>624.85</v>
      </c>
      <c r="J11" s="1">
        <f>Anchoveta!J12+'Sardina comun'!J12</f>
        <v>0</v>
      </c>
      <c r="K11" s="1">
        <f>Anchoveta!K12</f>
        <v>-145.49700000000001</v>
      </c>
      <c r="L11" s="1">
        <f>'Sardina comun'!K12</f>
        <v>360.721</v>
      </c>
      <c r="M11" s="1">
        <f>K11+L11</f>
        <v>215.22399999999999</v>
      </c>
      <c r="N11" s="38">
        <f t="shared" si="0"/>
        <v>-145.49700000000001</v>
      </c>
      <c r="O11" s="165">
        <f>Anchoveta!M12</f>
        <v>43937</v>
      </c>
      <c r="P11" s="6">
        <f t="shared" si="1"/>
        <v>0.74380352207067468</v>
      </c>
      <c r="Q11" s="61">
        <f t="shared" si="2"/>
        <v>-0.17319545659072891</v>
      </c>
      <c r="R11" s="39">
        <f>+-N11-F11</f>
        <v>-190.53260000000006</v>
      </c>
    </row>
    <row r="12" spans="2:18">
      <c r="G12" s="29"/>
      <c r="H12" s="29"/>
    </row>
    <row r="13" spans="2:18">
      <c r="B13" s="24" t="s">
        <v>189</v>
      </c>
      <c r="C13" s="15" t="s">
        <v>46</v>
      </c>
      <c r="D13" s="25" t="s">
        <v>19</v>
      </c>
      <c r="E13" s="1">
        <f>Anchoveta!H15+'Sardina comun'!H15</f>
        <v>132</v>
      </c>
      <c r="F13" s="1">
        <f>E13*0.4</f>
        <v>52.800000000000004</v>
      </c>
      <c r="G13" s="28">
        <f>Anchoveta!I15</f>
        <v>0</v>
      </c>
      <c r="H13" s="28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50</v>
      </c>
      <c r="L13" s="1">
        <f>'Sardina comun'!K15</f>
        <v>82</v>
      </c>
      <c r="M13" s="1">
        <f>K13+L13</f>
        <v>132</v>
      </c>
      <c r="N13" s="39" t="str">
        <f>IF(K13&lt;0,K13,IF(K13&lt;0,L13,IF(L13&lt;0,L13,IF(L13&gt;0,"0","0"))))</f>
        <v>0</v>
      </c>
      <c r="O13" s="1"/>
      <c r="P13" s="113">
        <f t="shared" si="1"/>
        <v>0</v>
      </c>
      <c r="Q13" s="113">
        <f>N13/E13</f>
        <v>0</v>
      </c>
      <c r="R13" s="1"/>
    </row>
    <row r="14" spans="2:18">
      <c r="G14" s="29"/>
      <c r="H14" s="29"/>
    </row>
    <row r="15" spans="2:18">
      <c r="B15" s="242" t="s">
        <v>190</v>
      </c>
      <c r="C15" s="15" t="s">
        <v>145</v>
      </c>
      <c r="D15" s="1" t="s">
        <v>19</v>
      </c>
      <c r="E15" s="1">
        <f>Anchoveta!H18+'Sardina comun'!H18</f>
        <v>1218.848</v>
      </c>
      <c r="F15" s="1">
        <f>E15*0.4</f>
        <v>487.53919999999999</v>
      </c>
      <c r="G15" s="28">
        <f>Anchoveta!I18</f>
        <v>72.34</v>
      </c>
      <c r="H15" s="28">
        <f>'Sardina comun'!I18</f>
        <v>105.934</v>
      </c>
      <c r="I15" s="1">
        <f>G15+H15</f>
        <v>178.274</v>
      </c>
      <c r="J15" s="1">
        <f>Anchoveta!J18+'Sardina comun'!J18</f>
        <v>0</v>
      </c>
      <c r="K15" s="1">
        <f>Anchoveta!K18</f>
        <v>410.75400000000002</v>
      </c>
      <c r="L15" s="1">
        <f>'Sardina comun'!K18</f>
        <v>629.82000000000005</v>
      </c>
      <c r="M15" s="1">
        <f>K15+L15</f>
        <v>1040.5740000000001</v>
      </c>
      <c r="N15" s="39" t="str">
        <f>IF(K15&lt;0,K15,IF(K15&lt;0,L15,IF(L15&lt;0,L15,IF(L15&gt;0,"0","0"))))</f>
        <v>0</v>
      </c>
      <c r="O15" s="1"/>
      <c r="P15" s="113">
        <f t="shared" si="1"/>
        <v>0.14626434141090605</v>
      </c>
      <c r="Q15" s="113">
        <f>N15/E15</f>
        <v>0</v>
      </c>
      <c r="R15" s="1"/>
    </row>
    <row r="16" spans="2:18">
      <c r="B16" s="242"/>
      <c r="C16" s="15" t="s">
        <v>146</v>
      </c>
      <c r="D16" s="25" t="s">
        <v>19</v>
      </c>
      <c r="E16" s="1">
        <f>Anchoveta!H19+'Sardina comun'!H19</f>
        <v>2.9999999999859028E-3</v>
      </c>
      <c r="F16" s="1">
        <f>E16*0.4</f>
        <v>1.1999999999943612E-3</v>
      </c>
      <c r="G16" s="28">
        <f>Anchoveta!I19</f>
        <v>0</v>
      </c>
      <c r="H16" s="28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9.9999999997635314E-4</v>
      </c>
      <c r="L16" s="1">
        <f>'Sardina comun'!K19</f>
        <v>2.0000000000095497E-3</v>
      </c>
      <c r="M16" s="1">
        <f>K16+L16</f>
        <v>2.9999999999859028E-3</v>
      </c>
      <c r="N16" s="39" t="str">
        <f t="shared" ref="N16:N31" si="9">IF(K16&lt;0,K16,IF(K16&lt;0,L16,IF(L16&lt;0,L16,IF(L16&gt;0,"0","0"))))</f>
        <v>0</v>
      </c>
      <c r="O16" s="1"/>
      <c r="P16" s="113">
        <f t="shared" si="1"/>
        <v>0</v>
      </c>
      <c r="Q16" s="113">
        <f t="shared" ref="Q16:Q42" si="10">N16/E16</f>
        <v>0</v>
      </c>
      <c r="R16" s="1"/>
    </row>
    <row r="17" spans="2:18">
      <c r="B17" s="242"/>
      <c r="C17" s="15" t="s">
        <v>147</v>
      </c>
      <c r="D17" s="25" t="s">
        <v>19</v>
      </c>
      <c r="E17" s="1">
        <f>Anchoveta!H20+'Sardina comun'!H20</f>
        <v>204.3</v>
      </c>
      <c r="F17" s="1">
        <f>E17*0.4</f>
        <v>81.720000000000013</v>
      </c>
      <c r="G17" s="28">
        <f>Anchoveta!I20</f>
        <v>0</v>
      </c>
      <c r="H17" s="28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80.974999999999994</v>
      </c>
      <c r="L17" s="1">
        <f>'Sardina comun'!K20</f>
        <v>123.325</v>
      </c>
      <c r="M17" s="1">
        <f>K17+L17</f>
        <v>204.3</v>
      </c>
      <c r="N17" s="39" t="str">
        <f t="shared" si="9"/>
        <v>0</v>
      </c>
      <c r="O17" s="1"/>
      <c r="P17" s="113">
        <f t="shared" si="1"/>
        <v>0</v>
      </c>
      <c r="Q17" s="113">
        <f t="shared" si="10"/>
        <v>0</v>
      </c>
      <c r="R17" s="1"/>
    </row>
    <row r="18" spans="2:18">
      <c r="G18" s="29"/>
      <c r="H18" s="29"/>
    </row>
    <row r="19" spans="2:18">
      <c r="B19" s="19" t="s">
        <v>191</v>
      </c>
      <c r="C19" s="15" t="s">
        <v>46</v>
      </c>
      <c r="D19" s="1" t="s">
        <v>19</v>
      </c>
      <c r="E19" s="1">
        <f>Anchoveta!H105+'Sardina comun'!H105</f>
        <v>5616</v>
      </c>
      <c r="F19" s="1">
        <f>E19*0.4</f>
        <v>2246.4</v>
      </c>
      <c r="G19" s="28">
        <f>Anchoveta!I105</f>
        <v>964.32</v>
      </c>
      <c r="H19" s="28">
        <f>'Sardina comun'!I105</f>
        <v>4891.9669999999996</v>
      </c>
      <c r="I19" s="1">
        <f>G19+H19</f>
        <v>5856.2869999999994</v>
      </c>
      <c r="J19" s="1">
        <f>Anchoveta!J105+'Sardina comun'!J105</f>
        <v>0</v>
      </c>
      <c r="K19" s="1">
        <f>Anchoveta!K105</f>
        <v>578.67999999999995</v>
      </c>
      <c r="L19" s="1">
        <f>'Sardina comun'!K105</f>
        <v>-818.96699999999964</v>
      </c>
      <c r="M19" s="1">
        <f>K19+L19</f>
        <v>-240.28699999999969</v>
      </c>
      <c r="N19" s="39">
        <f t="shared" si="9"/>
        <v>-818.96699999999964</v>
      </c>
      <c r="O19" s="33">
        <f>Anchoveta!M105</f>
        <v>43956</v>
      </c>
      <c r="P19" s="113">
        <f t="shared" si="1"/>
        <v>1.0427861467236466</v>
      </c>
      <c r="Q19" s="113">
        <f t="shared" si="10"/>
        <v>-0.14582745726495719</v>
      </c>
      <c r="R19" s="1"/>
    </row>
    <row r="20" spans="2:18">
      <c r="G20" s="29"/>
      <c r="H20" s="29"/>
    </row>
    <row r="21" spans="2:18">
      <c r="B21" s="241" t="s">
        <v>192</v>
      </c>
      <c r="C21" s="15" t="s">
        <v>134</v>
      </c>
      <c r="D21" s="1" t="s">
        <v>19</v>
      </c>
      <c r="E21" s="1">
        <f>Anchoveta!H109+'Sardina comun'!H109</f>
        <v>2421.9839999999999</v>
      </c>
      <c r="F21" s="1">
        <f>E21*0.4</f>
        <v>968.79359999999997</v>
      </c>
      <c r="G21" s="28">
        <f>Anchoveta!I109</f>
        <v>86.872</v>
      </c>
      <c r="H21" s="28">
        <f>'Sardina comun'!I109</f>
        <v>304.90499999999997</v>
      </c>
      <c r="I21" s="1">
        <f>G21+H21</f>
        <v>391.77699999999999</v>
      </c>
      <c r="J21" s="1">
        <f>Anchoveta!J109+'Sardina comun'!J109</f>
        <v>0</v>
      </c>
      <c r="K21" s="1">
        <f>Anchoveta!K109</f>
        <v>627.18900000000008</v>
      </c>
      <c r="L21" s="1">
        <f>'Sardina comun'!K109</f>
        <v>1403.0179999999998</v>
      </c>
      <c r="M21" s="1">
        <f>K21+L21</f>
        <v>2030.2069999999999</v>
      </c>
      <c r="N21" s="39" t="str">
        <f t="shared" si="9"/>
        <v>0</v>
      </c>
      <c r="O21" s="1"/>
      <c r="P21" s="113">
        <f t="shared" si="1"/>
        <v>0.16175870691135863</v>
      </c>
      <c r="Q21" s="113">
        <f t="shared" si="10"/>
        <v>0</v>
      </c>
      <c r="R21" s="1"/>
    </row>
    <row r="22" spans="2:18">
      <c r="B22" s="241"/>
      <c r="C22" s="15" t="s">
        <v>135</v>
      </c>
      <c r="D22" s="25" t="s">
        <v>19</v>
      </c>
      <c r="E22" s="1">
        <f>Anchoveta!H110+'Sardina comun'!H110</f>
        <v>5120.5159999999996</v>
      </c>
      <c r="F22" s="1">
        <f t="shared" ref="F22:F31" si="11">E22*0.4</f>
        <v>2048.2064</v>
      </c>
      <c r="G22" s="28">
        <f>Anchoveta!I110</f>
        <v>384.976</v>
      </c>
      <c r="H22" s="28">
        <f>'Sardina comun'!I110</f>
        <v>3744.6089999999999</v>
      </c>
      <c r="I22" s="1">
        <f t="shared" ref="I22:I31" si="12">G22+H22</f>
        <v>4129.585</v>
      </c>
      <c r="J22" s="1">
        <f>Anchoveta!J110+'Sardina comun'!J110</f>
        <v>0</v>
      </c>
      <c r="K22" s="1">
        <f>Anchoveta!K110</f>
        <v>888.13800000000003</v>
      </c>
      <c r="L22" s="1">
        <f>'Sardina comun'!K110</f>
        <v>102.79300000000012</v>
      </c>
      <c r="M22" s="1">
        <f t="shared" ref="M22:M31" si="13">K22+L22</f>
        <v>990.93100000000015</v>
      </c>
      <c r="N22" s="39" t="str">
        <f t="shared" si="9"/>
        <v>0</v>
      </c>
      <c r="O22" s="1"/>
      <c r="P22" s="113">
        <f t="shared" si="1"/>
        <v>0.8064782924220919</v>
      </c>
      <c r="Q22" s="113">
        <f t="shared" si="10"/>
        <v>0</v>
      </c>
      <c r="R22" s="1"/>
    </row>
    <row r="23" spans="2:18">
      <c r="B23" s="241"/>
      <c r="C23" s="15" t="s">
        <v>136</v>
      </c>
      <c r="D23" s="25" t="s">
        <v>19</v>
      </c>
      <c r="E23" s="1">
        <f>Anchoveta!H111+'Sardina comun'!H111</f>
        <v>4056.6790000000001</v>
      </c>
      <c r="F23" s="1">
        <f t="shared" si="11"/>
        <v>1622.6716000000001</v>
      </c>
      <c r="G23" s="28">
        <f>Anchoveta!I111</f>
        <v>531.61400000000003</v>
      </c>
      <c r="H23" s="28">
        <f>'Sardina comun'!I111</f>
        <v>2614.2739999999999</v>
      </c>
      <c r="I23" s="1">
        <f t="shared" si="12"/>
        <v>3145.8879999999999</v>
      </c>
      <c r="J23" s="1">
        <f>Anchoveta!J111+'Sardina comun'!J111</f>
        <v>0</v>
      </c>
      <c r="K23" s="1">
        <f>Anchoveta!K111</f>
        <v>476.99799999999993</v>
      </c>
      <c r="L23" s="1">
        <f>'Sardina comun'!K111</f>
        <v>433.79300000000012</v>
      </c>
      <c r="M23" s="1">
        <f t="shared" si="13"/>
        <v>910.79100000000005</v>
      </c>
      <c r="N23" s="39" t="str">
        <f t="shared" si="9"/>
        <v>0</v>
      </c>
      <c r="O23" s="1"/>
      <c r="P23" s="113">
        <f t="shared" si="1"/>
        <v>0.77548359138102863</v>
      </c>
      <c r="Q23" s="113">
        <f t="shared" si="10"/>
        <v>0</v>
      </c>
      <c r="R23" s="1"/>
    </row>
    <row r="24" spans="2:18">
      <c r="B24" s="241"/>
      <c r="C24" s="15" t="s">
        <v>137</v>
      </c>
      <c r="D24" s="25" t="s">
        <v>19</v>
      </c>
      <c r="E24" s="1">
        <f>Anchoveta!H112+'Sardina comun'!H112</f>
        <v>3043.402</v>
      </c>
      <c r="F24" s="1">
        <f t="shared" si="11"/>
        <v>1217.3608000000002</v>
      </c>
      <c r="G24" s="28">
        <f>Anchoveta!I112</f>
        <v>412.78899999999999</v>
      </c>
      <c r="H24" s="28">
        <f>'Sardina comun'!I112</f>
        <v>1867.904</v>
      </c>
      <c r="I24" s="1">
        <f t="shared" si="12"/>
        <v>2280.6930000000002</v>
      </c>
      <c r="J24" s="1">
        <f>Anchoveta!J112+'Sardina comun'!J112</f>
        <v>0</v>
      </c>
      <c r="K24" s="1">
        <f>Anchoveta!K112</f>
        <v>343.89200000000005</v>
      </c>
      <c r="L24" s="1">
        <f>'Sardina comun'!K112</f>
        <v>418.81700000000001</v>
      </c>
      <c r="M24" s="1">
        <f t="shared" si="13"/>
        <v>762.70900000000006</v>
      </c>
      <c r="N24" s="39" t="str">
        <f t="shared" si="9"/>
        <v>0</v>
      </c>
      <c r="O24" s="1"/>
      <c r="P24" s="113">
        <f t="shared" si="1"/>
        <v>0.74938933469847235</v>
      </c>
      <c r="Q24" s="113">
        <f t="shared" si="10"/>
        <v>0</v>
      </c>
      <c r="R24" s="1"/>
    </row>
    <row r="25" spans="2:18">
      <c r="B25" s="241"/>
      <c r="C25" s="15" t="s">
        <v>138</v>
      </c>
      <c r="D25" s="25" t="s">
        <v>19</v>
      </c>
      <c r="E25" s="1">
        <f>Anchoveta!H113+'Sardina comun'!H113</f>
        <v>12714.302</v>
      </c>
      <c r="F25" s="1">
        <f t="shared" si="11"/>
        <v>5085.7208000000001</v>
      </c>
      <c r="G25" s="28">
        <f>Anchoveta!I113</f>
        <v>1399.8549999999998</v>
      </c>
      <c r="H25" s="28">
        <f>'Sardina comun'!I113</f>
        <v>9409.8940000000021</v>
      </c>
      <c r="I25" s="1">
        <f t="shared" si="12"/>
        <v>10809.749000000002</v>
      </c>
      <c r="J25" s="1">
        <f>Anchoveta!J113+'Sardina comun'!J113</f>
        <v>0</v>
      </c>
      <c r="K25" s="1">
        <f>Anchoveta!K113</f>
        <v>1761.3020000000004</v>
      </c>
      <c r="L25" s="1">
        <f>'Sardina comun'!K113</f>
        <v>143.25099999999838</v>
      </c>
      <c r="M25" s="1">
        <f t="shared" si="13"/>
        <v>1904.5529999999987</v>
      </c>
      <c r="N25" s="39" t="str">
        <f t="shared" si="9"/>
        <v>0</v>
      </c>
      <c r="O25" s="1"/>
      <c r="P25" s="113">
        <f t="shared" si="1"/>
        <v>0.85020388850288453</v>
      </c>
      <c r="Q25" s="113">
        <f t="shared" si="10"/>
        <v>0</v>
      </c>
      <c r="R25" s="1"/>
    </row>
    <row r="26" spans="2:18">
      <c r="B26" s="241"/>
      <c r="C26" s="15" t="s">
        <v>139</v>
      </c>
      <c r="D26" s="25" t="s">
        <v>19</v>
      </c>
      <c r="E26" s="1">
        <f>Anchoveta!H114+'Sardina comun'!H114</f>
        <v>2224.8469999999998</v>
      </c>
      <c r="F26" s="1">
        <f t="shared" si="11"/>
        <v>889.9387999999999</v>
      </c>
      <c r="G26" s="28">
        <f>Anchoveta!I114</f>
        <v>266.60700000000003</v>
      </c>
      <c r="H26" s="28">
        <f>'Sardina comun'!I114</f>
        <v>1899.029</v>
      </c>
      <c r="I26" s="1">
        <f t="shared" si="12"/>
        <v>2165.636</v>
      </c>
      <c r="J26" s="1">
        <f>Anchoveta!J114+'Sardina comun'!J114</f>
        <v>0</v>
      </c>
      <c r="K26" s="1">
        <f>Anchoveta!K114</f>
        <v>286.55699999999996</v>
      </c>
      <c r="L26" s="1">
        <f>'Sardina comun'!K114</f>
        <v>-227.346</v>
      </c>
      <c r="M26" s="1">
        <f t="shared" si="13"/>
        <v>59.210999999999956</v>
      </c>
      <c r="N26" s="39">
        <f t="shared" si="9"/>
        <v>-227.346</v>
      </c>
      <c r="O26" s="1"/>
      <c r="P26" s="113">
        <f t="shared" si="1"/>
        <v>0.97338648455376942</v>
      </c>
      <c r="Q26" s="113">
        <f t="shared" si="10"/>
        <v>-0.10218500418231008</v>
      </c>
      <c r="R26" s="1"/>
    </row>
    <row r="27" spans="2:18">
      <c r="B27" s="241"/>
      <c r="C27" s="15" t="s">
        <v>140</v>
      </c>
      <c r="D27" s="25" t="s">
        <v>19</v>
      </c>
      <c r="E27" s="1">
        <f>Anchoveta!H115+'Sardina comun'!H115</f>
        <v>2283.1639999999998</v>
      </c>
      <c r="F27" s="1">
        <f t="shared" si="11"/>
        <v>913.26559999999995</v>
      </c>
      <c r="G27" s="28">
        <f>Anchoveta!I115</f>
        <v>302.80100000000004</v>
      </c>
      <c r="H27" s="28">
        <f>'Sardina comun'!I115</f>
        <v>855.72299999999996</v>
      </c>
      <c r="I27" s="1">
        <f t="shared" si="12"/>
        <v>1158.5239999999999</v>
      </c>
      <c r="J27" s="1">
        <f>Anchoveta!J115+'Sardina comun'!J115</f>
        <v>0</v>
      </c>
      <c r="K27" s="1">
        <f>Anchoveta!K115</f>
        <v>264.86199999999997</v>
      </c>
      <c r="L27" s="1">
        <f>'Sardina comun'!K115</f>
        <v>859.77800000000002</v>
      </c>
      <c r="M27" s="1">
        <f t="shared" si="13"/>
        <v>1124.6399999999999</v>
      </c>
      <c r="N27" s="39" t="str">
        <f t="shared" si="9"/>
        <v>0</v>
      </c>
      <c r="O27" s="1"/>
      <c r="P27" s="113">
        <f t="shared" si="1"/>
        <v>0.50742040431611568</v>
      </c>
      <c r="Q27" s="113">
        <f t="shared" si="10"/>
        <v>0</v>
      </c>
      <c r="R27" s="1"/>
    </row>
    <row r="28" spans="2:18">
      <c r="B28" s="241"/>
      <c r="C28" s="15" t="s">
        <v>141</v>
      </c>
      <c r="D28" s="25" t="s">
        <v>19</v>
      </c>
      <c r="E28" s="1">
        <f>Anchoveta!H116+'Sardina comun'!H116</f>
        <v>2657.1970000000001</v>
      </c>
      <c r="F28" s="1">
        <f t="shared" si="11"/>
        <v>1062.8788000000002</v>
      </c>
      <c r="G28" s="28">
        <f>Anchoveta!I116</f>
        <v>233.65300000000002</v>
      </c>
      <c r="H28" s="28">
        <f>'Sardina comun'!I116</f>
        <v>1843.377</v>
      </c>
      <c r="I28" s="1">
        <f t="shared" si="12"/>
        <v>2077.0299999999997</v>
      </c>
      <c r="J28" s="1">
        <f>Anchoveta!J116+'Sardina comun'!J116</f>
        <v>0</v>
      </c>
      <c r="K28" s="1">
        <f>Anchoveta!K116</f>
        <v>427.00599999999997</v>
      </c>
      <c r="L28" s="1">
        <f>'Sardina comun'!K116</f>
        <v>153.16100000000006</v>
      </c>
      <c r="M28" s="1">
        <f t="shared" si="13"/>
        <v>580.16700000000003</v>
      </c>
      <c r="N28" s="39" t="str">
        <f t="shared" si="9"/>
        <v>0</v>
      </c>
      <c r="O28" s="1"/>
      <c r="P28" s="113">
        <f t="shared" si="1"/>
        <v>0.7816620295747736</v>
      </c>
      <c r="Q28" s="113">
        <f t="shared" si="10"/>
        <v>0</v>
      </c>
      <c r="R28" s="1"/>
    </row>
    <row r="29" spans="2:18">
      <c r="B29" s="241"/>
      <c r="C29" s="15" t="s">
        <v>142</v>
      </c>
      <c r="D29" s="25" t="s">
        <v>19</v>
      </c>
      <c r="E29" s="1">
        <f>Anchoveta!H117+'Sardina comun'!H117</f>
        <v>990.88200000000006</v>
      </c>
      <c r="F29" s="1">
        <f t="shared" si="11"/>
        <v>396.35280000000006</v>
      </c>
      <c r="G29" s="28">
        <f>Anchoveta!I117</f>
        <v>56.246999999999993</v>
      </c>
      <c r="H29" s="28">
        <f>'Sardina comun'!I117</f>
        <v>342.36299999999994</v>
      </c>
      <c r="I29" s="1">
        <f t="shared" si="12"/>
        <v>398.60999999999996</v>
      </c>
      <c r="J29" s="1">
        <f>Anchoveta!J117+'Sardina comun'!J117</f>
        <v>0</v>
      </c>
      <c r="K29" s="1">
        <f>Anchoveta!K117</f>
        <v>190.11600000000001</v>
      </c>
      <c r="L29" s="1">
        <f>'Sardina comun'!K117</f>
        <v>402.15600000000006</v>
      </c>
      <c r="M29" s="1">
        <f t="shared" si="13"/>
        <v>592.27200000000005</v>
      </c>
      <c r="N29" s="39" t="str">
        <f t="shared" si="9"/>
        <v>0</v>
      </c>
      <c r="O29" s="1"/>
      <c r="P29" s="113">
        <f t="shared" si="1"/>
        <v>0.40227797053534115</v>
      </c>
      <c r="Q29" s="113">
        <f t="shared" si="10"/>
        <v>0</v>
      </c>
      <c r="R29" s="1"/>
    </row>
    <row r="30" spans="2:18">
      <c r="B30" s="241"/>
      <c r="C30" s="15" t="s">
        <v>143</v>
      </c>
      <c r="D30" s="25" t="s">
        <v>19</v>
      </c>
      <c r="E30" s="1">
        <f>Anchoveta!H118+'Sardina comun'!H118</f>
        <v>580.952</v>
      </c>
      <c r="F30" s="1">
        <f t="shared" si="11"/>
        <v>232.38080000000002</v>
      </c>
      <c r="G30" s="28">
        <f>Anchoveta!I118</f>
        <v>0</v>
      </c>
      <c r="H30" s="28">
        <f>'Sardina comun'!I118</f>
        <v>0</v>
      </c>
      <c r="I30" s="1">
        <f t="shared" si="12"/>
        <v>0</v>
      </c>
      <c r="J30" s="1">
        <f>Anchoveta!J118+'Sardina comun'!J118</f>
        <v>0</v>
      </c>
      <c r="K30" s="1">
        <f>Anchoveta!K118</f>
        <v>144.69900000000001</v>
      </c>
      <c r="L30" s="1">
        <f>'Sardina comun'!K118</f>
        <v>436.25299999999999</v>
      </c>
      <c r="M30" s="1">
        <f t="shared" si="13"/>
        <v>580.952</v>
      </c>
      <c r="N30" s="39" t="str">
        <f t="shared" si="9"/>
        <v>0</v>
      </c>
      <c r="O30" s="1"/>
      <c r="P30" s="113">
        <f t="shared" si="1"/>
        <v>0</v>
      </c>
      <c r="Q30" s="113">
        <f t="shared" si="10"/>
        <v>0</v>
      </c>
      <c r="R30" s="1"/>
    </row>
    <row r="31" spans="2:18">
      <c r="B31" s="241"/>
      <c r="C31" s="15" t="s">
        <v>144</v>
      </c>
      <c r="D31" s="25" t="s">
        <v>19</v>
      </c>
      <c r="E31" s="1">
        <f>Anchoveta!H119+'Sardina comun'!H119</f>
        <v>479.37400000000002</v>
      </c>
      <c r="F31" s="1">
        <f t="shared" si="11"/>
        <v>191.74960000000002</v>
      </c>
      <c r="G31" s="28">
        <f>Anchoveta!I119</f>
        <v>58.856000000000002</v>
      </c>
      <c r="H31" s="28">
        <f>'Sardina comun'!I119</f>
        <v>192.47899999999998</v>
      </c>
      <c r="I31" s="1">
        <f t="shared" si="12"/>
        <v>251.33499999999998</v>
      </c>
      <c r="J31" s="1">
        <f>Anchoveta!J119+'Sardina comun'!J119</f>
        <v>0</v>
      </c>
      <c r="K31" s="1">
        <f>Anchoveta!K119</f>
        <v>60.330999999999996</v>
      </c>
      <c r="L31" s="1">
        <f>'Sardina comun'!K119</f>
        <v>167.70800000000003</v>
      </c>
      <c r="M31" s="1">
        <f t="shared" si="13"/>
        <v>228.03900000000002</v>
      </c>
      <c r="N31" s="39" t="str">
        <f t="shared" si="9"/>
        <v>0</v>
      </c>
      <c r="O31" s="1"/>
      <c r="P31" s="113">
        <f t="shared" si="1"/>
        <v>0.52429835577231965</v>
      </c>
      <c r="Q31" s="113">
        <f t="shared" si="10"/>
        <v>0</v>
      </c>
      <c r="R31" s="1"/>
    </row>
    <row r="32" spans="2:18">
      <c r="G32" s="29"/>
      <c r="H32" s="29"/>
    </row>
    <row r="33" spans="2:18">
      <c r="B33" s="241" t="s">
        <v>193</v>
      </c>
      <c r="C33" s="18" t="s">
        <v>123</v>
      </c>
      <c r="D33" s="1" t="s">
        <v>19</v>
      </c>
      <c r="E33" s="1">
        <f>Anchoveta!H123+'Sardina comun'!H123</f>
        <v>67.549000000000035</v>
      </c>
      <c r="F33" s="1">
        <f>E33*0.4</f>
        <v>27.019600000000015</v>
      </c>
      <c r="G33" s="28">
        <f>Anchoveta!I123</f>
        <v>8.4789999999999992</v>
      </c>
      <c r="H33" s="28">
        <f>'Sardina comun'!I123</f>
        <v>24.100999999999999</v>
      </c>
      <c r="I33" s="1">
        <f>G33+H33</f>
        <v>32.58</v>
      </c>
      <c r="J33" s="1">
        <f>Anchoveta!J123+'Sardina comun'!J123</f>
        <v>0</v>
      </c>
      <c r="K33" s="1">
        <f>Anchoveta!K123</f>
        <v>28.951000000000008</v>
      </c>
      <c r="L33" s="1">
        <f>'Sardina comun'!K123</f>
        <v>6.0180000000000291</v>
      </c>
      <c r="M33" s="1">
        <f>K33+L33</f>
        <v>34.969000000000037</v>
      </c>
      <c r="N33" s="39" t="str">
        <f t="shared" ref="N33:N43" si="14">IF(K33&lt;0,K33,IF(K33&lt;0,L33,IF(L33&lt;0,L33,IF(L33&gt;0,"0","0"))))</f>
        <v>0</v>
      </c>
      <c r="O33" s="1"/>
      <c r="P33" s="113">
        <f t="shared" si="1"/>
        <v>0.48231654058535256</v>
      </c>
      <c r="Q33" s="113">
        <f t="shared" si="10"/>
        <v>0</v>
      </c>
      <c r="R33" s="1"/>
    </row>
    <row r="34" spans="2:18">
      <c r="B34" s="241"/>
      <c r="C34" s="18" t="s">
        <v>124</v>
      </c>
      <c r="D34" s="25" t="s">
        <v>19</v>
      </c>
      <c r="E34" s="1">
        <f>Anchoveta!H124+'Sardina comun'!H124</f>
        <v>1080.8730000000003</v>
      </c>
      <c r="F34" s="1">
        <f t="shared" ref="F34:F43" si="15">E34*0.4</f>
        <v>432.34920000000011</v>
      </c>
      <c r="G34" s="28">
        <f>Anchoveta!I124</f>
        <v>281.84199999999998</v>
      </c>
      <c r="H34" s="28">
        <f>'Sardina comun'!I124</f>
        <v>253.62399999999997</v>
      </c>
      <c r="I34" s="1">
        <f t="shared" ref="I34:I43" si="16">G34+H34</f>
        <v>535.46599999999989</v>
      </c>
      <c r="J34" s="1">
        <f>Anchoveta!J124+'Sardina comun'!J124</f>
        <v>0</v>
      </c>
      <c r="K34" s="1">
        <f>Anchoveta!K124</f>
        <v>536.57900000000006</v>
      </c>
      <c r="L34" s="1">
        <f>'Sardina comun'!K124</f>
        <v>8.8280000000002588</v>
      </c>
      <c r="M34" s="1">
        <f t="shared" ref="M34:M43" si="17">K34+L34</f>
        <v>545.40700000000038</v>
      </c>
      <c r="N34" s="39" t="str">
        <f t="shared" si="14"/>
        <v>0</v>
      </c>
      <c r="O34" s="1"/>
      <c r="P34" s="113">
        <f t="shared" si="1"/>
        <v>0.49540140238492381</v>
      </c>
      <c r="Q34" s="113">
        <f t="shared" si="10"/>
        <v>0</v>
      </c>
      <c r="R34" s="1"/>
    </row>
    <row r="35" spans="2:18">
      <c r="B35" s="241"/>
      <c r="C35" s="18" t="s">
        <v>125</v>
      </c>
      <c r="D35" s="25" t="s">
        <v>19</v>
      </c>
      <c r="E35" s="1">
        <f>Anchoveta!H125+'Sardina comun'!H125</f>
        <v>1946.3079999999998</v>
      </c>
      <c r="F35" s="1">
        <f t="shared" si="15"/>
        <v>778.52319999999997</v>
      </c>
      <c r="G35" s="28">
        <f>Anchoveta!I125</f>
        <v>400.63600000000002</v>
      </c>
      <c r="H35" s="28">
        <f>'Sardina comun'!I125</f>
        <v>296.14400000000001</v>
      </c>
      <c r="I35" s="1">
        <f t="shared" si="16"/>
        <v>696.78</v>
      </c>
      <c r="J35" s="1">
        <f>Anchoveta!J125+'Sardina comun'!J125</f>
        <v>0</v>
      </c>
      <c r="K35" s="1">
        <f>Anchoveta!K125</f>
        <v>613.66599999999994</v>
      </c>
      <c r="L35" s="1">
        <f>'Sardina comun'!K125</f>
        <v>635.86199999999985</v>
      </c>
      <c r="M35" s="1">
        <f t="shared" si="17"/>
        <v>1249.5279999999998</v>
      </c>
      <c r="N35" s="39" t="str">
        <f t="shared" si="14"/>
        <v>0</v>
      </c>
      <c r="O35" s="1"/>
      <c r="P35" s="113">
        <f t="shared" si="1"/>
        <v>0.35800089194515977</v>
      </c>
      <c r="Q35" s="113">
        <f t="shared" si="10"/>
        <v>0</v>
      </c>
      <c r="R35" s="1"/>
    </row>
    <row r="36" spans="2:18">
      <c r="B36" s="241"/>
      <c r="C36" s="18" t="s">
        <v>126</v>
      </c>
      <c r="D36" s="25" t="s">
        <v>19</v>
      </c>
      <c r="E36" s="1">
        <f>Anchoveta!H126+'Sardina comun'!H126</f>
        <v>169.91999999999996</v>
      </c>
      <c r="F36" s="1">
        <f t="shared" si="15"/>
        <v>67.967999999999989</v>
      </c>
      <c r="G36" s="28">
        <f>Anchoveta!I126</f>
        <v>0</v>
      </c>
      <c r="H36" s="28">
        <f>'Sardina comun'!I126</f>
        <v>0</v>
      </c>
      <c r="I36" s="1">
        <f t="shared" si="16"/>
        <v>0</v>
      </c>
      <c r="J36" s="1">
        <f>Anchoveta!J126+'Sardina comun'!J126</f>
        <v>0</v>
      </c>
      <c r="K36" s="1">
        <f>Anchoveta!K126</f>
        <v>79.014999999999986</v>
      </c>
      <c r="L36" s="1">
        <f>'Sardina comun'!K126</f>
        <v>90.904999999999973</v>
      </c>
      <c r="M36" s="1">
        <f t="shared" si="17"/>
        <v>169.91999999999996</v>
      </c>
      <c r="N36" s="39" t="str">
        <f t="shared" si="14"/>
        <v>0</v>
      </c>
      <c r="O36" s="1"/>
      <c r="P36" s="113">
        <f t="shared" si="1"/>
        <v>0</v>
      </c>
      <c r="Q36" s="113">
        <f t="shared" si="10"/>
        <v>0</v>
      </c>
      <c r="R36" s="1"/>
    </row>
    <row r="37" spans="2:18">
      <c r="B37" s="241"/>
      <c r="C37" s="18" t="s">
        <v>127</v>
      </c>
      <c r="D37" s="25" t="s">
        <v>19</v>
      </c>
      <c r="E37" s="1">
        <f>Anchoveta!H127+'Sardina comun'!H127</f>
        <v>997.31</v>
      </c>
      <c r="F37" s="1">
        <f t="shared" si="15"/>
        <v>398.92399999999998</v>
      </c>
      <c r="G37" s="28">
        <f>Anchoveta!I127</f>
        <v>364.33699999999999</v>
      </c>
      <c r="H37" s="28">
        <f>'Sardina comun'!I127</f>
        <v>375.75700000000006</v>
      </c>
      <c r="I37" s="1">
        <f t="shared" si="16"/>
        <v>740.09400000000005</v>
      </c>
      <c r="J37" s="1">
        <f>Anchoveta!J127+'Sardina comun'!J127</f>
        <v>0</v>
      </c>
      <c r="K37" s="1">
        <f>Anchoveta!K127</f>
        <v>26.461000000000013</v>
      </c>
      <c r="L37" s="1">
        <f>'Sardina comun'!K127</f>
        <v>230.75499999999988</v>
      </c>
      <c r="M37" s="1">
        <f t="shared" si="17"/>
        <v>257.21599999999989</v>
      </c>
      <c r="N37" s="39" t="str">
        <f t="shared" si="14"/>
        <v>0</v>
      </c>
      <c r="O37" s="1"/>
      <c r="P37" s="113">
        <f t="shared" si="1"/>
        <v>0.74209022269906055</v>
      </c>
      <c r="Q37" s="113">
        <f t="shared" si="10"/>
        <v>0</v>
      </c>
      <c r="R37" s="1"/>
    </row>
    <row r="38" spans="2:18">
      <c r="B38" s="241"/>
      <c r="C38" s="18" t="s">
        <v>128</v>
      </c>
      <c r="D38" s="25" t="s">
        <v>19</v>
      </c>
      <c r="E38" s="1">
        <f>Anchoveta!H128+'Sardina comun'!H128</f>
        <v>146.71700000000004</v>
      </c>
      <c r="F38" s="1">
        <f t="shared" si="15"/>
        <v>58.686800000000019</v>
      </c>
      <c r="G38" s="28">
        <f>Anchoveta!I128</f>
        <v>0</v>
      </c>
      <c r="H38" s="28">
        <f>'Sardina comun'!I128</f>
        <v>0</v>
      </c>
      <c r="I38" s="1">
        <f t="shared" si="16"/>
        <v>0</v>
      </c>
      <c r="J38" s="1">
        <f>Anchoveta!J128+'Sardina comun'!J128</f>
        <v>0</v>
      </c>
      <c r="K38" s="1">
        <f>Anchoveta!K128</f>
        <v>46.939000000000021</v>
      </c>
      <c r="L38" s="1">
        <f>'Sardina comun'!K128</f>
        <v>99.77800000000002</v>
      </c>
      <c r="M38" s="1">
        <f t="shared" si="17"/>
        <v>146.71700000000004</v>
      </c>
      <c r="N38" s="39" t="str">
        <f t="shared" si="14"/>
        <v>0</v>
      </c>
      <c r="O38" s="1"/>
      <c r="P38" s="113">
        <f t="shared" si="1"/>
        <v>0</v>
      </c>
      <c r="Q38" s="113">
        <f t="shared" si="10"/>
        <v>0</v>
      </c>
      <c r="R38" s="1"/>
    </row>
    <row r="39" spans="2:18">
      <c r="B39" s="241"/>
      <c r="C39" s="18" t="s">
        <v>129</v>
      </c>
      <c r="D39" s="25" t="s">
        <v>19</v>
      </c>
      <c r="E39" s="1">
        <f>Anchoveta!H129+'Sardina comun'!H129</f>
        <v>93.474000000000046</v>
      </c>
      <c r="F39" s="1">
        <f t="shared" si="15"/>
        <v>37.389600000000023</v>
      </c>
      <c r="G39" s="28">
        <f>Anchoveta!I129</f>
        <v>2.64</v>
      </c>
      <c r="H39" s="28">
        <f>'Sardina comun'!I129</f>
        <v>14.33</v>
      </c>
      <c r="I39" s="1">
        <f t="shared" si="16"/>
        <v>16.97</v>
      </c>
      <c r="J39" s="1">
        <f>Anchoveta!J129+'Sardina comun'!J129</f>
        <v>0</v>
      </c>
      <c r="K39" s="1">
        <f>Anchoveta!K129</f>
        <v>52.307000000000002</v>
      </c>
      <c r="L39" s="1">
        <f>'Sardina comun'!K129</f>
        <v>24.197000000000045</v>
      </c>
      <c r="M39" s="1">
        <f t="shared" si="17"/>
        <v>76.504000000000048</v>
      </c>
      <c r="N39" s="39" t="str">
        <f t="shared" si="14"/>
        <v>0</v>
      </c>
      <c r="O39" s="1"/>
      <c r="P39" s="113">
        <f t="shared" si="1"/>
        <v>0.18154781008622708</v>
      </c>
      <c r="Q39" s="113">
        <f t="shared" si="10"/>
        <v>0</v>
      </c>
      <c r="R39" s="1"/>
    </row>
    <row r="40" spans="2:18">
      <c r="B40" s="241"/>
      <c r="C40" s="18" t="s">
        <v>130</v>
      </c>
      <c r="D40" s="25" t="s">
        <v>19</v>
      </c>
      <c r="E40" s="1">
        <f>Anchoveta!H130+'Sardina comun'!H130</f>
        <v>873.09600000000012</v>
      </c>
      <c r="F40" s="1">
        <f t="shared" si="15"/>
        <v>349.23840000000007</v>
      </c>
      <c r="G40" s="28">
        <f>Anchoveta!I130</f>
        <v>493.80599999999998</v>
      </c>
      <c r="H40" s="28">
        <f>'Sardina comun'!I130</f>
        <v>278.22399999999999</v>
      </c>
      <c r="I40" s="1">
        <f t="shared" si="16"/>
        <v>772.03</v>
      </c>
      <c r="J40" s="1">
        <f>Anchoveta!J130+'Sardina comun'!J130</f>
        <v>0</v>
      </c>
      <c r="K40" s="1">
        <f>Anchoveta!K130</f>
        <v>-3.9970000000001278</v>
      </c>
      <c r="L40" s="1">
        <f>'Sardina comun'!K130</f>
        <v>105.06300000000027</v>
      </c>
      <c r="M40" s="1">
        <f t="shared" si="17"/>
        <v>101.06600000000014</v>
      </c>
      <c r="N40" s="39">
        <f t="shared" si="14"/>
        <v>-3.9970000000001278</v>
      </c>
      <c r="O40" s="1"/>
      <c r="P40" s="113">
        <f t="shared" si="1"/>
        <v>0.88424411519466339</v>
      </c>
      <c r="Q40" s="113">
        <f t="shared" si="10"/>
        <v>-4.5779616445386613E-3</v>
      </c>
      <c r="R40" s="1"/>
    </row>
    <row r="41" spans="2:18">
      <c r="B41" s="241"/>
      <c r="C41" s="18" t="s">
        <v>131</v>
      </c>
      <c r="D41" s="25" t="s">
        <v>19</v>
      </c>
      <c r="E41" s="1">
        <f>Anchoveta!H131+'Sardina comun'!H131</f>
        <v>310.71800000000002</v>
      </c>
      <c r="F41" s="1">
        <f t="shared" si="15"/>
        <v>124.28720000000001</v>
      </c>
      <c r="G41" s="28">
        <f>Anchoveta!I131</f>
        <v>136.36799999999999</v>
      </c>
      <c r="H41" s="28">
        <f>'Sardina comun'!I131</f>
        <v>13.338000000000001</v>
      </c>
      <c r="I41" s="1">
        <f t="shared" si="16"/>
        <v>149.70599999999999</v>
      </c>
      <c r="J41" s="1">
        <f>Anchoveta!J131+'Sardina comun'!J131</f>
        <v>0</v>
      </c>
      <c r="K41" s="1">
        <f>Anchoveta!K131</f>
        <v>78.459000000000003</v>
      </c>
      <c r="L41" s="1">
        <f>'Sardina comun'!K131</f>
        <v>82.553000000000026</v>
      </c>
      <c r="M41" s="1">
        <f t="shared" si="17"/>
        <v>161.01200000000003</v>
      </c>
      <c r="N41" s="39" t="str">
        <f t="shared" si="14"/>
        <v>0</v>
      </c>
      <c r="O41" s="1"/>
      <c r="P41" s="113">
        <f t="shared" si="1"/>
        <v>0.4818066542652823</v>
      </c>
      <c r="Q41" s="113">
        <f t="shared" si="10"/>
        <v>0</v>
      </c>
      <c r="R41" s="1"/>
    </row>
    <row r="42" spans="2:18">
      <c r="B42" s="241"/>
      <c r="C42" s="18" t="s">
        <v>132</v>
      </c>
      <c r="D42" s="25" t="s">
        <v>19</v>
      </c>
      <c r="E42" s="1">
        <f>Anchoveta!H132+'Sardina comun'!H132</f>
        <v>483.90499999999997</v>
      </c>
      <c r="F42" s="1">
        <f t="shared" si="15"/>
        <v>193.56200000000001</v>
      </c>
      <c r="G42" s="28">
        <f>Anchoveta!I132</f>
        <v>0</v>
      </c>
      <c r="H42" s="28">
        <f>'Sardina comun'!I132</f>
        <v>4.1000000000000002E-2</v>
      </c>
      <c r="I42" s="1">
        <f t="shared" si="16"/>
        <v>4.1000000000000002E-2</v>
      </c>
      <c r="J42" s="1">
        <f>Anchoveta!J132+'Sardina comun'!J132</f>
        <v>0</v>
      </c>
      <c r="K42" s="1">
        <f>Anchoveta!K132</f>
        <v>145.69</v>
      </c>
      <c r="L42" s="1">
        <f>'Sardina comun'!K132</f>
        <v>338.17399999999998</v>
      </c>
      <c r="M42" s="1">
        <f t="shared" si="17"/>
        <v>483.86399999999998</v>
      </c>
      <c r="N42" s="39" t="str">
        <f t="shared" si="14"/>
        <v>0</v>
      </c>
      <c r="O42" s="1"/>
      <c r="P42" s="113">
        <f t="shared" si="1"/>
        <v>8.4727374174683049E-5</v>
      </c>
      <c r="Q42" s="113">
        <f t="shared" si="10"/>
        <v>0</v>
      </c>
      <c r="R42" s="1"/>
    </row>
    <row r="43" spans="2:18">
      <c r="B43" s="241"/>
      <c r="C43" s="18" t="s">
        <v>133</v>
      </c>
      <c r="D43" s="25" t="s">
        <v>19</v>
      </c>
      <c r="E43" s="1">
        <f>Anchoveta!H133+'Sardina comun'!H133</f>
        <v>0</v>
      </c>
      <c r="F43" s="1">
        <f t="shared" si="15"/>
        <v>0</v>
      </c>
      <c r="G43" s="28">
        <f>Anchoveta!I133</f>
        <v>0</v>
      </c>
      <c r="H43" s="28">
        <f>'Sardina comun'!I133</f>
        <v>0</v>
      </c>
      <c r="I43" s="1">
        <f t="shared" si="16"/>
        <v>0</v>
      </c>
      <c r="J43" s="1">
        <f>Anchoveta!J133+'Sardina comun'!J133</f>
        <v>0</v>
      </c>
      <c r="K43" s="1">
        <f>Anchoveta!K133</f>
        <v>0</v>
      </c>
      <c r="L43" s="1">
        <f>'Sardina comun'!K133</f>
        <v>0</v>
      </c>
      <c r="M43" s="1">
        <f t="shared" si="17"/>
        <v>0</v>
      </c>
      <c r="N43" s="39" t="str">
        <f t="shared" si="14"/>
        <v>0</v>
      </c>
      <c r="O43" s="1"/>
      <c r="P43" s="113">
        <v>0</v>
      </c>
      <c r="Q43" s="113">
        <v>0</v>
      </c>
      <c r="R43" s="1"/>
    </row>
  </sheetData>
  <mergeCells count="6">
    <mergeCell ref="B6:B11"/>
    <mergeCell ref="B15:B17"/>
    <mergeCell ref="B21:B31"/>
    <mergeCell ref="B33:B43"/>
    <mergeCell ref="B2:Q2"/>
    <mergeCell ref="B3:Q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84"/>
  <sheetViews>
    <sheetView topLeftCell="D7" workbookViewId="0">
      <selection activeCell="P54" sqref="P54"/>
    </sheetView>
  </sheetViews>
  <sheetFormatPr baseColWidth="10" defaultRowHeight="15"/>
  <cols>
    <col min="3" max="3" width="59.28515625" customWidth="1"/>
  </cols>
  <sheetData>
    <row r="2" spans="1:17" ht="21" customHeight="1">
      <c r="B2" s="247" t="s">
        <v>287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</row>
    <row r="3" spans="1:17" s="11" customFormat="1">
      <c r="B3" s="244">
        <f>RESUMEN!B3</f>
        <v>44020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</row>
    <row r="5" spans="1:17" ht="45">
      <c r="B5" s="19" t="s">
        <v>46</v>
      </c>
      <c r="C5" s="19" t="s">
        <v>35</v>
      </c>
      <c r="D5" s="19" t="s">
        <v>0</v>
      </c>
      <c r="E5" s="19" t="s">
        <v>159</v>
      </c>
      <c r="F5" s="19" t="s">
        <v>176</v>
      </c>
      <c r="G5" s="19" t="s">
        <v>177</v>
      </c>
      <c r="H5" s="19" t="s">
        <v>178</v>
      </c>
      <c r="I5" s="19" t="s">
        <v>179</v>
      </c>
      <c r="J5" s="19" t="s">
        <v>180</v>
      </c>
      <c r="K5" s="19" t="s">
        <v>187</v>
      </c>
      <c r="L5" s="19" t="s">
        <v>181</v>
      </c>
      <c r="M5" s="19" t="s">
        <v>182</v>
      </c>
      <c r="N5" s="19" t="s">
        <v>183</v>
      </c>
      <c r="O5" s="19" t="s">
        <v>184</v>
      </c>
      <c r="P5" s="19" t="s">
        <v>185</v>
      </c>
      <c r="Q5" s="19" t="s">
        <v>186</v>
      </c>
    </row>
    <row r="6" spans="1:17">
      <c r="A6" s="152">
        <v>1</v>
      </c>
      <c r="B6" s="246" t="s">
        <v>208</v>
      </c>
      <c r="C6" s="15" t="s">
        <v>47</v>
      </c>
      <c r="D6" s="1" t="s">
        <v>19</v>
      </c>
      <c r="E6" s="1">
        <f>Anchoveta!H23+'Sardina comun'!H23</f>
        <v>152.50400000000002</v>
      </c>
      <c r="F6" s="1">
        <f>E6*0.4</f>
        <v>61.00160000000001</v>
      </c>
      <c r="G6" s="1">
        <f>Anchoveta!I23</f>
        <v>42.835999999999999</v>
      </c>
      <c r="H6" s="1">
        <f>'Sardina comun'!I23</f>
        <v>106.078</v>
      </c>
      <c r="I6" s="1">
        <f>G6+H6</f>
        <v>148.91399999999999</v>
      </c>
      <c r="J6" s="1">
        <f>Anchoveta!J23+'Sardina comun'!J23</f>
        <v>0</v>
      </c>
      <c r="K6" s="1">
        <f>Anchoveta!K23</f>
        <v>7.0030000000000001</v>
      </c>
      <c r="L6" s="1">
        <f>'Sardina comun'!K23</f>
        <v>-3.4129999999999825</v>
      </c>
      <c r="M6" s="1">
        <f>K6+L6</f>
        <v>3.5900000000000176</v>
      </c>
      <c r="N6" s="39">
        <f>IF(K6&lt;0,K6,IF(K6&lt;0,L6,IF(L6&lt;0,L6,IF(L6&gt;0,"0","0"))))</f>
        <v>-3.4129999999999825</v>
      </c>
      <c r="O6" s="156"/>
      <c r="P6" s="6">
        <f>(I6+J6)/E6</f>
        <v>0.97645963384566936</v>
      </c>
      <c r="Q6" s="3">
        <f>N6/E6</f>
        <v>-2.2379740859256033E-2</v>
      </c>
    </row>
    <row r="7" spans="1:17">
      <c r="A7">
        <v>2</v>
      </c>
      <c r="B7" s="246"/>
      <c r="C7" s="15" t="s">
        <v>196</v>
      </c>
      <c r="D7" s="1" t="s">
        <v>19</v>
      </c>
      <c r="E7" s="1">
        <f>Anchoveta!H24+'Sardina comun'!H24</f>
        <v>284.154</v>
      </c>
      <c r="F7" s="1">
        <f t="shared" ref="F7:F71" si="0">E7*0.4</f>
        <v>113.66160000000001</v>
      </c>
      <c r="G7" s="1">
        <f>Anchoveta!I24</f>
        <v>59.988999999999997</v>
      </c>
      <c r="H7" s="1">
        <f>'Sardina comun'!I24</f>
        <v>191.23099999999999</v>
      </c>
      <c r="I7" s="1">
        <f t="shared" ref="I7:I71" si="1">G7+H7</f>
        <v>251.22</v>
      </c>
      <c r="J7" s="1">
        <f>Anchoveta!J24+'Sardina comun'!J24</f>
        <v>0</v>
      </c>
      <c r="K7" s="1">
        <f>Anchoveta!K24</f>
        <v>10.093000000000011</v>
      </c>
      <c r="L7" s="1">
        <f>'Sardina comun'!K24</f>
        <v>22.841000000000008</v>
      </c>
      <c r="M7" s="1">
        <f t="shared" ref="M7:M71" si="2">K7+L7</f>
        <v>32.934000000000019</v>
      </c>
      <c r="N7" s="39" t="str">
        <f t="shared" ref="N7:N71" si="3">IF(K7&lt;0,K7,IF(K7&lt;0,L7,IF(L7&lt;0,L7,IF(L7&gt;0,"0","0"))))</f>
        <v>0</v>
      </c>
      <c r="O7" s="156"/>
      <c r="P7" s="6">
        <f t="shared" ref="P7:P71" si="4">(I7+J7)/E7</f>
        <v>0.88409805950294562</v>
      </c>
      <c r="Q7" s="3">
        <f t="shared" ref="Q7:Q71" si="5">N7/E7</f>
        <v>0</v>
      </c>
    </row>
    <row r="8" spans="1:17">
      <c r="A8">
        <v>3</v>
      </c>
      <c r="B8" s="246"/>
      <c r="C8" s="15" t="s">
        <v>49</v>
      </c>
      <c r="D8" s="25" t="s">
        <v>19</v>
      </c>
      <c r="E8" s="1">
        <f>Anchoveta!H25+'Sardina comun'!H25</f>
        <v>420.32299999999998</v>
      </c>
      <c r="F8" s="1">
        <f t="shared" si="0"/>
        <v>168.1292</v>
      </c>
      <c r="G8" s="1">
        <f>Anchoveta!I25</f>
        <v>2.032</v>
      </c>
      <c r="H8" s="1">
        <f>'Sardina comun'!I25</f>
        <v>186.33500000000001</v>
      </c>
      <c r="I8" s="1">
        <f t="shared" si="1"/>
        <v>188.36700000000002</v>
      </c>
      <c r="J8" s="1">
        <f>Anchoveta!J25+'Sardina comun'!J25</f>
        <v>0</v>
      </c>
      <c r="K8" s="1">
        <f>Anchoveta!K25</f>
        <v>139.19200000000004</v>
      </c>
      <c r="L8" s="1">
        <f>'Sardina comun'!K25</f>
        <v>92.763999999999925</v>
      </c>
      <c r="M8" s="1">
        <f t="shared" si="2"/>
        <v>231.95599999999996</v>
      </c>
      <c r="N8" s="39" t="str">
        <f t="shared" si="3"/>
        <v>0</v>
      </c>
      <c r="O8" s="156"/>
      <c r="P8" s="6">
        <f t="shared" si="4"/>
        <v>0.44814820982910769</v>
      </c>
      <c r="Q8" s="3">
        <f t="shared" si="5"/>
        <v>0</v>
      </c>
    </row>
    <row r="9" spans="1:17">
      <c r="A9">
        <v>4</v>
      </c>
      <c r="B9" s="246"/>
      <c r="C9" s="15" t="s">
        <v>50</v>
      </c>
      <c r="D9" s="25" t="s">
        <v>19</v>
      </c>
      <c r="E9" s="1">
        <f>Anchoveta!H26+'Sardina comun'!H26</f>
        <v>2721.2580000000003</v>
      </c>
      <c r="F9" s="1">
        <f t="shared" si="0"/>
        <v>1088.5032000000001</v>
      </c>
      <c r="G9" s="1">
        <f>Anchoveta!I26</f>
        <v>320.69099999999997</v>
      </c>
      <c r="H9" s="1">
        <f>'Sardina comun'!I26</f>
        <v>1407.306</v>
      </c>
      <c r="I9" s="1">
        <f t="shared" si="1"/>
        <v>1727.9970000000001</v>
      </c>
      <c r="J9" s="1">
        <f>Anchoveta!J26+'Sardina comun'!J26</f>
        <v>0</v>
      </c>
      <c r="K9" s="1">
        <f>Anchoveta!K26</f>
        <v>592.31200000000013</v>
      </c>
      <c r="L9" s="1">
        <f>'Sardina comun'!K26</f>
        <v>400.94900000000007</v>
      </c>
      <c r="M9" s="1">
        <f t="shared" si="2"/>
        <v>993.26100000000019</v>
      </c>
      <c r="N9" s="39" t="str">
        <f t="shared" si="3"/>
        <v>0</v>
      </c>
      <c r="O9" s="156"/>
      <c r="P9" s="6">
        <f t="shared" si="4"/>
        <v>0.6349993275169058</v>
      </c>
      <c r="Q9" s="3">
        <f t="shared" si="5"/>
        <v>0</v>
      </c>
    </row>
    <row r="10" spans="1:17">
      <c r="A10">
        <v>5</v>
      </c>
      <c r="B10" s="246"/>
      <c r="C10" s="15" t="s">
        <v>51</v>
      </c>
      <c r="D10" s="25" t="s">
        <v>19</v>
      </c>
      <c r="E10" s="1">
        <f>Anchoveta!H27+'Sardina comun'!H27</f>
        <v>1703.8539999999998</v>
      </c>
      <c r="F10" s="1">
        <f t="shared" si="0"/>
        <v>681.54160000000002</v>
      </c>
      <c r="G10" s="1">
        <f>Anchoveta!I27</f>
        <v>218.24199999999999</v>
      </c>
      <c r="H10" s="1">
        <f>'Sardina comun'!I27</f>
        <v>832.39599999999996</v>
      </c>
      <c r="I10" s="1">
        <f t="shared" si="1"/>
        <v>1050.6379999999999</v>
      </c>
      <c r="J10" s="1">
        <f>Anchoveta!J27+'Sardina comun'!J27</f>
        <v>0</v>
      </c>
      <c r="K10" s="1">
        <f>Anchoveta!K27</f>
        <v>608.66399999999999</v>
      </c>
      <c r="L10" s="1">
        <f>'Sardina comun'!K27</f>
        <v>44.551999999999907</v>
      </c>
      <c r="M10" s="1">
        <f t="shared" si="2"/>
        <v>653.21599999999989</v>
      </c>
      <c r="N10" s="39" t="str">
        <f t="shared" si="3"/>
        <v>0</v>
      </c>
      <c r="O10" s="156"/>
      <c r="P10" s="6">
        <f t="shared" si="4"/>
        <v>0.61662442908840787</v>
      </c>
      <c r="Q10" s="3">
        <f t="shared" si="5"/>
        <v>0</v>
      </c>
    </row>
    <row r="11" spans="1:17">
      <c r="A11">
        <v>6</v>
      </c>
      <c r="B11" s="246"/>
      <c r="C11" s="15" t="s">
        <v>52</v>
      </c>
      <c r="D11" s="25" t="s">
        <v>19</v>
      </c>
      <c r="E11" s="1">
        <f>Anchoveta!H28+'Sardina comun'!H28</f>
        <v>7912.9719999999998</v>
      </c>
      <c r="F11" s="1">
        <f t="shared" si="0"/>
        <v>3165.1887999999999</v>
      </c>
      <c r="G11" s="1">
        <f>Anchoveta!I28</f>
        <v>2822.3789999999999</v>
      </c>
      <c r="H11" s="1">
        <f>'Sardina comun'!I28</f>
        <v>2338.4549999999999</v>
      </c>
      <c r="I11" s="1">
        <f t="shared" si="1"/>
        <v>5160.8339999999998</v>
      </c>
      <c r="J11" s="1">
        <f>Anchoveta!J28+'Sardina comun'!J28</f>
        <v>0</v>
      </c>
      <c r="K11" s="1">
        <f>Anchoveta!K28</f>
        <v>-167.51499999999987</v>
      </c>
      <c r="L11" s="1">
        <f>'Sardina comun'!K28</f>
        <v>2919.6530000000002</v>
      </c>
      <c r="M11" s="1">
        <f t="shared" si="2"/>
        <v>2752.1380000000004</v>
      </c>
      <c r="N11" s="39">
        <f t="shared" si="3"/>
        <v>-167.51499999999987</v>
      </c>
      <c r="O11" s="156"/>
      <c r="P11" s="6">
        <f t="shared" si="4"/>
        <v>0.65219919898617107</v>
      </c>
      <c r="Q11" s="3">
        <f t="shared" si="5"/>
        <v>-2.1169669246902414E-2</v>
      </c>
    </row>
    <row r="12" spans="1:17">
      <c r="A12">
        <v>7</v>
      </c>
      <c r="B12" s="246"/>
      <c r="C12" s="15" t="s">
        <v>53</v>
      </c>
      <c r="D12" s="25" t="s">
        <v>19</v>
      </c>
      <c r="E12" s="1">
        <f>Anchoveta!H29+'Sardina comun'!H29</f>
        <v>11973.492</v>
      </c>
      <c r="F12" s="1">
        <f t="shared" si="0"/>
        <v>4789.3968000000004</v>
      </c>
      <c r="G12" s="1">
        <f>Anchoveta!I29</f>
        <v>2370.0889999999999</v>
      </c>
      <c r="H12" s="1">
        <f>'Sardina comun'!I29</f>
        <v>4268.1970000000001</v>
      </c>
      <c r="I12" s="1">
        <f t="shared" si="1"/>
        <v>6638.2860000000001</v>
      </c>
      <c r="J12" s="1">
        <f>Anchoveta!J29+'Sardina comun'!J29</f>
        <v>0</v>
      </c>
      <c r="K12" s="1">
        <f>Anchoveta!K29</f>
        <v>1647.1109999999999</v>
      </c>
      <c r="L12" s="1">
        <f>'Sardina comun'!K29</f>
        <v>3688.0950000000003</v>
      </c>
      <c r="M12" s="1">
        <f t="shared" si="2"/>
        <v>5335.2060000000001</v>
      </c>
      <c r="N12" s="39" t="str">
        <f t="shared" si="3"/>
        <v>0</v>
      </c>
      <c r="O12" s="156"/>
      <c r="P12" s="6">
        <f t="shared" si="4"/>
        <v>0.55441520318383308</v>
      </c>
      <c r="Q12" s="3">
        <f t="shared" si="5"/>
        <v>0</v>
      </c>
    </row>
    <row r="13" spans="1:17">
      <c r="A13">
        <v>8</v>
      </c>
      <c r="B13" s="246"/>
      <c r="C13" s="15" t="s">
        <v>54</v>
      </c>
      <c r="D13" s="25" t="s">
        <v>19</v>
      </c>
      <c r="E13" s="1">
        <f>Anchoveta!H30+'Sardina comun'!H30</f>
        <v>4556.7609999999995</v>
      </c>
      <c r="F13" s="1">
        <f t="shared" si="0"/>
        <v>1822.7043999999999</v>
      </c>
      <c r="G13" s="1">
        <f>Anchoveta!I30</f>
        <v>1548.5340000000001</v>
      </c>
      <c r="H13" s="1">
        <f>'Sardina comun'!I30</f>
        <v>1348.03</v>
      </c>
      <c r="I13" s="1">
        <f t="shared" si="1"/>
        <v>2896.5640000000003</v>
      </c>
      <c r="J13" s="1">
        <f>Anchoveta!J30+'Sardina comun'!J30</f>
        <v>0</v>
      </c>
      <c r="K13" s="1">
        <f>Anchoveta!K30</f>
        <v>-19.705000000000155</v>
      </c>
      <c r="L13" s="1">
        <f>'Sardina comun'!K30</f>
        <v>1679.9019999999998</v>
      </c>
      <c r="M13" s="1">
        <f t="shared" si="2"/>
        <v>1660.1969999999997</v>
      </c>
      <c r="N13" s="39">
        <f t="shared" si="3"/>
        <v>-19.705000000000155</v>
      </c>
      <c r="O13" s="156"/>
      <c r="P13" s="6">
        <f t="shared" si="4"/>
        <v>0.63566291934117247</v>
      </c>
      <c r="Q13" s="3">
        <f t="shared" si="5"/>
        <v>-4.324343541388314E-3</v>
      </c>
    </row>
    <row r="14" spans="1:17">
      <c r="A14">
        <v>9</v>
      </c>
      <c r="B14" s="246"/>
      <c r="C14" s="15" t="s">
        <v>55</v>
      </c>
      <c r="D14" s="25" t="s">
        <v>19</v>
      </c>
      <c r="E14" s="1">
        <f>Anchoveta!H31+'Sardina comun'!H31</f>
        <v>5479.598</v>
      </c>
      <c r="F14" s="1">
        <f t="shared" si="0"/>
        <v>2191.8391999999999</v>
      </c>
      <c r="G14" s="1">
        <f>Anchoveta!I31</f>
        <v>2933.6559999999999</v>
      </c>
      <c r="H14" s="1">
        <f>'Sardina comun'!I31</f>
        <v>1416.617</v>
      </c>
      <c r="I14" s="1">
        <f t="shared" si="1"/>
        <v>4350.2730000000001</v>
      </c>
      <c r="J14" s="1">
        <f>Anchoveta!J31+'Sardina comun'!J31</f>
        <v>0</v>
      </c>
      <c r="K14" s="1">
        <f>Anchoveta!K31</f>
        <v>-1095.2079999999999</v>
      </c>
      <c r="L14" s="1">
        <f>'Sardina comun'!K31</f>
        <v>2224.5330000000004</v>
      </c>
      <c r="M14" s="1">
        <f t="shared" si="2"/>
        <v>1129.3250000000005</v>
      </c>
      <c r="N14" s="39">
        <f t="shared" si="3"/>
        <v>-1095.2079999999999</v>
      </c>
      <c r="O14" s="156"/>
      <c r="P14" s="6">
        <f t="shared" si="4"/>
        <v>0.7939036768755664</v>
      </c>
      <c r="Q14" s="3">
        <f t="shared" si="5"/>
        <v>-0.19987013645891538</v>
      </c>
    </row>
    <row r="15" spans="1:17">
      <c r="A15" s="57">
        <v>10</v>
      </c>
      <c r="B15" s="246"/>
      <c r="C15" s="15" t="s">
        <v>56</v>
      </c>
      <c r="D15" s="25" t="s">
        <v>19</v>
      </c>
      <c r="E15" s="1">
        <f>Anchoveta!H32+'Sardina comun'!H32</f>
        <v>375.54200000000003</v>
      </c>
      <c r="F15" s="1">
        <f t="shared" si="0"/>
        <v>150.21680000000001</v>
      </c>
      <c r="G15" s="1">
        <f>Anchoveta!I32</f>
        <v>2.7370000000000001</v>
      </c>
      <c r="H15" s="1">
        <f>'Sardina comun'!I32</f>
        <v>372.34300000000002</v>
      </c>
      <c r="I15" s="1">
        <f t="shared" si="1"/>
        <v>375.08000000000004</v>
      </c>
      <c r="J15" s="1">
        <f>Anchoveta!J32+'Sardina comun'!J32</f>
        <v>0</v>
      </c>
      <c r="K15" s="1">
        <f>Anchoveta!K32</f>
        <v>71.205000000000013</v>
      </c>
      <c r="L15" s="1">
        <f>'Sardina comun'!K32</f>
        <v>-70.742999999999995</v>
      </c>
      <c r="M15" s="1">
        <f t="shared" si="2"/>
        <v>0.46200000000001751</v>
      </c>
      <c r="N15" s="39">
        <f t="shared" si="3"/>
        <v>-70.742999999999995</v>
      </c>
      <c r="O15" s="33">
        <f>Anchoveta!M32</f>
        <v>43986</v>
      </c>
      <c r="P15" s="6">
        <f t="shared" si="4"/>
        <v>0.99876977808074729</v>
      </c>
      <c r="Q15" s="3">
        <f t="shared" si="5"/>
        <v>-0.18837573427206541</v>
      </c>
    </row>
    <row r="16" spans="1:17">
      <c r="A16" s="11">
        <v>11</v>
      </c>
      <c r="B16" s="246"/>
      <c r="C16" s="15" t="s">
        <v>57</v>
      </c>
      <c r="D16" s="25" t="s">
        <v>19</v>
      </c>
      <c r="E16" s="1">
        <f>Anchoveta!H33+'Sardina comun'!H33</f>
        <v>2911.8379999999997</v>
      </c>
      <c r="F16" s="1">
        <f t="shared" si="0"/>
        <v>1164.7351999999998</v>
      </c>
      <c r="G16" s="1">
        <f>Anchoveta!I33</f>
        <v>813.41</v>
      </c>
      <c r="H16" s="1">
        <f>'Sardina comun'!I33</f>
        <v>1713.259</v>
      </c>
      <c r="I16" s="1">
        <f t="shared" si="1"/>
        <v>2526.6689999999999</v>
      </c>
      <c r="J16" s="1">
        <f>Anchoveta!J33+'Sardina comun'!J33</f>
        <v>0</v>
      </c>
      <c r="K16" s="1">
        <f>Anchoveta!K33</f>
        <v>163.86</v>
      </c>
      <c r="L16" s="1">
        <f>'Sardina comun'!K33</f>
        <v>221.30899999999997</v>
      </c>
      <c r="M16" s="1">
        <f t="shared" si="2"/>
        <v>385.16899999999998</v>
      </c>
      <c r="N16" s="39" t="str">
        <f t="shared" si="3"/>
        <v>0</v>
      </c>
      <c r="O16" s="156"/>
      <c r="P16" s="6">
        <f t="shared" si="4"/>
        <v>0.86772306701128299</v>
      </c>
      <c r="Q16" s="3">
        <f t="shared" si="5"/>
        <v>0</v>
      </c>
    </row>
    <row r="17" spans="1:17">
      <c r="A17" s="57">
        <v>12</v>
      </c>
      <c r="B17" s="246"/>
      <c r="C17" s="15" t="s">
        <v>195</v>
      </c>
      <c r="D17" s="25" t="s">
        <v>19</v>
      </c>
      <c r="E17" s="1">
        <f>Anchoveta!H34+'Sardina comun'!H34</f>
        <v>486.13900000000001</v>
      </c>
      <c r="F17" s="1">
        <f t="shared" si="0"/>
        <v>194.4556</v>
      </c>
      <c r="G17" s="1">
        <f>Anchoveta!I34</f>
        <v>441.04100000000005</v>
      </c>
      <c r="H17" s="1">
        <f>'Sardina comun'!I34</f>
        <v>208.26300000000001</v>
      </c>
      <c r="I17" s="1">
        <f t="shared" si="1"/>
        <v>649.30400000000009</v>
      </c>
      <c r="J17" s="1">
        <f>Anchoveta!J34+'Sardina comun'!J34</f>
        <v>0</v>
      </c>
      <c r="K17" s="1">
        <f>Anchoveta!K34</f>
        <v>-286.35800000000006</v>
      </c>
      <c r="L17" s="1">
        <f>'Sardina comun'!K34</f>
        <v>123.19300000000001</v>
      </c>
      <c r="M17" s="1">
        <f t="shared" si="2"/>
        <v>-163.16500000000005</v>
      </c>
      <c r="N17" s="39">
        <f t="shared" si="3"/>
        <v>-286.35800000000006</v>
      </c>
      <c r="O17" s="33">
        <f>Anchoveta!M34</f>
        <v>43956</v>
      </c>
      <c r="P17" s="6">
        <f t="shared" si="4"/>
        <v>1.335634458457355</v>
      </c>
      <c r="Q17" s="3">
        <f t="shared" si="5"/>
        <v>-0.58904551990274401</v>
      </c>
    </row>
    <row r="18" spans="1:17">
      <c r="A18" s="11">
        <v>13</v>
      </c>
      <c r="B18" s="246"/>
      <c r="C18" s="15" t="s">
        <v>207</v>
      </c>
      <c r="D18" s="25" t="s">
        <v>19</v>
      </c>
      <c r="E18" s="1">
        <f>Anchoveta!H35+'Sardina comun'!H35</f>
        <v>7521.6040000000003</v>
      </c>
      <c r="F18" s="1">
        <f t="shared" si="0"/>
        <v>3008.6416000000004</v>
      </c>
      <c r="G18" s="1">
        <f>Anchoveta!I35</f>
        <v>2011.9380000000001</v>
      </c>
      <c r="H18" s="1">
        <f>'Sardina comun'!I35</f>
        <v>2566.933</v>
      </c>
      <c r="I18" s="1">
        <f t="shared" si="1"/>
        <v>4578.8710000000001</v>
      </c>
      <c r="J18" s="1">
        <f>Anchoveta!J35+'Sardina comun'!J35</f>
        <v>0</v>
      </c>
      <c r="K18" s="1">
        <f>Anchoveta!K35</f>
        <v>687.77999999999975</v>
      </c>
      <c r="L18" s="1">
        <f>'Sardina comun'!K35</f>
        <v>2254.9530000000004</v>
      </c>
      <c r="M18" s="1">
        <f t="shared" si="2"/>
        <v>2942.7330000000002</v>
      </c>
      <c r="N18" s="39" t="str">
        <f t="shared" si="3"/>
        <v>0</v>
      </c>
      <c r="O18" s="156"/>
      <c r="P18" s="6">
        <f t="shared" si="4"/>
        <v>0.60876257245130161</v>
      </c>
      <c r="Q18" s="3">
        <f t="shared" si="5"/>
        <v>0</v>
      </c>
    </row>
    <row r="19" spans="1:17">
      <c r="A19" s="152">
        <v>14</v>
      </c>
      <c r="B19" s="246"/>
      <c r="C19" s="15" t="s">
        <v>60</v>
      </c>
      <c r="D19" s="25" t="s">
        <v>19</v>
      </c>
      <c r="E19" s="1">
        <f>Anchoveta!H36+'Sardina comun'!H36</f>
        <v>1341.1770000000001</v>
      </c>
      <c r="F19" s="1">
        <f t="shared" si="0"/>
        <v>536.47080000000005</v>
      </c>
      <c r="G19" s="1">
        <f>Anchoveta!I36</f>
        <v>542.11300000000006</v>
      </c>
      <c r="H19" s="1">
        <f>'Sardina comun'!I36</f>
        <v>773.59699999999998</v>
      </c>
      <c r="I19" s="1">
        <f t="shared" si="1"/>
        <v>1315.71</v>
      </c>
      <c r="J19" s="1">
        <f>Anchoveta!J36+'Sardina comun'!J36</f>
        <v>0</v>
      </c>
      <c r="K19" s="1">
        <f>Anchoveta!K36</f>
        <v>-92.138000000000034</v>
      </c>
      <c r="L19" s="1">
        <f>'Sardina comun'!K36</f>
        <v>117.60500000000002</v>
      </c>
      <c r="M19" s="1">
        <f t="shared" si="2"/>
        <v>25.466999999999985</v>
      </c>
      <c r="N19" s="39">
        <f t="shared" si="3"/>
        <v>-92.138000000000034</v>
      </c>
      <c r="O19" s="156"/>
      <c r="P19" s="6">
        <f t="shared" si="4"/>
        <v>0.98101145486389929</v>
      </c>
      <c r="Q19" s="3">
        <f t="shared" si="5"/>
        <v>-6.8699358846744329E-2</v>
      </c>
    </row>
    <row r="20" spans="1:17" s="11" customFormat="1">
      <c r="A20" s="11">
        <v>15</v>
      </c>
      <c r="B20" s="246"/>
      <c r="C20" s="15" t="s">
        <v>291</v>
      </c>
      <c r="D20" s="25" t="s">
        <v>19</v>
      </c>
      <c r="E20" s="1">
        <f>Anchoveta!H37+'Sardina comun'!H37</f>
        <v>7266.0470000000005</v>
      </c>
      <c r="F20" s="1">
        <f t="shared" ref="F20" si="6">E20*0.4</f>
        <v>2906.4188000000004</v>
      </c>
      <c r="G20" s="1">
        <f>Anchoveta!I37</f>
        <v>870.84</v>
      </c>
      <c r="H20" s="1">
        <f>'Sardina comun'!I37</f>
        <v>2428.3609999999999</v>
      </c>
      <c r="I20" s="1">
        <f t="shared" ref="I20" si="7">G20+H20</f>
        <v>3299.201</v>
      </c>
      <c r="J20" s="1">
        <f>Anchoveta!J37+'Sardina comun'!J37</f>
        <v>0</v>
      </c>
      <c r="K20" s="1">
        <f>Anchoveta!K37</f>
        <v>1566.9749999999999</v>
      </c>
      <c r="L20" s="1">
        <f>'Sardina comun'!K37</f>
        <v>2399.8710000000001</v>
      </c>
      <c r="M20" s="1">
        <f t="shared" ref="M20" si="8">K20+L20</f>
        <v>3966.846</v>
      </c>
      <c r="N20" s="39" t="str">
        <f t="shared" ref="N20" si="9">IF(K20&lt;0,K20,IF(K20&lt;0,L20,IF(L20&lt;0,L20,IF(L20&gt;0,"0","0"))))</f>
        <v>0</v>
      </c>
      <c r="O20" s="156"/>
      <c r="P20" s="6">
        <f t="shared" ref="P20" si="10">(I20+J20)/E20</f>
        <v>0.45405720607092132</v>
      </c>
      <c r="Q20" s="3">
        <f t="shared" ref="Q20" si="11">N20/E20</f>
        <v>0</v>
      </c>
    </row>
    <row r="21" spans="1:17">
      <c r="A21" s="11">
        <v>16</v>
      </c>
      <c r="B21" s="246"/>
      <c r="C21" s="15" t="s">
        <v>61</v>
      </c>
      <c r="D21" s="25" t="s">
        <v>19</v>
      </c>
      <c r="E21" s="1">
        <f>Anchoveta!H38+'Sardina comun'!H38</f>
        <v>86.117999999999995</v>
      </c>
      <c r="F21" s="1">
        <f t="shared" si="0"/>
        <v>34.447200000000002</v>
      </c>
      <c r="G21" s="1">
        <f>Anchoveta!I38</f>
        <v>0</v>
      </c>
      <c r="H21" s="1">
        <f>'Sardina comun'!I38</f>
        <v>65.989999999999995</v>
      </c>
      <c r="I21" s="1">
        <f t="shared" si="1"/>
        <v>65.989999999999995</v>
      </c>
      <c r="J21" s="1">
        <f>Anchoveta!J38+'Sardina comun'!J38</f>
        <v>0</v>
      </c>
      <c r="K21" s="1">
        <f>Anchoveta!K38</f>
        <v>28.893000000000001</v>
      </c>
      <c r="L21" s="1">
        <f>'Sardina comun'!K38</f>
        <v>-8.7649999999999935</v>
      </c>
      <c r="M21" s="1">
        <f t="shared" si="2"/>
        <v>20.128000000000007</v>
      </c>
      <c r="N21" s="39">
        <f t="shared" si="3"/>
        <v>-8.7649999999999935</v>
      </c>
      <c r="O21" s="156"/>
      <c r="P21" s="6">
        <f t="shared" si="4"/>
        <v>0.76627418193641283</v>
      </c>
      <c r="Q21" s="3">
        <f t="shared" si="5"/>
        <v>-0.10177895445783686</v>
      </c>
    </row>
    <row r="22" spans="1:17">
      <c r="A22" s="11">
        <v>17</v>
      </c>
      <c r="B22" s="246"/>
      <c r="C22" s="15" t="s">
        <v>62</v>
      </c>
      <c r="D22" s="25" t="s">
        <v>19</v>
      </c>
      <c r="E22" s="1">
        <f>Anchoveta!H39+'Sardina comun'!H39</f>
        <v>37719.703000000001</v>
      </c>
      <c r="F22" s="1">
        <f t="shared" si="0"/>
        <v>15087.881200000002</v>
      </c>
      <c r="G22" s="1">
        <f>Anchoveta!I39</f>
        <v>10106.485000000001</v>
      </c>
      <c r="H22" s="1">
        <f>'Sardina comun'!I39</f>
        <v>17337.12</v>
      </c>
      <c r="I22" s="1">
        <f t="shared" si="1"/>
        <v>27443.605</v>
      </c>
      <c r="J22" s="1">
        <f>Anchoveta!J39+'Sardina comun'!J39</f>
        <v>0</v>
      </c>
      <c r="K22" s="1">
        <f>Anchoveta!K39</f>
        <v>2078.91</v>
      </c>
      <c r="L22" s="1">
        <f>'Sardina comun'!K39</f>
        <v>8197.1880000000019</v>
      </c>
      <c r="M22" s="1">
        <f t="shared" si="2"/>
        <v>10276.098000000002</v>
      </c>
      <c r="N22" s="39" t="str">
        <f t="shared" si="3"/>
        <v>0</v>
      </c>
      <c r="O22" s="156"/>
      <c r="P22" s="6">
        <f t="shared" si="4"/>
        <v>0.72756683688628188</v>
      </c>
      <c r="Q22" s="3">
        <f t="shared" si="5"/>
        <v>0</v>
      </c>
    </row>
    <row r="23" spans="1:17">
      <c r="A23" s="11">
        <v>18</v>
      </c>
      <c r="B23" s="246"/>
      <c r="C23" s="15" t="s">
        <v>63</v>
      </c>
      <c r="D23" s="25" t="s">
        <v>19</v>
      </c>
      <c r="E23" s="1">
        <f>Anchoveta!H40+'Sardina comun'!H40</f>
        <v>365.072</v>
      </c>
      <c r="F23" s="1">
        <f t="shared" si="0"/>
        <v>146.02880000000002</v>
      </c>
      <c r="G23" s="1">
        <f>Anchoveta!I40</f>
        <v>74.281999999999996</v>
      </c>
      <c r="H23" s="1">
        <f>'Sardina comun'!I40</f>
        <v>117.30200000000001</v>
      </c>
      <c r="I23" s="1">
        <f t="shared" si="1"/>
        <v>191.584</v>
      </c>
      <c r="J23" s="1">
        <f>Anchoveta!J40+'Sardina comun'!J40</f>
        <v>0</v>
      </c>
      <c r="K23" s="1">
        <f>Anchoveta!K40</f>
        <v>61.753</v>
      </c>
      <c r="L23" s="1">
        <f>'Sardina comun'!K40</f>
        <v>111.73499999999997</v>
      </c>
      <c r="M23" s="1">
        <f t="shared" si="2"/>
        <v>173.48799999999997</v>
      </c>
      <c r="N23" s="39" t="str">
        <f t="shared" si="3"/>
        <v>0</v>
      </c>
      <c r="O23" s="156"/>
      <c r="P23" s="6">
        <f t="shared" si="4"/>
        <v>0.52478415216724372</v>
      </c>
      <c r="Q23" s="3">
        <f t="shared" si="5"/>
        <v>0</v>
      </c>
    </row>
    <row r="24" spans="1:17">
      <c r="A24" s="11">
        <v>19</v>
      </c>
      <c r="B24" s="246"/>
      <c r="C24" s="15" t="s">
        <v>64</v>
      </c>
      <c r="D24" s="25" t="s">
        <v>19</v>
      </c>
      <c r="E24" s="1">
        <f>Anchoveta!H41+'Sardina comun'!H41</f>
        <v>6136.4220000000005</v>
      </c>
      <c r="F24" s="1">
        <f t="shared" si="0"/>
        <v>2454.5688000000005</v>
      </c>
      <c r="G24" s="1">
        <f>Anchoveta!I41</f>
        <v>2176.8389999999999</v>
      </c>
      <c r="H24" s="1">
        <f>'Sardina comun'!I41</f>
        <v>2409.0209999999997</v>
      </c>
      <c r="I24" s="1">
        <f t="shared" si="1"/>
        <v>4585.8599999999997</v>
      </c>
      <c r="J24" s="1">
        <f>Anchoveta!J41+'Sardina comun'!J41</f>
        <v>0</v>
      </c>
      <c r="K24" s="1">
        <f>Anchoveta!K41</f>
        <v>-108.55199999999968</v>
      </c>
      <c r="L24" s="1">
        <f>'Sardina comun'!K41</f>
        <v>1659.1140000000005</v>
      </c>
      <c r="M24" s="1">
        <f t="shared" si="2"/>
        <v>1550.5620000000008</v>
      </c>
      <c r="N24" s="39">
        <f t="shared" si="3"/>
        <v>-108.55199999999968</v>
      </c>
      <c r="O24" s="156"/>
      <c r="P24" s="6">
        <f t="shared" si="4"/>
        <v>0.74731822550665505</v>
      </c>
      <c r="Q24" s="3">
        <f t="shared" si="5"/>
        <v>-1.7689787306022903E-2</v>
      </c>
    </row>
    <row r="25" spans="1:17">
      <c r="A25" s="11">
        <v>20</v>
      </c>
      <c r="B25" s="246"/>
      <c r="C25" s="15" t="s">
        <v>65</v>
      </c>
      <c r="D25" s="25" t="s">
        <v>19</v>
      </c>
      <c r="E25" s="1">
        <f>Anchoveta!H42+'Sardina comun'!H42</f>
        <v>3634.8440000000001</v>
      </c>
      <c r="F25" s="1">
        <f t="shared" si="0"/>
        <v>1453.9376000000002</v>
      </c>
      <c r="G25" s="1">
        <f>Anchoveta!I42</f>
        <v>592.08199999999999</v>
      </c>
      <c r="H25" s="1">
        <f>'Sardina comun'!I42</f>
        <v>641.86800000000005</v>
      </c>
      <c r="I25" s="1">
        <f t="shared" si="1"/>
        <v>1233.95</v>
      </c>
      <c r="J25" s="1">
        <f>Anchoveta!J42+'Sardina comun'!J42</f>
        <v>0</v>
      </c>
      <c r="K25" s="1">
        <f>Anchoveta!K42</f>
        <v>560.33399999999995</v>
      </c>
      <c r="L25" s="1">
        <f>'Sardina comun'!K42</f>
        <v>1840.56</v>
      </c>
      <c r="M25" s="1">
        <f t="shared" si="2"/>
        <v>2400.8939999999998</v>
      </c>
      <c r="N25" s="39" t="str">
        <f t="shared" si="3"/>
        <v>0</v>
      </c>
      <c r="O25" s="156"/>
      <c r="P25" s="6">
        <f t="shared" si="4"/>
        <v>0.33947811790547272</v>
      </c>
      <c r="Q25" s="3">
        <f t="shared" si="5"/>
        <v>0</v>
      </c>
    </row>
    <row r="26" spans="1:17">
      <c r="A26" s="11">
        <v>21</v>
      </c>
      <c r="B26" s="246"/>
      <c r="C26" s="15" t="s">
        <v>66</v>
      </c>
      <c r="D26" s="25" t="s">
        <v>19</v>
      </c>
      <c r="E26" s="1">
        <f>Anchoveta!H43+'Sardina comun'!H43</f>
        <v>3951.2460000000001</v>
      </c>
      <c r="F26" s="1">
        <f t="shared" si="0"/>
        <v>1580.4984000000002</v>
      </c>
      <c r="G26" s="1">
        <f>Anchoveta!I43</f>
        <v>1526.9190000000001</v>
      </c>
      <c r="H26" s="1">
        <f>'Sardina comun'!I43</f>
        <v>1319.94</v>
      </c>
      <c r="I26" s="1">
        <f t="shared" si="1"/>
        <v>2846.8590000000004</v>
      </c>
      <c r="J26" s="1">
        <f>Anchoveta!J43+'Sardina comun'!J43</f>
        <v>0</v>
      </c>
      <c r="K26" s="1">
        <f>Anchoveta!K43</f>
        <v>-201.24500000000012</v>
      </c>
      <c r="L26" s="1">
        <f>'Sardina comun'!K43</f>
        <v>1305.6320000000001</v>
      </c>
      <c r="M26" s="1">
        <f t="shared" si="2"/>
        <v>1104.3869999999999</v>
      </c>
      <c r="N26" s="39">
        <f t="shared" si="3"/>
        <v>-201.24500000000012</v>
      </c>
      <c r="O26" s="156"/>
      <c r="P26" s="6">
        <f t="shared" si="4"/>
        <v>0.72049652185664981</v>
      </c>
      <c r="Q26" s="3">
        <f t="shared" si="5"/>
        <v>-5.0932035109937504E-2</v>
      </c>
    </row>
    <row r="27" spans="1:17">
      <c r="A27" s="11">
        <v>22</v>
      </c>
      <c r="B27" s="246"/>
      <c r="C27" s="15" t="s">
        <v>206</v>
      </c>
      <c r="D27" s="25" t="s">
        <v>19</v>
      </c>
      <c r="E27" s="1">
        <f>Anchoveta!H44+'Sardina comun'!H44</f>
        <v>7301.1660000000002</v>
      </c>
      <c r="F27" s="1">
        <f t="shared" si="0"/>
        <v>2920.4664000000002</v>
      </c>
      <c r="G27" s="1">
        <f>Anchoveta!I44</f>
        <v>2420.8560000000002</v>
      </c>
      <c r="H27" s="1">
        <f>'Sardina comun'!I44</f>
        <v>3095.5169999999998</v>
      </c>
      <c r="I27" s="1">
        <f t="shared" si="1"/>
        <v>5516.3729999999996</v>
      </c>
      <c r="J27" s="1">
        <f>Anchoveta!J44+'Sardina comun'!J44</f>
        <v>0</v>
      </c>
      <c r="K27" s="1">
        <f>Anchoveta!K44</f>
        <v>28.742999999999938</v>
      </c>
      <c r="L27" s="1">
        <f>'Sardina comun'!K44</f>
        <v>1756.0500000000002</v>
      </c>
      <c r="M27" s="1">
        <f t="shared" si="2"/>
        <v>1784.7930000000001</v>
      </c>
      <c r="N27" s="39" t="str">
        <f t="shared" si="3"/>
        <v>0</v>
      </c>
      <c r="O27" s="156"/>
      <c r="P27" s="6">
        <f t="shared" si="4"/>
        <v>0.75554685374911346</v>
      </c>
      <c r="Q27" s="3">
        <f t="shared" si="5"/>
        <v>0</v>
      </c>
    </row>
    <row r="28" spans="1:17">
      <c r="A28" s="11">
        <v>23</v>
      </c>
      <c r="B28" s="246"/>
      <c r="C28" s="15" t="s">
        <v>68</v>
      </c>
      <c r="D28" s="25" t="s">
        <v>19</v>
      </c>
      <c r="E28" s="1">
        <f>Anchoveta!H45+'Sardina comun'!H45</f>
        <v>5842.982</v>
      </c>
      <c r="F28" s="1">
        <f t="shared" si="0"/>
        <v>2337.1928000000003</v>
      </c>
      <c r="G28" s="1">
        <f>Anchoveta!I45</f>
        <v>1281.6189999999999</v>
      </c>
      <c r="H28" s="1">
        <f>'Sardina comun'!I45</f>
        <v>3304.8310000000001</v>
      </c>
      <c r="I28" s="1">
        <f t="shared" si="1"/>
        <v>4586.45</v>
      </c>
      <c r="J28" s="1">
        <f>Anchoveta!J45+'Sardina comun'!J45</f>
        <v>0</v>
      </c>
      <c r="K28" s="1">
        <f>Anchoveta!K45</f>
        <v>678.74600000000009</v>
      </c>
      <c r="L28" s="1">
        <f>'Sardina comun'!K45</f>
        <v>577.78600000000006</v>
      </c>
      <c r="M28" s="1">
        <f t="shared" si="2"/>
        <v>1256.5320000000002</v>
      </c>
      <c r="N28" s="39" t="str">
        <f t="shared" si="3"/>
        <v>0</v>
      </c>
      <c r="O28" s="156"/>
      <c r="P28" s="6">
        <f t="shared" si="4"/>
        <v>0.78495021891219241</v>
      </c>
      <c r="Q28" s="3">
        <f t="shared" si="5"/>
        <v>0</v>
      </c>
    </row>
    <row r="29" spans="1:17" hidden="1">
      <c r="A29" s="11"/>
      <c r="B29" s="246"/>
      <c r="C29" s="15" t="s">
        <v>69</v>
      </c>
      <c r="D29" s="25" t="s">
        <v>19</v>
      </c>
      <c r="E29" s="1">
        <f>Anchoveta!H46+'Sardina comun'!H46</f>
        <v>0</v>
      </c>
      <c r="F29" s="1">
        <f t="shared" si="0"/>
        <v>0</v>
      </c>
      <c r="G29" s="1">
        <f>Anchoveta!I46</f>
        <v>0</v>
      </c>
      <c r="H29" s="1">
        <f>'Sardina comun'!I46</f>
        <v>0</v>
      </c>
      <c r="I29" s="1">
        <f t="shared" si="1"/>
        <v>0</v>
      </c>
      <c r="J29" s="1">
        <f>Anchoveta!J46+'Sardina comun'!J46</f>
        <v>0</v>
      </c>
      <c r="K29" s="1">
        <f>Anchoveta!K46</f>
        <v>0</v>
      </c>
      <c r="L29" s="1">
        <f>'Sardina comun'!K46</f>
        <v>0</v>
      </c>
      <c r="M29" s="1">
        <f t="shared" si="2"/>
        <v>0</v>
      </c>
      <c r="N29" s="39" t="str">
        <f t="shared" si="3"/>
        <v>0</v>
      </c>
      <c r="O29" s="156"/>
      <c r="P29" s="6" t="e">
        <f t="shared" si="4"/>
        <v>#DIV/0!</v>
      </c>
      <c r="Q29" s="3" t="e">
        <f t="shared" si="5"/>
        <v>#DIV/0!</v>
      </c>
    </row>
    <row r="30" spans="1:17">
      <c r="A30" s="11">
        <v>24</v>
      </c>
      <c r="B30" s="246"/>
      <c r="C30" s="15" t="s">
        <v>70</v>
      </c>
      <c r="D30" s="25" t="s">
        <v>19</v>
      </c>
      <c r="E30" s="1">
        <f>Anchoveta!H47+'Sardina comun'!H47</f>
        <v>365.14499999999998</v>
      </c>
      <c r="F30" s="1">
        <f t="shared" si="0"/>
        <v>146.05799999999999</v>
      </c>
      <c r="G30" s="1">
        <f>Anchoveta!I47</f>
        <v>147.96199999999999</v>
      </c>
      <c r="H30" s="1">
        <f>'Sardina comun'!I47</f>
        <v>78.106999999999999</v>
      </c>
      <c r="I30" s="1">
        <f t="shared" si="1"/>
        <v>226.06899999999999</v>
      </c>
      <c r="J30" s="1">
        <f>Anchoveta!J47+'Sardina comun'!J47</f>
        <v>0</v>
      </c>
      <c r="K30" s="1">
        <f>Anchoveta!K47</f>
        <v>-23.807999999999993</v>
      </c>
      <c r="L30" s="1">
        <f>'Sardina comun'!K47</f>
        <v>162.88400000000001</v>
      </c>
      <c r="M30" s="1">
        <f t="shared" si="2"/>
        <v>139.07600000000002</v>
      </c>
      <c r="N30" s="39">
        <f t="shared" si="3"/>
        <v>-23.807999999999993</v>
      </c>
      <c r="O30" s="156"/>
      <c r="P30" s="6">
        <f t="shared" si="4"/>
        <v>0.61912117104164099</v>
      </c>
      <c r="Q30" s="3">
        <f t="shared" si="5"/>
        <v>-6.5201495296389092E-2</v>
      </c>
    </row>
    <row r="31" spans="1:17">
      <c r="A31" s="152">
        <v>25</v>
      </c>
      <c r="B31" s="246"/>
      <c r="C31" s="15" t="s">
        <v>71</v>
      </c>
      <c r="D31" s="25" t="s">
        <v>19</v>
      </c>
      <c r="E31" s="1">
        <f>Anchoveta!H48+'Sardina comun'!H48</f>
        <v>4501.1530000000002</v>
      </c>
      <c r="F31" s="1">
        <f t="shared" si="0"/>
        <v>1800.4612000000002</v>
      </c>
      <c r="G31" s="1">
        <f>Anchoveta!I48</f>
        <v>1298.7539999999999</v>
      </c>
      <c r="H31" s="1">
        <f>'Sardina comun'!I48</f>
        <v>2789.2579999999998</v>
      </c>
      <c r="I31" s="1">
        <f t="shared" si="1"/>
        <v>4088.0119999999997</v>
      </c>
      <c r="J31" s="1">
        <f>Anchoveta!J48+'Sardina comun'!J48</f>
        <v>0</v>
      </c>
      <c r="K31" s="1">
        <f>Anchoveta!K48</f>
        <v>211.41800000000012</v>
      </c>
      <c r="L31" s="1">
        <f>'Sardina comun'!K48</f>
        <v>201.72300000000041</v>
      </c>
      <c r="M31" s="1">
        <f t="shared" si="2"/>
        <v>413.14100000000053</v>
      </c>
      <c r="N31" s="39" t="str">
        <f t="shared" si="3"/>
        <v>0</v>
      </c>
      <c r="O31" s="156"/>
      <c r="P31" s="6">
        <f t="shared" si="4"/>
        <v>0.90821440639764961</v>
      </c>
      <c r="Q31" s="3">
        <f t="shared" si="5"/>
        <v>0</v>
      </c>
    </row>
    <row r="32" spans="1:17">
      <c r="A32" s="11">
        <v>26</v>
      </c>
      <c r="B32" s="246"/>
      <c r="C32" s="15" t="s">
        <v>194</v>
      </c>
      <c r="D32" s="25" t="s">
        <v>19</v>
      </c>
      <c r="E32" s="1">
        <f>Anchoveta!H49+'Sardina comun'!H49</f>
        <v>0.12799999999999834</v>
      </c>
      <c r="F32" s="1">
        <f t="shared" si="0"/>
        <v>5.1199999999999336E-2</v>
      </c>
      <c r="G32" s="1">
        <f>Anchoveta!I49</f>
        <v>0</v>
      </c>
      <c r="H32" s="1">
        <f>'Sardina comun'!I49</f>
        <v>0</v>
      </c>
      <c r="I32" s="1">
        <f t="shared" si="1"/>
        <v>0</v>
      </c>
      <c r="J32" s="1">
        <f>Anchoveta!J49+'Sardina comun'!J49</f>
        <v>0</v>
      </c>
      <c r="K32" s="1">
        <f>Anchoveta!K49</f>
        <v>8.0999999999999517E-2</v>
      </c>
      <c r="L32" s="1">
        <f>'Sardina comun'!K49</f>
        <v>4.699999999999882E-2</v>
      </c>
      <c r="M32" s="1">
        <f t="shared" si="2"/>
        <v>0.12799999999999834</v>
      </c>
      <c r="N32" s="39" t="str">
        <f t="shared" si="3"/>
        <v>0</v>
      </c>
      <c r="O32" s="156"/>
      <c r="P32" s="6">
        <f t="shared" si="4"/>
        <v>0</v>
      </c>
      <c r="Q32" s="3">
        <f t="shared" si="5"/>
        <v>0</v>
      </c>
    </row>
    <row r="33" spans="1:17">
      <c r="A33" s="11">
        <v>27</v>
      </c>
      <c r="B33" s="246"/>
      <c r="C33" s="15" t="s">
        <v>73</v>
      </c>
      <c r="D33" s="25" t="s">
        <v>19</v>
      </c>
      <c r="E33" s="1">
        <f>Anchoveta!H50+'Sardina comun'!H50</f>
        <v>3051.3199999999997</v>
      </c>
      <c r="F33" s="1">
        <f t="shared" si="0"/>
        <v>1220.528</v>
      </c>
      <c r="G33" s="1">
        <f>Anchoveta!I50</f>
        <v>541.16499999999996</v>
      </c>
      <c r="H33" s="1">
        <f>'Sardina comun'!I50</f>
        <v>1738.7239999999999</v>
      </c>
      <c r="I33" s="1">
        <f t="shared" si="1"/>
        <v>2279.8890000000001</v>
      </c>
      <c r="J33" s="1">
        <f>Anchoveta!J50+'Sardina comun'!J50</f>
        <v>0</v>
      </c>
      <c r="K33" s="1">
        <f>Anchoveta!K50</f>
        <v>506.05200000000013</v>
      </c>
      <c r="L33" s="1">
        <f>'Sardina comun'!K50</f>
        <v>265.37899999999991</v>
      </c>
      <c r="M33" s="1">
        <f t="shared" si="2"/>
        <v>771.43100000000004</v>
      </c>
      <c r="N33" s="39" t="str">
        <f t="shared" si="3"/>
        <v>0</v>
      </c>
      <c r="O33" s="156"/>
      <c r="P33" s="6">
        <f t="shared" si="4"/>
        <v>0.74718121993104636</v>
      </c>
      <c r="Q33" s="3">
        <f t="shared" si="5"/>
        <v>0</v>
      </c>
    </row>
    <row r="34" spans="1:17">
      <c r="A34" s="11">
        <v>28</v>
      </c>
      <c r="B34" s="246"/>
      <c r="C34" s="15" t="s">
        <v>74</v>
      </c>
      <c r="D34" s="25" t="s">
        <v>19</v>
      </c>
      <c r="E34" s="1">
        <f>Anchoveta!H51+'Sardina comun'!H51</f>
        <v>0.16899999999998272</v>
      </c>
      <c r="F34" s="1">
        <f t="shared" si="0"/>
        <v>6.7599999999993096E-2</v>
      </c>
      <c r="G34" s="1">
        <f>Anchoveta!I51</f>
        <v>0</v>
      </c>
      <c r="H34" s="1">
        <f>'Sardina comun'!I51</f>
        <v>0</v>
      </c>
      <c r="I34" s="1">
        <f t="shared" si="1"/>
        <v>0</v>
      </c>
      <c r="J34" s="1">
        <f>Anchoveta!J51+'Sardina comun'!J51</f>
        <v>0</v>
      </c>
      <c r="K34" s="1">
        <f>Anchoveta!K51</f>
        <v>9.3000000000017735E-2</v>
      </c>
      <c r="L34" s="1">
        <f>'Sardina comun'!K51</f>
        <v>7.5999999999964984E-2</v>
      </c>
      <c r="M34" s="1">
        <f t="shared" si="2"/>
        <v>0.16899999999998272</v>
      </c>
      <c r="N34" s="39" t="str">
        <f t="shared" si="3"/>
        <v>0</v>
      </c>
      <c r="O34" s="156"/>
      <c r="P34" s="6">
        <f t="shared" si="4"/>
        <v>0</v>
      </c>
      <c r="Q34" s="3">
        <f t="shared" si="5"/>
        <v>0</v>
      </c>
    </row>
    <row r="35" spans="1:17">
      <c r="A35" s="11">
        <v>29</v>
      </c>
      <c r="B35" s="246"/>
      <c r="C35" s="15" t="s">
        <v>75</v>
      </c>
      <c r="D35" s="25" t="s">
        <v>19</v>
      </c>
      <c r="E35" s="1">
        <f>Anchoveta!H52+'Sardina comun'!H52</f>
        <v>7147.1880000000001</v>
      </c>
      <c r="F35" s="1">
        <f t="shared" si="0"/>
        <v>2858.8752000000004</v>
      </c>
      <c r="G35" s="1">
        <f>Anchoveta!I52</f>
        <v>1962.1489999999999</v>
      </c>
      <c r="H35" s="1">
        <f>'Sardina comun'!I52</f>
        <v>3317.8980000000001</v>
      </c>
      <c r="I35" s="1">
        <f t="shared" si="1"/>
        <v>5280.0470000000005</v>
      </c>
      <c r="J35" s="1">
        <f>Anchoveta!J52+'Sardina comun'!J52</f>
        <v>0</v>
      </c>
      <c r="K35" s="1">
        <f>Anchoveta!K52</f>
        <v>435.80400000000009</v>
      </c>
      <c r="L35" s="1">
        <f>'Sardina comun'!K52</f>
        <v>1431.3370000000004</v>
      </c>
      <c r="M35" s="1">
        <f t="shared" si="2"/>
        <v>1867.1410000000005</v>
      </c>
      <c r="N35" s="39" t="str">
        <f t="shared" si="3"/>
        <v>0</v>
      </c>
      <c r="O35" s="156"/>
      <c r="P35" s="6">
        <f t="shared" si="4"/>
        <v>0.73875865585178402</v>
      </c>
      <c r="Q35" s="3">
        <f t="shared" si="5"/>
        <v>0</v>
      </c>
    </row>
    <row r="36" spans="1:17">
      <c r="A36" s="11">
        <v>30</v>
      </c>
      <c r="B36" s="246"/>
      <c r="C36" s="15" t="s">
        <v>76</v>
      </c>
      <c r="D36" s="25" t="s">
        <v>19</v>
      </c>
      <c r="E36" s="1">
        <f>Anchoveta!H53+'Sardina comun'!H53</f>
        <v>11558.475999999999</v>
      </c>
      <c r="F36" s="1">
        <f t="shared" si="0"/>
        <v>4623.3903999999993</v>
      </c>
      <c r="G36" s="1">
        <f>Anchoveta!I53</f>
        <v>5070.866</v>
      </c>
      <c r="H36" s="1">
        <f>'Sardina comun'!I53</f>
        <v>4188.7449999999999</v>
      </c>
      <c r="I36" s="1">
        <f t="shared" si="1"/>
        <v>9259.6110000000008</v>
      </c>
      <c r="J36" s="1">
        <f>Anchoveta!J53+'Sardina comun'!J53</f>
        <v>0</v>
      </c>
      <c r="K36" s="1">
        <f>Anchoveta!K53</f>
        <v>-1145.7950000000001</v>
      </c>
      <c r="L36" s="1">
        <f>'Sardina comun'!K53</f>
        <v>3444.66</v>
      </c>
      <c r="M36" s="1">
        <f t="shared" si="2"/>
        <v>2298.8649999999998</v>
      </c>
      <c r="N36" s="39">
        <f t="shared" si="3"/>
        <v>-1145.7950000000001</v>
      </c>
      <c r="O36" s="156"/>
      <c r="P36" s="6">
        <f t="shared" si="4"/>
        <v>0.80111002523170027</v>
      </c>
      <c r="Q36" s="3">
        <f t="shared" si="5"/>
        <v>-9.9130283265717753E-2</v>
      </c>
    </row>
    <row r="37" spans="1:17">
      <c r="A37" s="11">
        <v>31</v>
      </c>
      <c r="B37" s="246"/>
      <c r="C37" s="15" t="s">
        <v>77</v>
      </c>
      <c r="D37" s="25" t="s">
        <v>19</v>
      </c>
      <c r="E37" s="1">
        <f>Anchoveta!H54+'Sardina comun'!H54</f>
        <v>2.6999999999999996E-2</v>
      </c>
      <c r="F37" s="1">
        <f t="shared" si="0"/>
        <v>1.0799999999999999E-2</v>
      </c>
      <c r="G37" s="1">
        <f>Anchoveta!I54</f>
        <v>0</v>
      </c>
      <c r="H37" s="1">
        <f>'Sardina comun'!I54</f>
        <v>0</v>
      </c>
      <c r="I37" s="1">
        <f t="shared" si="1"/>
        <v>0</v>
      </c>
      <c r="J37" s="1">
        <f>Anchoveta!J54+'Sardina comun'!J54</f>
        <v>0</v>
      </c>
      <c r="K37" s="1">
        <f>Anchoveta!K54</f>
        <v>8.9999999999999993E-3</v>
      </c>
      <c r="L37" s="1">
        <f>'Sardina comun'!K54</f>
        <v>1.7999999999999999E-2</v>
      </c>
      <c r="M37" s="1">
        <f t="shared" si="2"/>
        <v>2.6999999999999996E-2</v>
      </c>
      <c r="N37" s="39" t="str">
        <f t="shared" si="3"/>
        <v>0</v>
      </c>
      <c r="O37" s="156"/>
      <c r="P37" s="6">
        <f t="shared" si="4"/>
        <v>0</v>
      </c>
      <c r="Q37" s="3">
        <f t="shared" si="5"/>
        <v>0</v>
      </c>
    </row>
    <row r="38" spans="1:17">
      <c r="A38" s="11">
        <v>32</v>
      </c>
      <c r="B38" s="246"/>
      <c r="C38" s="15" t="s">
        <v>78</v>
      </c>
      <c r="D38" s="25" t="s">
        <v>19</v>
      </c>
      <c r="E38" s="1">
        <f>Anchoveta!H55+'Sardina comun'!H55</f>
        <v>1200.8580000000002</v>
      </c>
      <c r="F38" s="1">
        <f t="shared" si="0"/>
        <v>480.34320000000008</v>
      </c>
      <c r="G38" s="1">
        <f>Anchoveta!I55</f>
        <v>665.07899999999995</v>
      </c>
      <c r="H38" s="1">
        <f>'Sardina comun'!I55</f>
        <v>376.60500000000002</v>
      </c>
      <c r="I38" s="1">
        <f t="shared" si="1"/>
        <v>1041.684</v>
      </c>
      <c r="J38" s="1">
        <f>Anchoveta!J55+'Sardina comun'!J55</f>
        <v>0</v>
      </c>
      <c r="K38" s="1">
        <f>Anchoveta!K55</f>
        <v>-82.277999999999906</v>
      </c>
      <c r="L38" s="1">
        <f>'Sardina comun'!K55</f>
        <v>241.452</v>
      </c>
      <c r="M38" s="1">
        <f t="shared" si="2"/>
        <v>159.17400000000009</v>
      </c>
      <c r="N38" s="39">
        <f t="shared" si="3"/>
        <v>-82.277999999999906</v>
      </c>
      <c r="O38" s="156"/>
      <c r="P38" s="6">
        <f t="shared" si="4"/>
        <v>0.86744977341201024</v>
      </c>
      <c r="Q38" s="3">
        <f t="shared" si="5"/>
        <v>-6.8516011052097661E-2</v>
      </c>
    </row>
    <row r="39" spans="1:17">
      <c r="A39" s="11">
        <v>33</v>
      </c>
      <c r="B39" s="246"/>
      <c r="C39" s="15" t="s">
        <v>79</v>
      </c>
      <c r="D39" s="25" t="s">
        <v>19</v>
      </c>
      <c r="E39" s="1">
        <f>Anchoveta!H56+'Sardina comun'!H56</f>
        <v>2335.712</v>
      </c>
      <c r="F39" s="1">
        <f t="shared" si="0"/>
        <v>934.28480000000002</v>
      </c>
      <c r="G39" s="1">
        <f>Anchoveta!I56</f>
        <v>1074.46</v>
      </c>
      <c r="H39" s="1">
        <f>'Sardina comun'!I56</f>
        <v>955.19399999999996</v>
      </c>
      <c r="I39" s="1">
        <f t="shared" si="1"/>
        <v>2029.654</v>
      </c>
      <c r="J39" s="1">
        <f>Anchoveta!J56+'Sardina comun'!J56</f>
        <v>0</v>
      </c>
      <c r="K39" s="1">
        <f>Anchoveta!K56</f>
        <v>-200.15899999999999</v>
      </c>
      <c r="L39" s="1">
        <f>'Sardina comun'!K56</f>
        <v>506.2170000000001</v>
      </c>
      <c r="M39" s="1">
        <f t="shared" si="2"/>
        <v>306.05800000000011</v>
      </c>
      <c r="N39" s="39">
        <f t="shared" si="3"/>
        <v>-200.15899999999999</v>
      </c>
      <c r="O39" s="156"/>
      <c r="P39" s="6">
        <f t="shared" si="4"/>
        <v>0.86896586565466971</v>
      </c>
      <c r="Q39" s="3">
        <f t="shared" si="5"/>
        <v>-8.5695068570097677E-2</v>
      </c>
    </row>
    <row r="40" spans="1:17">
      <c r="A40" s="11">
        <v>34</v>
      </c>
      <c r="B40" s="246"/>
      <c r="C40" s="15" t="s">
        <v>80</v>
      </c>
      <c r="D40" s="25" t="s">
        <v>19</v>
      </c>
      <c r="E40" s="1">
        <f>Anchoveta!H57+'Sardina comun'!H57</f>
        <v>2083.067</v>
      </c>
      <c r="F40" s="1">
        <f t="shared" si="0"/>
        <v>833.22680000000003</v>
      </c>
      <c r="G40" s="1">
        <f>Anchoveta!I57</f>
        <v>665.25</v>
      </c>
      <c r="H40" s="1">
        <f>'Sardina comun'!I57</f>
        <v>1108.75</v>
      </c>
      <c r="I40" s="1">
        <f t="shared" si="1"/>
        <v>1774</v>
      </c>
      <c r="J40" s="1">
        <f>Anchoveta!J57+'Sardina comun'!J57</f>
        <v>0</v>
      </c>
      <c r="K40" s="1">
        <f>Anchoveta!K57</f>
        <v>114.35500000000002</v>
      </c>
      <c r="L40" s="1">
        <f>'Sardina comun'!K57</f>
        <v>194.71199999999999</v>
      </c>
      <c r="M40" s="1">
        <f t="shared" si="2"/>
        <v>309.06700000000001</v>
      </c>
      <c r="N40" s="39" t="str">
        <f t="shared" si="3"/>
        <v>0</v>
      </c>
      <c r="O40" s="156"/>
      <c r="P40" s="6">
        <f t="shared" si="4"/>
        <v>0.85162887223502648</v>
      </c>
      <c r="Q40" s="3">
        <f t="shared" si="5"/>
        <v>0</v>
      </c>
    </row>
    <row r="41" spans="1:17">
      <c r="A41" s="11">
        <v>35</v>
      </c>
      <c r="B41" s="246"/>
      <c r="C41" s="15" t="s">
        <v>81</v>
      </c>
      <c r="D41" s="25" t="s">
        <v>19</v>
      </c>
      <c r="E41" s="1">
        <f>Anchoveta!H58+'Sardina comun'!H58</f>
        <v>5816.5770000000002</v>
      </c>
      <c r="F41" s="1">
        <f t="shared" si="0"/>
        <v>2326.6308000000004</v>
      </c>
      <c r="G41" s="1">
        <f>Anchoveta!I58</f>
        <v>1226.5550000000001</v>
      </c>
      <c r="H41" s="1">
        <f>'Sardina comun'!I58</f>
        <v>2562.585</v>
      </c>
      <c r="I41" s="1">
        <f t="shared" si="1"/>
        <v>3789.1400000000003</v>
      </c>
      <c r="J41" s="1">
        <f>Anchoveta!J58+'Sardina comun'!J58</f>
        <v>0</v>
      </c>
      <c r="K41" s="1">
        <f>Anchoveta!K58</f>
        <v>704.48099999999977</v>
      </c>
      <c r="L41" s="1">
        <f>'Sardina comun'!K58</f>
        <v>1322.9560000000001</v>
      </c>
      <c r="M41" s="1">
        <f t="shared" si="2"/>
        <v>2027.4369999999999</v>
      </c>
      <c r="N41" s="39" t="str">
        <f t="shared" si="3"/>
        <v>0</v>
      </c>
      <c r="O41" s="156"/>
      <c r="P41" s="6">
        <f t="shared" si="4"/>
        <v>0.65143812245587052</v>
      </c>
      <c r="Q41" s="3">
        <f t="shared" si="5"/>
        <v>0</v>
      </c>
    </row>
    <row r="42" spans="1:17">
      <c r="A42" s="11">
        <v>36</v>
      </c>
      <c r="B42" s="246"/>
      <c r="C42" s="15" t="s">
        <v>82</v>
      </c>
      <c r="D42" s="25" t="s">
        <v>19</v>
      </c>
      <c r="E42" s="1">
        <f>Anchoveta!H59+'Sardina comun'!H59</f>
        <v>2332.9359999999997</v>
      </c>
      <c r="F42" s="1">
        <f t="shared" si="0"/>
        <v>933.17439999999988</v>
      </c>
      <c r="G42" s="1">
        <f>Anchoveta!I59</f>
        <v>490.07900000000001</v>
      </c>
      <c r="H42" s="1">
        <f>'Sardina comun'!I59</f>
        <v>1532.3579999999999</v>
      </c>
      <c r="I42" s="1">
        <f t="shared" si="1"/>
        <v>2022.4369999999999</v>
      </c>
      <c r="J42" s="1">
        <f>Anchoveta!J59+'Sardina comun'!J59</f>
        <v>0</v>
      </c>
      <c r="K42" s="1">
        <f>Anchoveta!K59</f>
        <v>221.584</v>
      </c>
      <c r="L42" s="1">
        <f>'Sardina comun'!K59</f>
        <v>88.914999999999964</v>
      </c>
      <c r="M42" s="1">
        <f t="shared" si="2"/>
        <v>310.49899999999997</v>
      </c>
      <c r="N42" s="39" t="str">
        <f t="shared" si="3"/>
        <v>0</v>
      </c>
      <c r="O42" s="156"/>
      <c r="P42" s="6">
        <f t="shared" si="4"/>
        <v>0.86690633605036749</v>
      </c>
      <c r="Q42" s="3">
        <f t="shared" si="5"/>
        <v>0</v>
      </c>
    </row>
    <row r="43" spans="1:17">
      <c r="A43" s="11">
        <v>37</v>
      </c>
      <c r="B43" s="246"/>
      <c r="C43" s="15" t="s">
        <v>83</v>
      </c>
      <c r="D43" s="25" t="s">
        <v>19</v>
      </c>
      <c r="E43" s="1">
        <f>Anchoveta!H60+'Sardina comun'!H60</f>
        <v>1419.5610000000001</v>
      </c>
      <c r="F43" s="1">
        <f t="shared" si="0"/>
        <v>567.82440000000008</v>
      </c>
      <c r="G43" s="1">
        <f>Anchoveta!I60</f>
        <v>254.50299999999999</v>
      </c>
      <c r="H43" s="1">
        <f>'Sardina comun'!I60</f>
        <v>581.73699999999997</v>
      </c>
      <c r="I43" s="1">
        <f t="shared" si="1"/>
        <v>836.24</v>
      </c>
      <c r="J43" s="1">
        <f>Anchoveta!J60+'Sardina comun'!J60</f>
        <v>0</v>
      </c>
      <c r="K43" s="1">
        <f>Anchoveta!K60</f>
        <v>221.77100000000002</v>
      </c>
      <c r="L43" s="1">
        <f>'Sardina comun'!K60</f>
        <v>361.55000000000007</v>
      </c>
      <c r="M43" s="1">
        <f t="shared" si="2"/>
        <v>583.32100000000014</v>
      </c>
      <c r="N43" s="39" t="str">
        <f t="shared" si="3"/>
        <v>0</v>
      </c>
      <c r="O43" s="156"/>
      <c r="P43" s="6">
        <f t="shared" si="4"/>
        <v>0.5890835265268628</v>
      </c>
      <c r="Q43" s="3">
        <f t="shared" si="5"/>
        <v>0</v>
      </c>
    </row>
    <row r="44" spans="1:17">
      <c r="A44" s="11">
        <v>38</v>
      </c>
      <c r="B44" s="246"/>
      <c r="C44" s="15" t="s">
        <v>84</v>
      </c>
      <c r="D44" s="25" t="s">
        <v>19</v>
      </c>
      <c r="E44" s="1">
        <f>Anchoveta!H61+'Sardina comun'!H61</f>
        <v>4441.7430000000004</v>
      </c>
      <c r="F44" s="1">
        <f t="shared" si="0"/>
        <v>1776.6972000000003</v>
      </c>
      <c r="G44" s="1">
        <f>Anchoveta!I61</f>
        <v>1305.777</v>
      </c>
      <c r="H44" s="1">
        <f>'Sardina comun'!I61</f>
        <v>2061.616</v>
      </c>
      <c r="I44" s="1">
        <f t="shared" si="1"/>
        <v>3367.393</v>
      </c>
      <c r="J44" s="1">
        <f>Anchoveta!J61+'Sardina comun'!J61</f>
        <v>0</v>
      </c>
      <c r="K44" s="1">
        <f>Anchoveta!K61</f>
        <v>184.46199999999999</v>
      </c>
      <c r="L44" s="1">
        <f>'Sardina comun'!K61</f>
        <v>889.88799999999992</v>
      </c>
      <c r="M44" s="1">
        <f t="shared" si="2"/>
        <v>1074.3499999999999</v>
      </c>
      <c r="N44" s="39" t="str">
        <f t="shared" si="3"/>
        <v>0</v>
      </c>
      <c r="O44" s="156"/>
      <c r="P44" s="6">
        <f t="shared" si="4"/>
        <v>0.75812423186123101</v>
      </c>
      <c r="Q44" s="3">
        <f t="shared" si="5"/>
        <v>0</v>
      </c>
    </row>
    <row r="45" spans="1:17">
      <c r="A45" s="11">
        <v>39</v>
      </c>
      <c r="B45" s="246"/>
      <c r="C45" s="15" t="s">
        <v>85</v>
      </c>
      <c r="D45" s="25" t="s">
        <v>19</v>
      </c>
      <c r="E45" s="1">
        <f>Anchoveta!H62+'Sardina comun'!H62</f>
        <v>75.47799999999998</v>
      </c>
      <c r="F45" s="1">
        <f t="shared" si="0"/>
        <v>30.191199999999995</v>
      </c>
      <c r="G45" s="1">
        <f>Anchoveta!I62</f>
        <v>4.01</v>
      </c>
      <c r="H45" s="1">
        <f>'Sardina comun'!I62</f>
        <v>45.25</v>
      </c>
      <c r="I45" s="1">
        <f t="shared" si="1"/>
        <v>49.26</v>
      </c>
      <c r="J45" s="1">
        <f>Anchoveta!J62+'Sardina comun'!J62</f>
        <v>0</v>
      </c>
      <c r="K45" s="1">
        <f>Anchoveta!K62</f>
        <v>22.440999999999995</v>
      </c>
      <c r="L45" s="1">
        <f>'Sardina comun'!K62</f>
        <v>3.7769999999999868</v>
      </c>
      <c r="M45" s="1">
        <f t="shared" si="2"/>
        <v>26.217999999999982</v>
      </c>
      <c r="N45" s="39" t="str">
        <f t="shared" si="3"/>
        <v>0</v>
      </c>
      <c r="O45" s="156"/>
      <c r="P45" s="6">
        <f t="shared" si="4"/>
        <v>0.65264050451787292</v>
      </c>
      <c r="Q45" s="3">
        <f t="shared" si="5"/>
        <v>0</v>
      </c>
    </row>
    <row r="46" spans="1:17">
      <c r="A46" s="11">
        <v>40</v>
      </c>
      <c r="B46" s="246"/>
      <c r="C46" s="15" t="s">
        <v>86</v>
      </c>
      <c r="D46" s="25" t="s">
        <v>19</v>
      </c>
      <c r="E46" s="1">
        <f>Anchoveta!H63+'Sardina comun'!H63</f>
        <v>2047.3619999999999</v>
      </c>
      <c r="F46" s="1">
        <f t="shared" si="0"/>
        <v>818.94479999999999</v>
      </c>
      <c r="G46" s="1">
        <f>Anchoveta!I63</f>
        <v>470.70400000000001</v>
      </c>
      <c r="H46" s="1">
        <f>'Sardina comun'!I63</f>
        <v>817.45699999999999</v>
      </c>
      <c r="I46" s="1">
        <f t="shared" si="1"/>
        <v>1288.1610000000001</v>
      </c>
      <c r="J46" s="1">
        <f>Anchoveta!J63+'Sardina comun'!J63</f>
        <v>0</v>
      </c>
      <c r="K46" s="1">
        <f>Anchoveta!K63</f>
        <v>216.20199999999994</v>
      </c>
      <c r="L46" s="1">
        <f>'Sardina comun'!K63</f>
        <v>542.99899999999991</v>
      </c>
      <c r="M46" s="1">
        <f t="shared" si="2"/>
        <v>759.20099999999979</v>
      </c>
      <c r="N46" s="39" t="str">
        <f t="shared" si="3"/>
        <v>0</v>
      </c>
      <c r="O46" s="156"/>
      <c r="P46" s="6">
        <f t="shared" si="4"/>
        <v>0.62918086786801752</v>
      </c>
      <c r="Q46" s="3">
        <f t="shared" si="5"/>
        <v>0</v>
      </c>
    </row>
    <row r="47" spans="1:17">
      <c r="A47" s="11">
        <v>41</v>
      </c>
      <c r="B47" s="246"/>
      <c r="C47" s="15" t="s">
        <v>87</v>
      </c>
      <c r="D47" s="25" t="s">
        <v>19</v>
      </c>
      <c r="E47" s="1">
        <f>Anchoveta!H64+'Sardina comun'!H64</f>
        <v>4333.3530000000001</v>
      </c>
      <c r="F47" s="1">
        <f t="shared" si="0"/>
        <v>1733.3412000000001</v>
      </c>
      <c r="G47" s="1">
        <f>Anchoveta!I64</f>
        <v>688.23</v>
      </c>
      <c r="H47" s="1">
        <f>'Sardina comun'!I64</f>
        <v>2068.7530000000002</v>
      </c>
      <c r="I47" s="1">
        <f t="shared" si="1"/>
        <v>2756.9830000000002</v>
      </c>
      <c r="J47" s="1">
        <f>Anchoveta!J64+'Sardina comun'!J64</f>
        <v>0</v>
      </c>
      <c r="K47" s="1">
        <f>Anchoveta!K64</f>
        <v>765.64400000000001</v>
      </c>
      <c r="L47" s="1">
        <f>'Sardina comun'!K64</f>
        <v>810.72599999999966</v>
      </c>
      <c r="M47" s="1">
        <f t="shared" si="2"/>
        <v>1576.3699999999997</v>
      </c>
      <c r="N47" s="39" t="str">
        <f t="shared" si="3"/>
        <v>0</v>
      </c>
      <c r="O47" s="156"/>
      <c r="P47" s="6">
        <f t="shared" si="4"/>
        <v>0.63622395867587989</v>
      </c>
      <c r="Q47" s="3">
        <f t="shared" si="5"/>
        <v>0</v>
      </c>
    </row>
    <row r="48" spans="1:17">
      <c r="A48" s="11">
        <v>42</v>
      </c>
      <c r="B48" s="246"/>
      <c r="C48" s="15" t="s">
        <v>88</v>
      </c>
      <c r="D48" s="25" t="s">
        <v>19</v>
      </c>
      <c r="E48" s="1">
        <f>Anchoveta!H65+'Sardina comun'!H65</f>
        <v>2754.1950000000002</v>
      </c>
      <c r="F48" s="1">
        <f t="shared" si="0"/>
        <v>1101.6780000000001</v>
      </c>
      <c r="G48" s="1">
        <f>Anchoveta!I65</f>
        <v>758.81799999999998</v>
      </c>
      <c r="H48" s="1">
        <f>'Sardina comun'!I65</f>
        <v>1446.6869999999999</v>
      </c>
      <c r="I48" s="1">
        <f t="shared" si="1"/>
        <v>2205.5050000000001</v>
      </c>
      <c r="J48" s="1">
        <f>Anchoveta!J65+'Sardina comun'!J65</f>
        <v>0</v>
      </c>
      <c r="K48" s="1">
        <f>Anchoveta!K65</f>
        <v>8.0130000000000337</v>
      </c>
      <c r="L48" s="1">
        <f>'Sardina comun'!K65</f>
        <v>540.67700000000013</v>
      </c>
      <c r="M48" s="1">
        <f t="shared" si="2"/>
        <v>548.69000000000017</v>
      </c>
      <c r="N48" s="39" t="str">
        <f t="shared" si="3"/>
        <v>0</v>
      </c>
      <c r="O48" s="156"/>
      <c r="P48" s="6">
        <f t="shared" si="4"/>
        <v>0.80078026428775018</v>
      </c>
      <c r="Q48" s="3">
        <f t="shared" si="5"/>
        <v>0</v>
      </c>
    </row>
    <row r="49" spans="1:17">
      <c r="A49" s="11">
        <v>43</v>
      </c>
      <c r="B49" s="246"/>
      <c r="C49" s="15" t="s">
        <v>89</v>
      </c>
      <c r="D49" s="25" t="s">
        <v>19</v>
      </c>
      <c r="E49" s="1">
        <f>Anchoveta!H66+'Sardina comun'!H66</f>
        <v>11.172999999999774</v>
      </c>
      <c r="F49" s="1">
        <f t="shared" si="0"/>
        <v>4.4691999999999101</v>
      </c>
      <c r="G49" s="1">
        <f>Anchoveta!I66</f>
        <v>0</v>
      </c>
      <c r="H49" s="1">
        <f>'Sardina comun'!I66</f>
        <v>0</v>
      </c>
      <c r="I49" s="1">
        <f t="shared" si="1"/>
        <v>0</v>
      </c>
      <c r="J49" s="1">
        <f>Anchoveta!J66+'Sardina comun'!J66</f>
        <v>0</v>
      </c>
      <c r="K49" s="1">
        <f>Anchoveta!K66</f>
        <v>1.0039999999999054</v>
      </c>
      <c r="L49" s="1">
        <f>'Sardina comun'!K66</f>
        <v>10.168999999999869</v>
      </c>
      <c r="M49" s="1">
        <f t="shared" si="2"/>
        <v>11.172999999999774</v>
      </c>
      <c r="N49" s="39" t="str">
        <f t="shared" si="3"/>
        <v>0</v>
      </c>
      <c r="O49" s="156"/>
      <c r="P49" s="6">
        <f t="shared" si="4"/>
        <v>0</v>
      </c>
      <c r="Q49" s="3">
        <f t="shared" si="5"/>
        <v>0</v>
      </c>
    </row>
    <row r="50" spans="1:17">
      <c r="A50" s="11">
        <v>44</v>
      </c>
      <c r="B50" s="246"/>
      <c r="C50" s="15" t="s">
        <v>90</v>
      </c>
      <c r="D50" s="25" t="s">
        <v>19</v>
      </c>
      <c r="E50" s="1">
        <f>Anchoveta!H67+'Sardina comun'!H67</f>
        <v>33.140999999999998</v>
      </c>
      <c r="F50" s="1">
        <f t="shared" si="0"/>
        <v>13.256399999999999</v>
      </c>
      <c r="G50" s="1">
        <f>Anchoveta!I67</f>
        <v>0</v>
      </c>
      <c r="H50" s="1">
        <f>'Sardina comun'!I67</f>
        <v>3</v>
      </c>
      <c r="I50" s="1">
        <f t="shared" si="1"/>
        <v>3</v>
      </c>
      <c r="J50" s="1">
        <f>Anchoveta!J67+'Sardina comun'!J67</f>
        <v>0</v>
      </c>
      <c r="K50" s="1">
        <f>Anchoveta!K67</f>
        <v>11.119</v>
      </c>
      <c r="L50" s="1">
        <f>'Sardina comun'!K67</f>
        <v>19.021999999999998</v>
      </c>
      <c r="M50" s="1">
        <f t="shared" si="2"/>
        <v>30.140999999999998</v>
      </c>
      <c r="N50" s="39" t="str">
        <f t="shared" si="3"/>
        <v>0</v>
      </c>
      <c r="O50" s="156"/>
      <c r="P50" s="6">
        <f t="shared" si="4"/>
        <v>9.0522313750339464E-2</v>
      </c>
      <c r="Q50" s="3">
        <f t="shared" si="5"/>
        <v>0</v>
      </c>
    </row>
    <row r="51" spans="1:17">
      <c r="A51" s="11">
        <v>45</v>
      </c>
      <c r="B51" s="246"/>
      <c r="C51" s="15" t="s">
        <v>91</v>
      </c>
      <c r="D51" s="25" t="s">
        <v>19</v>
      </c>
      <c r="E51" s="1">
        <f>Anchoveta!H68+'Sardina comun'!H68</f>
        <v>7245.5029999999997</v>
      </c>
      <c r="F51" s="1">
        <f t="shared" si="0"/>
        <v>2898.2012</v>
      </c>
      <c r="G51" s="1">
        <f>Anchoveta!I68</f>
        <v>2280.8939999999998</v>
      </c>
      <c r="H51" s="1">
        <f>'Sardina comun'!I68</f>
        <v>3404.9349999999999</v>
      </c>
      <c r="I51" s="1">
        <f t="shared" si="1"/>
        <v>5685.8289999999997</v>
      </c>
      <c r="J51" s="1">
        <f>Anchoveta!J68+'Sardina comun'!J68</f>
        <v>0</v>
      </c>
      <c r="K51" s="1">
        <f>Anchoveta!K68</f>
        <v>150.029</v>
      </c>
      <c r="L51" s="1">
        <f>'Sardina comun'!K68</f>
        <v>1409.645</v>
      </c>
      <c r="M51" s="1">
        <f t="shared" si="2"/>
        <v>1559.674</v>
      </c>
      <c r="N51" s="39" t="str">
        <f t="shared" si="3"/>
        <v>0</v>
      </c>
      <c r="O51" s="156"/>
      <c r="P51" s="6">
        <f t="shared" si="4"/>
        <v>0.78473903054073679</v>
      </c>
      <c r="Q51" s="3">
        <f t="shared" si="5"/>
        <v>0</v>
      </c>
    </row>
    <row r="52" spans="1:17">
      <c r="A52" s="11">
        <v>46</v>
      </c>
      <c r="B52" s="246"/>
      <c r="C52" s="15" t="s">
        <v>92</v>
      </c>
      <c r="D52" s="25" t="s">
        <v>19</v>
      </c>
      <c r="E52" s="1">
        <f>Anchoveta!H69+'Sardina comun'!H69</f>
        <v>1936.7199999999998</v>
      </c>
      <c r="F52" s="1">
        <f t="shared" si="0"/>
        <v>774.68799999999999</v>
      </c>
      <c r="G52" s="1">
        <f>Anchoveta!I69</f>
        <v>232.66800000000001</v>
      </c>
      <c r="H52" s="1">
        <f>'Sardina comun'!I69</f>
        <v>1205.5360000000001</v>
      </c>
      <c r="I52" s="1">
        <f t="shared" si="1"/>
        <v>1438.2040000000002</v>
      </c>
      <c r="J52" s="1">
        <f>Anchoveta!J69+'Sardina comun'!J69</f>
        <v>0</v>
      </c>
      <c r="K52" s="1">
        <f>Anchoveta!K69</f>
        <v>417.11599999999999</v>
      </c>
      <c r="L52" s="1">
        <f>'Sardina comun'!K69</f>
        <v>81.399999999999864</v>
      </c>
      <c r="M52" s="1">
        <f t="shared" si="2"/>
        <v>498.51599999999985</v>
      </c>
      <c r="N52" s="39" t="str">
        <f t="shared" si="3"/>
        <v>0</v>
      </c>
      <c r="O52" s="156"/>
      <c r="P52" s="6">
        <f t="shared" si="4"/>
        <v>0.74259779420876548</v>
      </c>
      <c r="Q52" s="3">
        <f t="shared" si="5"/>
        <v>0</v>
      </c>
    </row>
    <row r="53" spans="1:17">
      <c r="A53" s="11">
        <v>47</v>
      </c>
      <c r="B53" s="246"/>
      <c r="C53" s="15" t="s">
        <v>93</v>
      </c>
      <c r="D53" s="25" t="s">
        <v>19</v>
      </c>
      <c r="E53" s="1">
        <f>Anchoveta!H70+'Sardina comun'!H70</f>
        <v>5153.2610000000004</v>
      </c>
      <c r="F53" s="1">
        <f t="shared" si="0"/>
        <v>2061.3044000000004</v>
      </c>
      <c r="G53" s="1">
        <f>Anchoveta!I70</f>
        <v>2108.498</v>
      </c>
      <c r="H53" s="1">
        <f>'Sardina comun'!I70</f>
        <v>2109.578</v>
      </c>
      <c r="I53" s="1">
        <f t="shared" si="1"/>
        <v>4218.076</v>
      </c>
      <c r="J53" s="1">
        <f>Anchoveta!J70+'Sardina comun'!J70</f>
        <v>0</v>
      </c>
      <c r="K53" s="1">
        <f>Anchoveta!K70</f>
        <v>-297.15300000000025</v>
      </c>
      <c r="L53" s="1">
        <f>'Sardina comun'!K70</f>
        <v>1232.3380000000002</v>
      </c>
      <c r="M53" s="1">
        <f t="shared" si="2"/>
        <v>935.18499999999995</v>
      </c>
      <c r="N53" s="39">
        <f t="shared" si="3"/>
        <v>-297.15300000000025</v>
      </c>
      <c r="O53" s="156"/>
      <c r="P53" s="6">
        <f t="shared" si="4"/>
        <v>0.81852558991287261</v>
      </c>
      <c r="Q53" s="3">
        <f t="shared" si="5"/>
        <v>-5.7663099152167961E-2</v>
      </c>
    </row>
    <row r="54" spans="1:17">
      <c r="A54" s="152">
        <v>48</v>
      </c>
      <c r="B54" s="246"/>
      <c r="C54" s="15" t="s">
        <v>94</v>
      </c>
      <c r="D54" s="25" t="s">
        <v>19</v>
      </c>
      <c r="E54" s="1">
        <f>Anchoveta!H71+'Sardina comun'!H71</f>
        <v>243.94299999999998</v>
      </c>
      <c r="F54" s="1">
        <f t="shared" si="0"/>
        <v>97.577200000000005</v>
      </c>
      <c r="G54" s="1">
        <f>Anchoveta!I71</f>
        <v>4.8559999999999999</v>
      </c>
      <c r="H54" s="1">
        <f>'Sardina comun'!I71</f>
        <v>236.29400000000001</v>
      </c>
      <c r="I54" s="1">
        <f t="shared" si="1"/>
        <v>241.15</v>
      </c>
      <c r="J54" s="1">
        <f>Anchoveta!J71+'Sardina comun'!J71</f>
        <v>0</v>
      </c>
      <c r="K54" s="1">
        <f>Anchoveta!K71</f>
        <v>50.423999999999971</v>
      </c>
      <c r="L54" s="1">
        <f>'Sardina comun'!K71</f>
        <v>-47.631</v>
      </c>
      <c r="M54" s="1">
        <f t="shared" si="2"/>
        <v>2.7929999999999708</v>
      </c>
      <c r="N54" s="39">
        <f t="shared" si="3"/>
        <v>-47.631</v>
      </c>
      <c r="O54" s="156"/>
      <c r="P54" s="6">
        <f t="shared" si="4"/>
        <v>0.9885506040345492</v>
      </c>
      <c r="Q54" s="3">
        <f t="shared" si="5"/>
        <v>-0.1952546291551715</v>
      </c>
    </row>
    <row r="55" spans="1:17">
      <c r="A55" s="11">
        <v>49</v>
      </c>
      <c r="B55" s="246"/>
      <c r="C55" s="15" t="s">
        <v>95</v>
      </c>
      <c r="D55" s="25" t="s">
        <v>19</v>
      </c>
      <c r="E55" s="1">
        <f>Anchoveta!H72+'Sardina comun'!H72</f>
        <v>4025.1289999999999</v>
      </c>
      <c r="F55" s="1">
        <f t="shared" si="0"/>
        <v>1610.0516</v>
      </c>
      <c r="G55" s="1">
        <f>Anchoveta!I72</f>
        <v>1194.1790000000001</v>
      </c>
      <c r="H55" s="1">
        <f>'Sardina comun'!I72</f>
        <v>1965.675</v>
      </c>
      <c r="I55" s="1">
        <f t="shared" si="1"/>
        <v>3159.8540000000003</v>
      </c>
      <c r="J55" s="1">
        <f>Anchoveta!J72+'Sardina comun'!J72</f>
        <v>0</v>
      </c>
      <c r="K55" s="1">
        <f>Anchoveta!K72</f>
        <v>150.76999999999998</v>
      </c>
      <c r="L55" s="1">
        <f>'Sardina comun'!K72</f>
        <v>714.50499999999988</v>
      </c>
      <c r="M55" s="1">
        <f t="shared" si="2"/>
        <v>865.27499999999986</v>
      </c>
      <c r="N55" s="39" t="str">
        <f t="shared" si="3"/>
        <v>0</v>
      </c>
      <c r="O55" s="156"/>
      <c r="P55" s="6">
        <f t="shared" si="4"/>
        <v>0.78503173438664953</v>
      </c>
      <c r="Q55" s="3">
        <f t="shared" si="5"/>
        <v>0</v>
      </c>
    </row>
    <row r="56" spans="1:17">
      <c r="A56" s="152">
        <v>50</v>
      </c>
      <c r="B56" s="246"/>
      <c r="C56" s="15" t="s">
        <v>197</v>
      </c>
      <c r="D56" s="25" t="s">
        <v>19</v>
      </c>
      <c r="E56" s="1">
        <f>Anchoveta!H73+'Sardina comun'!H73</f>
        <v>8046.7950000000001</v>
      </c>
      <c r="F56" s="1">
        <f t="shared" si="0"/>
        <v>3218.7180000000003</v>
      </c>
      <c r="G56" s="1">
        <f>Anchoveta!I73</f>
        <v>1697.0550000000001</v>
      </c>
      <c r="H56" s="1">
        <f>'Sardina comun'!I73</f>
        <v>5464.8419999999996</v>
      </c>
      <c r="I56" s="1">
        <f t="shared" si="1"/>
        <v>7161.8969999999999</v>
      </c>
      <c r="J56" s="1">
        <f>Anchoveta!J73+'Sardina comun'!J73</f>
        <v>0</v>
      </c>
      <c r="K56" s="1">
        <f>Anchoveta!K73</f>
        <v>984.952</v>
      </c>
      <c r="L56" s="1">
        <f>'Sardina comun'!K73</f>
        <v>-100.05400000000009</v>
      </c>
      <c r="M56" s="1">
        <f t="shared" si="2"/>
        <v>884.89799999999991</v>
      </c>
      <c r="N56" s="39">
        <f t="shared" si="3"/>
        <v>-100.05400000000009</v>
      </c>
      <c r="O56" s="156"/>
      <c r="P56" s="6">
        <f t="shared" si="4"/>
        <v>0.8900309999198438</v>
      </c>
      <c r="Q56" s="3">
        <f t="shared" si="5"/>
        <v>-1.2434018761506922E-2</v>
      </c>
    </row>
    <row r="57" spans="1:17">
      <c r="A57" s="57">
        <v>51</v>
      </c>
      <c r="B57" s="246"/>
      <c r="C57" s="15" t="s">
        <v>97</v>
      </c>
      <c r="D57" s="25" t="s">
        <v>19</v>
      </c>
      <c r="E57" s="1">
        <f>Anchoveta!H74+'Sardina comun'!H74</f>
        <v>360.18299999999999</v>
      </c>
      <c r="F57" s="1">
        <f t="shared" si="0"/>
        <v>144.07320000000001</v>
      </c>
      <c r="G57" s="1">
        <f>Anchoveta!I74</f>
        <v>91.695999999999998</v>
      </c>
      <c r="H57" s="1">
        <f>'Sardina comun'!I74</f>
        <v>272.29399999999998</v>
      </c>
      <c r="I57" s="1">
        <f t="shared" si="1"/>
        <v>363.99</v>
      </c>
      <c r="J57" s="1">
        <f>Anchoveta!J74+'Sardina comun'!J74</f>
        <v>0</v>
      </c>
      <c r="K57" s="1">
        <f>Anchoveta!K74</f>
        <v>29.184999999999974</v>
      </c>
      <c r="L57" s="1">
        <f>'Sardina comun'!K74</f>
        <v>-32.991999999999962</v>
      </c>
      <c r="M57" s="1">
        <f t="shared" si="2"/>
        <v>-3.8069999999999879</v>
      </c>
      <c r="N57" s="39">
        <f t="shared" si="3"/>
        <v>-32.991999999999962</v>
      </c>
      <c r="O57" s="33">
        <f>Anchoveta!M74</f>
        <v>43928</v>
      </c>
      <c r="P57" s="6">
        <f t="shared" si="4"/>
        <v>1.010569627106221</v>
      </c>
      <c r="Q57" s="3">
        <f t="shared" si="5"/>
        <v>-9.1597882187665611E-2</v>
      </c>
    </row>
    <row r="58" spans="1:17">
      <c r="A58" s="11">
        <v>52</v>
      </c>
      <c r="B58" s="246"/>
      <c r="C58" s="15" t="s">
        <v>98</v>
      </c>
      <c r="D58" s="25" t="s">
        <v>19</v>
      </c>
      <c r="E58" s="1">
        <f>Anchoveta!H75+'Sardina comun'!H75</f>
        <v>14818.732</v>
      </c>
      <c r="F58" s="1">
        <f t="shared" si="0"/>
        <v>5927.4928</v>
      </c>
      <c r="G58" s="1">
        <f>Anchoveta!I75</f>
        <v>3811.1980000000003</v>
      </c>
      <c r="H58" s="1">
        <f>'Sardina comun'!I75</f>
        <v>8051.9229999999998</v>
      </c>
      <c r="I58" s="1">
        <f t="shared" si="1"/>
        <v>11863.120999999999</v>
      </c>
      <c r="J58" s="1">
        <f>Anchoveta!J75+'Sardina comun'!J75</f>
        <v>0</v>
      </c>
      <c r="K58" s="1">
        <f>Anchoveta!K75</f>
        <v>566.10499999999956</v>
      </c>
      <c r="L58" s="1">
        <f>'Sardina comun'!K75</f>
        <v>2389.5060000000003</v>
      </c>
      <c r="M58" s="1">
        <f t="shared" si="2"/>
        <v>2955.6109999999999</v>
      </c>
      <c r="N58" s="39" t="str">
        <f t="shared" si="3"/>
        <v>0</v>
      </c>
      <c r="O58" s="156"/>
      <c r="P58" s="6">
        <f t="shared" si="4"/>
        <v>0.80054899434040638</v>
      </c>
      <c r="Q58" s="3">
        <f t="shared" si="5"/>
        <v>0</v>
      </c>
    </row>
    <row r="59" spans="1:17">
      <c r="A59" s="57">
        <v>53</v>
      </c>
      <c r="B59" s="246"/>
      <c r="C59" s="15" t="s">
        <v>198</v>
      </c>
      <c r="D59" s="25" t="s">
        <v>19</v>
      </c>
      <c r="E59" s="1">
        <f>Anchoveta!H76+'Sardina comun'!H76</f>
        <v>82.903000000000006</v>
      </c>
      <c r="F59" s="1">
        <f t="shared" si="0"/>
        <v>33.161200000000001</v>
      </c>
      <c r="G59" s="1">
        <f>Anchoveta!I76</f>
        <v>0</v>
      </c>
      <c r="H59" s="1">
        <f>'Sardina comun'!I76</f>
        <v>84.12</v>
      </c>
      <c r="I59" s="1">
        <f t="shared" si="1"/>
        <v>84.12</v>
      </c>
      <c r="J59" s="1">
        <f>Anchoveta!J76+'Sardina comun'!J76</f>
        <v>0</v>
      </c>
      <c r="K59" s="1">
        <f>Anchoveta!K76</f>
        <v>27.815000000000001</v>
      </c>
      <c r="L59" s="1">
        <f>'Sardina comun'!K76</f>
        <v>-29.032000000000004</v>
      </c>
      <c r="M59" s="1">
        <f t="shared" si="2"/>
        <v>-1.2170000000000023</v>
      </c>
      <c r="N59" s="39">
        <f t="shared" si="3"/>
        <v>-29.032000000000004</v>
      </c>
      <c r="O59" s="33">
        <f>Anchoveta!M76</f>
        <v>43921</v>
      </c>
      <c r="P59" s="6">
        <f t="shared" si="4"/>
        <v>1.0146798065208738</v>
      </c>
      <c r="Q59" s="3">
        <f t="shared" si="5"/>
        <v>-0.35019239352013803</v>
      </c>
    </row>
    <row r="60" spans="1:17">
      <c r="A60" s="11">
        <v>54</v>
      </c>
      <c r="B60" s="246"/>
      <c r="C60" s="15" t="s">
        <v>100</v>
      </c>
      <c r="D60" s="25" t="s">
        <v>19</v>
      </c>
      <c r="E60" s="1">
        <f>Anchoveta!H77+'Sardina comun'!H77</f>
        <v>4</v>
      </c>
      <c r="F60" s="1">
        <f t="shared" si="0"/>
        <v>1.6</v>
      </c>
      <c r="G60" s="1">
        <f>Anchoveta!I77</f>
        <v>0</v>
      </c>
      <c r="H60" s="1">
        <f>'Sardina comun'!I77</f>
        <v>0</v>
      </c>
      <c r="I60" s="1">
        <f t="shared" si="1"/>
        <v>0</v>
      </c>
      <c r="J60" s="1">
        <f>Anchoveta!J77+'Sardina comun'!J77</f>
        <v>0</v>
      </c>
      <c r="K60" s="1">
        <f>Anchoveta!K77</f>
        <v>1.3420000000000001</v>
      </c>
      <c r="L60" s="1">
        <f>'Sardina comun'!K77</f>
        <v>2.6579999999999999</v>
      </c>
      <c r="M60" s="1">
        <f t="shared" si="2"/>
        <v>4</v>
      </c>
      <c r="N60" s="39" t="str">
        <f t="shared" si="3"/>
        <v>0</v>
      </c>
      <c r="O60" s="156"/>
      <c r="P60" s="6">
        <f t="shared" si="4"/>
        <v>0</v>
      </c>
      <c r="Q60" s="3">
        <f t="shared" si="5"/>
        <v>0</v>
      </c>
    </row>
    <row r="61" spans="1:17">
      <c r="A61" s="11">
        <v>55</v>
      </c>
      <c r="B61" s="246"/>
      <c r="C61" s="15" t="s">
        <v>199</v>
      </c>
      <c r="D61" s="25" t="s">
        <v>19</v>
      </c>
      <c r="E61" s="1">
        <f>Anchoveta!H78+'Sardina comun'!H78</f>
        <v>12301.581000000002</v>
      </c>
      <c r="F61" s="1">
        <f t="shared" si="0"/>
        <v>4920.6324000000013</v>
      </c>
      <c r="G61" s="1">
        <f>Anchoveta!I78</f>
        <v>5769.0119999999997</v>
      </c>
      <c r="H61" s="1">
        <f>'Sardina comun'!I78</f>
        <v>4635.942</v>
      </c>
      <c r="I61" s="1">
        <f t="shared" si="1"/>
        <v>10404.954</v>
      </c>
      <c r="J61" s="1">
        <f>Anchoveta!J78+'Sardina comun'!J78</f>
        <v>0</v>
      </c>
      <c r="K61" s="1">
        <f>Anchoveta!K78</f>
        <v>-1538.1179999999995</v>
      </c>
      <c r="L61" s="1">
        <f>'Sardina comun'!K78</f>
        <v>3434.7450000000008</v>
      </c>
      <c r="M61" s="1">
        <f t="shared" si="2"/>
        <v>1896.6270000000013</v>
      </c>
      <c r="N61" s="39">
        <f t="shared" si="3"/>
        <v>-1538.1179999999995</v>
      </c>
      <c r="O61" s="156"/>
      <c r="P61" s="6">
        <f t="shared" si="4"/>
        <v>0.84582250037617102</v>
      </c>
      <c r="Q61" s="3">
        <f t="shared" si="5"/>
        <v>-0.12503417243685988</v>
      </c>
    </row>
    <row r="62" spans="1:17">
      <c r="A62" s="152">
        <v>56</v>
      </c>
      <c r="B62" s="246"/>
      <c r="C62" s="15" t="s">
        <v>200</v>
      </c>
      <c r="D62" s="25" t="s">
        <v>19</v>
      </c>
      <c r="E62" s="1">
        <f>Anchoveta!H79+'Sardina comun'!H79</f>
        <v>4815.2530000000006</v>
      </c>
      <c r="F62" s="1">
        <f t="shared" si="0"/>
        <v>1926.1012000000003</v>
      </c>
      <c r="G62" s="1">
        <f>Anchoveta!I79</f>
        <v>2272.2959999999998</v>
      </c>
      <c r="H62" s="1">
        <f>'Sardina comun'!I79</f>
        <v>2282.7420000000002</v>
      </c>
      <c r="I62" s="1">
        <f t="shared" si="1"/>
        <v>4555.0380000000005</v>
      </c>
      <c r="J62" s="1">
        <f>Anchoveta!J79+'Sardina comun'!J79</f>
        <v>0</v>
      </c>
      <c r="K62" s="1">
        <f>Anchoveta!K79</f>
        <v>-658.26899999999978</v>
      </c>
      <c r="L62" s="1">
        <f>'Sardina comun'!K79</f>
        <v>918.48399999999992</v>
      </c>
      <c r="M62" s="1">
        <f t="shared" si="2"/>
        <v>260.21500000000015</v>
      </c>
      <c r="N62" s="39">
        <f t="shared" si="3"/>
        <v>-658.26899999999978</v>
      </c>
      <c r="O62" s="156"/>
      <c r="P62" s="6">
        <f t="shared" si="4"/>
        <v>0.9459602641854955</v>
      </c>
      <c r="Q62" s="3">
        <f t="shared" si="5"/>
        <v>-0.13670496648878047</v>
      </c>
    </row>
    <row r="63" spans="1:17">
      <c r="A63" s="11">
        <v>57</v>
      </c>
      <c r="B63" s="246"/>
      <c r="C63" s="15" t="s">
        <v>103</v>
      </c>
      <c r="D63" s="25" t="s">
        <v>19</v>
      </c>
      <c r="E63" s="1">
        <f>Anchoveta!H80+'Sardina comun'!H80</f>
        <v>4915.2929999999997</v>
      </c>
      <c r="F63" s="1">
        <f t="shared" si="0"/>
        <v>1966.1171999999999</v>
      </c>
      <c r="G63" s="1">
        <f>Anchoveta!I80</f>
        <v>2203.1469999999999</v>
      </c>
      <c r="H63" s="1">
        <f>'Sardina comun'!I80</f>
        <v>2176.6849999999999</v>
      </c>
      <c r="I63" s="1">
        <f t="shared" si="1"/>
        <v>4379.8320000000003</v>
      </c>
      <c r="J63" s="1">
        <f>Anchoveta!J80+'Sardina comun'!J80</f>
        <v>0</v>
      </c>
      <c r="K63" s="1">
        <f>Anchoveta!K80</f>
        <v>-548.00799999999981</v>
      </c>
      <c r="L63" s="1">
        <f>'Sardina comun'!K80</f>
        <v>1083.4689999999996</v>
      </c>
      <c r="M63" s="1">
        <f t="shared" si="2"/>
        <v>535.46099999999979</v>
      </c>
      <c r="N63" s="39">
        <f t="shared" si="3"/>
        <v>-548.00799999999981</v>
      </c>
      <c r="O63" s="156"/>
      <c r="P63" s="6">
        <f t="shared" si="4"/>
        <v>0.89106224186432037</v>
      </c>
      <c r="Q63" s="3">
        <f t="shared" si="5"/>
        <v>-0.1114904035222315</v>
      </c>
    </row>
    <row r="64" spans="1:17">
      <c r="A64" s="152">
        <v>58</v>
      </c>
      <c r="B64" s="246"/>
      <c r="C64" s="15" t="s">
        <v>201</v>
      </c>
      <c r="D64" s="25" t="s">
        <v>19</v>
      </c>
      <c r="E64" s="1">
        <f>Anchoveta!H81+'Sardina comun'!H81</f>
        <v>1399.4360000000001</v>
      </c>
      <c r="F64" s="1">
        <f t="shared" si="0"/>
        <v>559.77440000000013</v>
      </c>
      <c r="G64" s="1">
        <f>Anchoveta!I81</f>
        <v>84.864000000000004</v>
      </c>
      <c r="H64" s="1">
        <f>'Sardina comun'!I81</f>
        <v>1206.7760000000001</v>
      </c>
      <c r="I64" s="1">
        <f t="shared" si="1"/>
        <v>1291.6400000000001</v>
      </c>
      <c r="J64" s="1">
        <f>Anchoveta!J81+'Sardina comun'!J81</f>
        <v>0</v>
      </c>
      <c r="K64" s="1">
        <f>Anchoveta!K81</f>
        <v>384.64200000000005</v>
      </c>
      <c r="L64" s="1">
        <f>'Sardina comun'!K81</f>
        <v>-276.846</v>
      </c>
      <c r="M64" s="1">
        <f t="shared" si="2"/>
        <v>107.79600000000005</v>
      </c>
      <c r="N64" s="39">
        <f t="shared" si="3"/>
        <v>-276.846</v>
      </c>
      <c r="O64" s="156"/>
      <c r="P64" s="6">
        <f t="shared" si="4"/>
        <v>0.92297182579267645</v>
      </c>
      <c r="Q64" s="3">
        <f t="shared" si="5"/>
        <v>-0.1978268388122072</v>
      </c>
    </row>
    <row r="65" spans="1:17">
      <c r="A65" s="11">
        <v>59</v>
      </c>
      <c r="B65" s="246"/>
      <c r="C65" s="15" t="s">
        <v>202</v>
      </c>
      <c r="D65" s="25" t="s">
        <v>19</v>
      </c>
      <c r="E65" s="1">
        <f>Anchoveta!H82+'Sardina comun'!H82</f>
        <v>1019.5430000000001</v>
      </c>
      <c r="F65" s="1">
        <f t="shared" si="0"/>
        <v>407.81720000000007</v>
      </c>
      <c r="G65" s="1">
        <f>Anchoveta!I82</f>
        <v>265.529</v>
      </c>
      <c r="H65" s="1">
        <f>'Sardina comun'!I82</f>
        <v>417.50799999999998</v>
      </c>
      <c r="I65" s="1">
        <f t="shared" si="1"/>
        <v>683.03700000000003</v>
      </c>
      <c r="J65" s="1">
        <f>Anchoveta!J82+'Sardina comun'!J82</f>
        <v>0</v>
      </c>
      <c r="K65" s="1">
        <f>Anchoveta!K82</f>
        <v>76.535000000000025</v>
      </c>
      <c r="L65" s="1">
        <f>'Sardina comun'!K82</f>
        <v>259.97100000000006</v>
      </c>
      <c r="M65" s="1">
        <f t="shared" si="2"/>
        <v>336.50600000000009</v>
      </c>
      <c r="N65" s="39" t="str">
        <f t="shared" si="3"/>
        <v>0</v>
      </c>
      <c r="O65" s="156"/>
      <c r="P65" s="6">
        <f t="shared" si="4"/>
        <v>0.66994427895635589</v>
      </c>
      <c r="Q65" s="3">
        <f t="shared" si="5"/>
        <v>0</v>
      </c>
    </row>
    <row r="66" spans="1:17">
      <c r="A66" s="11">
        <v>60</v>
      </c>
      <c r="B66" s="246"/>
      <c r="C66" s="15" t="s">
        <v>203</v>
      </c>
      <c r="D66" s="25" t="s">
        <v>19</v>
      </c>
      <c r="E66" s="1">
        <f>Anchoveta!H83+'Sardina comun'!H83</f>
        <v>5765.7349999999997</v>
      </c>
      <c r="F66" s="1">
        <f t="shared" si="0"/>
        <v>2306.2939999999999</v>
      </c>
      <c r="G66" s="1">
        <f>Anchoveta!I83</f>
        <v>1092.548</v>
      </c>
      <c r="H66" s="1">
        <f>'Sardina comun'!I83</f>
        <v>3318.4679999999998</v>
      </c>
      <c r="I66" s="1">
        <f t="shared" si="1"/>
        <v>4411.0159999999996</v>
      </c>
      <c r="J66" s="1">
        <f>Anchoveta!J83+'Sardina comun'!J83</f>
        <v>0</v>
      </c>
      <c r="K66" s="1">
        <f>Anchoveta!K83</f>
        <v>807.04500000000007</v>
      </c>
      <c r="L66" s="1">
        <f>'Sardina comun'!K83</f>
        <v>547.67399999999998</v>
      </c>
      <c r="M66" s="1">
        <f t="shared" si="2"/>
        <v>1354.7190000000001</v>
      </c>
      <c r="N66" s="39" t="str">
        <f t="shared" si="3"/>
        <v>0</v>
      </c>
      <c r="O66" s="156"/>
      <c r="P66" s="6">
        <f t="shared" si="4"/>
        <v>0.7650396697038625</v>
      </c>
      <c r="Q66" s="3">
        <f t="shared" si="5"/>
        <v>0</v>
      </c>
    </row>
    <row r="67" spans="1:17">
      <c r="A67" s="11">
        <v>61</v>
      </c>
      <c r="B67" s="246"/>
      <c r="C67" s="15" t="s">
        <v>107</v>
      </c>
      <c r="D67" s="25" t="s">
        <v>19</v>
      </c>
      <c r="E67" s="1">
        <f>Anchoveta!H84+'Sardina comun'!H84</f>
        <v>6281.2280000000001</v>
      </c>
      <c r="F67" s="1">
        <f t="shared" si="0"/>
        <v>2512.4912000000004</v>
      </c>
      <c r="G67" s="1">
        <f>Anchoveta!I84</f>
        <v>2360.4250000000002</v>
      </c>
      <c r="H67" s="1">
        <f>'Sardina comun'!I84</f>
        <v>1954.0740000000001</v>
      </c>
      <c r="I67" s="1">
        <f t="shared" si="1"/>
        <v>4314.4989999999998</v>
      </c>
      <c r="J67" s="1">
        <f>Anchoveta!J84+'Sardina comun'!J84</f>
        <v>0</v>
      </c>
      <c r="K67" s="1">
        <f>Anchoveta!K84</f>
        <v>-421.43000000000029</v>
      </c>
      <c r="L67" s="1">
        <f>'Sardina comun'!K84</f>
        <v>2388.1590000000001</v>
      </c>
      <c r="M67" s="1">
        <f t="shared" si="2"/>
        <v>1966.7289999999998</v>
      </c>
      <c r="N67" s="39">
        <f t="shared" si="3"/>
        <v>-421.43000000000029</v>
      </c>
      <c r="O67" s="156"/>
      <c r="P67" s="6">
        <f t="shared" si="4"/>
        <v>0.68688781875136518</v>
      </c>
      <c r="Q67" s="3">
        <f t="shared" si="5"/>
        <v>-6.7093568327721953E-2</v>
      </c>
    </row>
    <row r="68" spans="1:17">
      <c r="A68" s="11">
        <v>62</v>
      </c>
      <c r="B68" s="246"/>
      <c r="C68" s="15" t="s">
        <v>108</v>
      </c>
      <c r="D68" s="25" t="s">
        <v>19</v>
      </c>
      <c r="E68" s="1">
        <f>Anchoveta!H85+'Sardina comun'!H85</f>
        <v>1523.914</v>
      </c>
      <c r="F68" s="1">
        <f t="shared" si="0"/>
        <v>609.56560000000002</v>
      </c>
      <c r="G68" s="1">
        <f>Anchoveta!I85</f>
        <v>211.27699999999999</v>
      </c>
      <c r="H68" s="1">
        <f>'Sardina comun'!I85</f>
        <v>307.39800000000002</v>
      </c>
      <c r="I68" s="1">
        <f t="shared" si="1"/>
        <v>518.67499999999995</v>
      </c>
      <c r="J68" s="1">
        <f>Anchoveta!J85+'Sardina comun'!J85</f>
        <v>0</v>
      </c>
      <c r="K68" s="1">
        <f>Anchoveta!K85</f>
        <v>300.00800000000004</v>
      </c>
      <c r="L68" s="1">
        <f>'Sardina comun'!K85</f>
        <v>705.23099999999999</v>
      </c>
      <c r="M68" s="1">
        <f t="shared" si="2"/>
        <v>1005.239</v>
      </c>
      <c r="N68" s="39" t="str">
        <f t="shared" si="3"/>
        <v>0</v>
      </c>
      <c r="O68" s="156"/>
      <c r="P68" s="6">
        <f t="shared" si="4"/>
        <v>0.34035713301406767</v>
      </c>
      <c r="Q68" s="3">
        <f t="shared" si="5"/>
        <v>0</v>
      </c>
    </row>
    <row r="69" spans="1:17">
      <c r="A69" s="11">
        <v>63</v>
      </c>
      <c r="B69" s="246"/>
      <c r="C69" s="15" t="s">
        <v>109</v>
      </c>
      <c r="D69" s="25" t="s">
        <v>19</v>
      </c>
      <c r="E69" s="1">
        <f>Anchoveta!H86+'Sardina comun'!H86</f>
        <v>2525.2919999999999</v>
      </c>
      <c r="F69" s="1">
        <f t="shared" si="0"/>
        <v>1010.1168</v>
      </c>
      <c r="G69" s="1">
        <f>Anchoveta!I86</f>
        <v>860.59400000000005</v>
      </c>
      <c r="H69" s="1">
        <f>'Sardina comun'!I86</f>
        <v>1210.328</v>
      </c>
      <c r="I69" s="1">
        <f t="shared" si="1"/>
        <v>2070.922</v>
      </c>
      <c r="J69" s="1">
        <f>Anchoveta!J86+'Sardina comun'!J86</f>
        <v>0</v>
      </c>
      <c r="K69" s="1">
        <f>Anchoveta!K86</f>
        <v>253.66899999999987</v>
      </c>
      <c r="L69" s="1">
        <f>'Sardina comun'!K86</f>
        <v>200.70100000000002</v>
      </c>
      <c r="M69" s="1">
        <f t="shared" si="2"/>
        <v>454.36999999999989</v>
      </c>
      <c r="N69" s="39" t="str">
        <f t="shared" si="3"/>
        <v>0</v>
      </c>
      <c r="O69" s="156"/>
      <c r="P69" s="6">
        <f t="shared" si="4"/>
        <v>0.82007229262992165</v>
      </c>
      <c r="Q69" s="3">
        <f t="shared" si="5"/>
        <v>0</v>
      </c>
    </row>
    <row r="70" spans="1:17">
      <c r="A70" s="152">
        <v>64</v>
      </c>
      <c r="B70" s="246"/>
      <c r="C70" s="15" t="s">
        <v>110</v>
      </c>
      <c r="D70" s="25" t="s">
        <v>19</v>
      </c>
      <c r="E70" s="1">
        <f>Anchoveta!H87+'Sardina comun'!H87</f>
        <v>570.51</v>
      </c>
      <c r="F70" s="1">
        <f t="shared" si="0"/>
        <v>228.20400000000001</v>
      </c>
      <c r="G70" s="1">
        <f>Anchoveta!I87</f>
        <v>48.695</v>
      </c>
      <c r="H70" s="1">
        <f>'Sardina comun'!I87</f>
        <v>510.54700000000003</v>
      </c>
      <c r="I70" s="1">
        <f t="shared" si="1"/>
        <v>559.24200000000008</v>
      </c>
      <c r="J70" s="1">
        <f>Anchoveta!J87+'Sardina comun'!J87</f>
        <v>0</v>
      </c>
      <c r="K70" s="1">
        <f>Anchoveta!K87</f>
        <v>144.95400000000001</v>
      </c>
      <c r="L70" s="1">
        <f>'Sardina comun'!K87</f>
        <v>-133.68600000000004</v>
      </c>
      <c r="M70" s="1">
        <f t="shared" si="2"/>
        <v>11.267999999999972</v>
      </c>
      <c r="N70" s="39">
        <f t="shared" si="3"/>
        <v>-133.68600000000004</v>
      </c>
      <c r="O70" s="156"/>
      <c r="P70" s="6">
        <f t="shared" si="4"/>
        <v>0.98024925067045288</v>
      </c>
      <c r="Q70" s="3">
        <f t="shared" si="5"/>
        <v>-0.23432718094336652</v>
      </c>
    </row>
    <row r="71" spans="1:17">
      <c r="A71" s="11">
        <v>65</v>
      </c>
      <c r="B71" s="246"/>
      <c r="C71" s="15" t="s">
        <v>111</v>
      </c>
      <c r="D71" s="25" t="s">
        <v>19</v>
      </c>
      <c r="E71" s="1">
        <f>Anchoveta!H88+'Sardina comun'!H88</f>
        <v>2844.8040000000001</v>
      </c>
      <c r="F71" s="1">
        <f t="shared" si="0"/>
        <v>1137.9216000000001</v>
      </c>
      <c r="G71" s="1">
        <f>Anchoveta!I88</f>
        <v>1753.7370000000001</v>
      </c>
      <c r="H71" s="1">
        <f>'Sardina comun'!I88</f>
        <v>779.90300000000002</v>
      </c>
      <c r="I71" s="1">
        <f t="shared" si="1"/>
        <v>2533.6400000000003</v>
      </c>
      <c r="J71" s="1">
        <f>Anchoveta!J88+'Sardina comun'!J88</f>
        <v>0</v>
      </c>
      <c r="K71" s="1">
        <f>Anchoveta!K88</f>
        <v>-799.28300000000013</v>
      </c>
      <c r="L71" s="1">
        <f>'Sardina comun'!K88</f>
        <v>1110.4469999999999</v>
      </c>
      <c r="M71" s="1">
        <f t="shared" si="2"/>
        <v>311.16399999999976</v>
      </c>
      <c r="N71" s="39">
        <f t="shared" si="3"/>
        <v>-799.28300000000013</v>
      </c>
      <c r="O71" s="156"/>
      <c r="P71" s="6">
        <f t="shared" si="4"/>
        <v>0.89062023253623102</v>
      </c>
      <c r="Q71" s="3">
        <f t="shared" si="5"/>
        <v>-0.28096241428231966</v>
      </c>
    </row>
    <row r="72" spans="1:17">
      <c r="A72" s="11">
        <v>66</v>
      </c>
      <c r="B72" s="246"/>
      <c r="C72" s="15" t="s">
        <v>112</v>
      </c>
      <c r="D72" s="25" t="s">
        <v>19</v>
      </c>
      <c r="E72" s="1">
        <f>Anchoveta!H89+'Sardina comun'!H89</f>
        <v>5059.3310000000001</v>
      </c>
      <c r="F72" s="1">
        <f t="shared" ref="F72:F84" si="12">E72*0.4</f>
        <v>2023.7324000000001</v>
      </c>
      <c r="G72" s="1">
        <f>Anchoveta!I89</f>
        <v>845.61800000000005</v>
      </c>
      <c r="H72" s="1">
        <f>'Sardina comun'!I89</f>
        <v>1971.778</v>
      </c>
      <c r="I72" s="1">
        <f t="shared" ref="I72:I84" si="13">G72+H72</f>
        <v>2817.3960000000002</v>
      </c>
      <c r="J72" s="1">
        <f>Anchoveta!J89+'Sardina comun'!J89</f>
        <v>0</v>
      </c>
      <c r="K72" s="1">
        <f>Anchoveta!K89</f>
        <v>885.68399999999986</v>
      </c>
      <c r="L72" s="1">
        <f>'Sardina comun'!K89</f>
        <v>1356.251</v>
      </c>
      <c r="M72" s="1">
        <f t="shared" ref="M72:M84" si="14">K72+L72</f>
        <v>2241.9349999999999</v>
      </c>
      <c r="N72" s="39" t="str">
        <f t="shared" ref="N72:N84" si="15">IF(K72&lt;0,K72,IF(K72&lt;0,L72,IF(L72&lt;0,L72,IF(L72&gt;0,"0","0"))))</f>
        <v>0</v>
      </c>
      <c r="O72" s="156"/>
      <c r="P72" s="6">
        <f t="shared" ref="P72:P84" si="16">(I72+J72)/E72</f>
        <v>0.55687125432196471</v>
      </c>
      <c r="Q72" s="3">
        <f t="shared" ref="Q72:Q84" si="17">N72/E72</f>
        <v>0</v>
      </c>
    </row>
    <row r="73" spans="1:17">
      <c r="A73" s="11">
        <v>67</v>
      </c>
      <c r="B73" s="246"/>
      <c r="C73" s="15" t="s">
        <v>113</v>
      </c>
      <c r="D73" s="25" t="s">
        <v>19</v>
      </c>
      <c r="E73" s="1">
        <f>Anchoveta!H90+'Sardina comun'!H90</f>
        <v>4536.2910000000002</v>
      </c>
      <c r="F73" s="1">
        <f t="shared" si="12"/>
        <v>1814.5164000000002</v>
      </c>
      <c r="G73" s="1">
        <f>Anchoveta!I90</f>
        <v>1751.7760000000001</v>
      </c>
      <c r="H73" s="1">
        <f>'Sardina comun'!I90</f>
        <v>1936.617</v>
      </c>
      <c r="I73" s="1">
        <f t="shared" si="13"/>
        <v>3688.393</v>
      </c>
      <c r="J73" s="1">
        <f>Anchoveta!J90+'Sardina comun'!J90</f>
        <v>0</v>
      </c>
      <c r="K73" s="1">
        <f>Anchoveta!K90</f>
        <v>-229.81600000000003</v>
      </c>
      <c r="L73" s="1">
        <f>'Sardina comun'!K90</f>
        <v>1077.7140000000002</v>
      </c>
      <c r="M73" s="1">
        <f t="shared" si="14"/>
        <v>847.89800000000014</v>
      </c>
      <c r="N73" s="39">
        <f t="shared" si="15"/>
        <v>-229.81600000000003</v>
      </c>
      <c r="O73" s="156"/>
      <c r="P73" s="6">
        <f t="shared" si="16"/>
        <v>0.81308562435699117</v>
      </c>
      <c r="Q73" s="3">
        <f t="shared" si="17"/>
        <v>-5.0661652878970953E-2</v>
      </c>
    </row>
    <row r="74" spans="1:17">
      <c r="A74" s="11">
        <v>68</v>
      </c>
      <c r="B74" s="246"/>
      <c r="C74" s="15" t="s">
        <v>114</v>
      </c>
      <c r="D74" s="25" t="s">
        <v>19</v>
      </c>
      <c r="E74" s="1">
        <f>Anchoveta!H91+'Sardina comun'!H91</f>
        <v>5273.8429999999998</v>
      </c>
      <c r="F74" s="1">
        <f t="shared" si="12"/>
        <v>2109.5372000000002</v>
      </c>
      <c r="G74" s="1">
        <f>Anchoveta!I91</f>
        <v>1812.0440000000001</v>
      </c>
      <c r="H74" s="1">
        <f>'Sardina comun'!I91</f>
        <v>2757.8429999999998</v>
      </c>
      <c r="I74" s="1">
        <f t="shared" si="13"/>
        <v>4569.8869999999997</v>
      </c>
      <c r="J74" s="1">
        <f>Anchoveta!J91+'Sardina comun'!J91</f>
        <v>0</v>
      </c>
      <c r="K74" s="1">
        <f>Anchoveta!K91</f>
        <v>24.472999999999956</v>
      </c>
      <c r="L74" s="1">
        <f>'Sardina comun'!K91</f>
        <v>679.48300000000017</v>
      </c>
      <c r="M74" s="1">
        <f t="shared" si="14"/>
        <v>703.95600000000013</v>
      </c>
      <c r="N74" s="39" t="str">
        <f t="shared" si="15"/>
        <v>0</v>
      </c>
      <c r="O74" s="156"/>
      <c r="P74" s="6">
        <f t="shared" si="16"/>
        <v>0.86651934841442946</v>
      </c>
      <c r="Q74" s="3">
        <f t="shared" si="17"/>
        <v>0</v>
      </c>
    </row>
    <row r="75" spans="1:17">
      <c r="A75" s="11">
        <v>69</v>
      </c>
      <c r="B75" s="246"/>
      <c r="C75" s="15" t="s">
        <v>204</v>
      </c>
      <c r="D75" s="25" t="s">
        <v>19</v>
      </c>
      <c r="E75" s="1">
        <f>Anchoveta!H92+'Sardina comun'!H92</f>
        <v>1658.4389999999999</v>
      </c>
      <c r="F75" s="1">
        <f t="shared" si="12"/>
        <v>663.37559999999996</v>
      </c>
      <c r="G75" s="1">
        <f>Anchoveta!I92</f>
        <v>239.61799999999999</v>
      </c>
      <c r="H75" s="1">
        <f>'Sardina comun'!I92</f>
        <v>613.57000000000005</v>
      </c>
      <c r="I75" s="1">
        <f t="shared" si="13"/>
        <v>853.1880000000001</v>
      </c>
      <c r="J75" s="1">
        <f>Anchoveta!J92+'Sardina comun'!J92</f>
        <v>0</v>
      </c>
      <c r="K75" s="1">
        <f>Anchoveta!K92</f>
        <v>316.80099999999999</v>
      </c>
      <c r="L75" s="1">
        <f>'Sardina comun'!K92</f>
        <v>488.44999999999993</v>
      </c>
      <c r="M75" s="1">
        <f t="shared" si="14"/>
        <v>805.25099999999998</v>
      </c>
      <c r="N75" s="39" t="str">
        <f t="shared" si="15"/>
        <v>0</v>
      </c>
      <c r="O75" s="156"/>
      <c r="P75" s="6">
        <f t="shared" si="16"/>
        <v>0.51445244594465045</v>
      </c>
      <c r="Q75" s="3">
        <f t="shared" si="17"/>
        <v>0</v>
      </c>
    </row>
    <row r="76" spans="1:17">
      <c r="A76" s="11">
        <v>70</v>
      </c>
      <c r="B76" s="246"/>
      <c r="C76" s="15" t="s">
        <v>205</v>
      </c>
      <c r="D76" s="25" t="s">
        <v>19</v>
      </c>
      <c r="E76" s="1">
        <f>Anchoveta!H93+'Sardina comun'!H93</f>
        <v>0.66600000000000037</v>
      </c>
      <c r="F76" s="1">
        <f t="shared" si="12"/>
        <v>0.26640000000000014</v>
      </c>
      <c r="G76" s="1">
        <f>Anchoveta!I93</f>
        <v>0</v>
      </c>
      <c r="H76" s="1">
        <f>'Sardina comun'!I93</f>
        <v>0</v>
      </c>
      <c r="I76" s="1">
        <f t="shared" si="13"/>
        <v>0</v>
      </c>
      <c r="J76" s="1">
        <f>Anchoveta!J93+'Sardina comun'!J93</f>
        <v>0</v>
      </c>
      <c r="K76" s="1">
        <f>Anchoveta!K93</f>
        <v>0.2759999999999998</v>
      </c>
      <c r="L76" s="1">
        <f>'Sardina comun'!K93</f>
        <v>0.39000000000000057</v>
      </c>
      <c r="M76" s="1">
        <f t="shared" si="14"/>
        <v>0.66600000000000037</v>
      </c>
      <c r="N76" s="39" t="str">
        <f t="shared" si="15"/>
        <v>0</v>
      </c>
      <c r="O76" s="156"/>
      <c r="P76" s="6">
        <f t="shared" si="16"/>
        <v>0</v>
      </c>
      <c r="Q76" s="3">
        <f t="shared" si="17"/>
        <v>0</v>
      </c>
    </row>
    <row r="77" spans="1:17">
      <c r="A77" s="152">
        <v>71</v>
      </c>
      <c r="B77" s="246"/>
      <c r="C77" s="15" t="s">
        <v>117</v>
      </c>
      <c r="D77" s="25" t="s">
        <v>19</v>
      </c>
      <c r="E77" s="1">
        <f>Anchoveta!H94+'Sardina comun'!H94</f>
        <v>813.46800000000007</v>
      </c>
      <c r="F77" s="1">
        <f t="shared" si="12"/>
        <v>325.38720000000006</v>
      </c>
      <c r="G77" s="1">
        <f>Anchoveta!I94</f>
        <v>78.168000000000006</v>
      </c>
      <c r="H77" s="1">
        <f>'Sardina comun'!I94</f>
        <v>677</v>
      </c>
      <c r="I77" s="1">
        <f t="shared" si="13"/>
        <v>755.16800000000001</v>
      </c>
      <c r="J77" s="1">
        <f>Anchoveta!J94+'Sardina comun'!J94</f>
        <v>0</v>
      </c>
      <c r="K77" s="1">
        <f>Anchoveta!K94</f>
        <v>150.25299999999999</v>
      </c>
      <c r="L77" s="1">
        <f>'Sardina comun'!K94</f>
        <v>-91.952999999999975</v>
      </c>
      <c r="M77" s="1">
        <f t="shared" si="14"/>
        <v>58.300000000000011</v>
      </c>
      <c r="N77" s="39">
        <f t="shared" si="15"/>
        <v>-91.952999999999975</v>
      </c>
      <c r="O77" s="156"/>
      <c r="P77" s="6">
        <f t="shared" si="16"/>
        <v>0.92833153854853534</v>
      </c>
      <c r="Q77" s="3">
        <f t="shared" si="17"/>
        <v>-0.11303825104367961</v>
      </c>
    </row>
    <row r="78" spans="1:17">
      <c r="A78" s="152">
        <v>72</v>
      </c>
      <c r="B78" s="246"/>
      <c r="C78" s="15" t="s">
        <v>118</v>
      </c>
      <c r="D78" s="25" t="s">
        <v>19</v>
      </c>
      <c r="E78" s="1">
        <f>Anchoveta!H95+'Sardina comun'!H95</f>
        <v>2137.3969999999999</v>
      </c>
      <c r="F78" s="1">
        <f t="shared" si="12"/>
        <v>854.9588</v>
      </c>
      <c r="G78" s="1">
        <f>Anchoveta!I95</f>
        <v>373.46199999999999</v>
      </c>
      <c r="H78" s="1">
        <f>'Sardina comun'!I95</f>
        <v>1684.65</v>
      </c>
      <c r="I78" s="1">
        <f t="shared" si="13"/>
        <v>2058.1120000000001</v>
      </c>
      <c r="J78" s="1">
        <f>Anchoveta!J95+'Sardina comun'!J95</f>
        <v>0</v>
      </c>
      <c r="K78" s="1">
        <f>Anchoveta!K95</f>
        <v>331.928</v>
      </c>
      <c r="L78" s="1">
        <f>'Sardina comun'!K95</f>
        <v>-252.64300000000003</v>
      </c>
      <c r="M78" s="1">
        <f t="shared" si="14"/>
        <v>79.284999999999968</v>
      </c>
      <c r="N78" s="39">
        <f t="shared" si="15"/>
        <v>-252.64300000000003</v>
      </c>
      <c r="O78" s="156"/>
      <c r="P78" s="6">
        <f t="shared" si="16"/>
        <v>0.96290581487669358</v>
      </c>
      <c r="Q78" s="3">
        <f t="shared" si="17"/>
        <v>-0.11820125133515208</v>
      </c>
    </row>
    <row r="79" spans="1:17">
      <c r="A79" s="11">
        <v>73</v>
      </c>
      <c r="B79" s="246"/>
      <c r="C79" s="15" t="s">
        <v>119</v>
      </c>
      <c r="D79" s="25" t="s">
        <v>19</v>
      </c>
      <c r="E79" s="1">
        <f>Anchoveta!H96+'Sardina comun'!H96</f>
        <v>10287.733</v>
      </c>
      <c r="F79" s="1">
        <f t="shared" si="12"/>
        <v>4115.0932000000003</v>
      </c>
      <c r="G79" s="1">
        <f>Anchoveta!I96</f>
        <v>3304.643</v>
      </c>
      <c r="H79" s="1">
        <f>'Sardina comun'!I96</f>
        <v>2151.3669999999997</v>
      </c>
      <c r="I79" s="1">
        <f t="shared" si="13"/>
        <v>5456.01</v>
      </c>
      <c r="J79" s="1">
        <f>Anchoveta!J96+'Sardina comun'!J96</f>
        <v>0</v>
      </c>
      <c r="K79" s="1">
        <f>Anchoveta!K96</f>
        <v>37.913000000000011</v>
      </c>
      <c r="L79" s="1">
        <f>'Sardina comun'!K96</f>
        <v>4793.8099999999995</v>
      </c>
      <c r="M79" s="1">
        <f t="shared" si="14"/>
        <v>4831.723</v>
      </c>
      <c r="N79" s="39" t="str">
        <f t="shared" si="15"/>
        <v>0</v>
      </c>
      <c r="O79" s="156"/>
      <c r="P79" s="6">
        <f t="shared" si="16"/>
        <v>0.53034132981483872</v>
      </c>
      <c r="Q79" s="3">
        <f t="shared" si="17"/>
        <v>0</v>
      </c>
    </row>
    <row r="80" spans="1:17">
      <c r="A80" s="57">
        <v>74</v>
      </c>
      <c r="B80" s="246"/>
      <c r="C80" s="15" t="s">
        <v>120</v>
      </c>
      <c r="D80" s="25" t="s">
        <v>19</v>
      </c>
      <c r="E80" s="1">
        <f>Anchoveta!H97+'Sardina comun'!H97</f>
        <v>705.78600000000006</v>
      </c>
      <c r="F80" s="1">
        <f t="shared" si="12"/>
        <v>282.31440000000003</v>
      </c>
      <c r="G80" s="1">
        <f>Anchoveta!I97</f>
        <v>790.47799999999995</v>
      </c>
      <c r="H80" s="1">
        <f>'Sardina comun'!I97</f>
        <v>428.79899999999998</v>
      </c>
      <c r="I80" s="1">
        <f t="shared" si="13"/>
        <v>1219.277</v>
      </c>
      <c r="J80" s="1">
        <f>Anchoveta!J97+'Sardina comun'!J97</f>
        <v>0</v>
      </c>
      <c r="K80" s="1">
        <f>Anchoveta!K97</f>
        <v>-490.22499999999997</v>
      </c>
      <c r="L80" s="1">
        <f>'Sardina comun'!K97</f>
        <v>-23.265999999999963</v>
      </c>
      <c r="M80" s="1">
        <f t="shared" si="14"/>
        <v>-513.49099999999999</v>
      </c>
      <c r="N80" s="39">
        <f t="shared" si="15"/>
        <v>-490.22499999999997</v>
      </c>
      <c r="O80" s="33">
        <f>Anchoveta!M97</f>
        <v>43943</v>
      </c>
      <c r="P80" s="6">
        <f t="shared" si="16"/>
        <v>1.7275448932112565</v>
      </c>
      <c r="Q80" s="3">
        <f t="shared" si="17"/>
        <v>-0.69458022686763399</v>
      </c>
    </row>
    <row r="81" spans="1:17" s="11" customFormat="1">
      <c r="A81" s="11">
        <v>75</v>
      </c>
      <c r="B81" s="246"/>
      <c r="C81" s="15" t="s">
        <v>292</v>
      </c>
      <c r="D81" s="25" t="s">
        <v>19</v>
      </c>
      <c r="E81" s="1">
        <f>Anchoveta!H98+'Sardina comun'!H98</f>
        <v>83.503</v>
      </c>
      <c r="F81" s="1">
        <f t="shared" ref="F81:F82" si="18">E81*0.4</f>
        <v>33.401200000000003</v>
      </c>
      <c r="G81" s="1">
        <f>Anchoveta!I98</f>
        <v>0</v>
      </c>
      <c r="H81" s="1">
        <f>'Sardina comun'!I98</f>
        <v>0</v>
      </c>
      <c r="I81" s="1">
        <f t="shared" ref="I81:I82" si="19">G81+H81</f>
        <v>0</v>
      </c>
      <c r="J81" s="1">
        <f>Anchoveta!J98+'Sardina comun'!J98</f>
        <v>0</v>
      </c>
      <c r="K81" s="1">
        <f>Anchoveta!K98</f>
        <v>26.370999999999999</v>
      </c>
      <c r="L81" s="1">
        <f>'Sardina comun'!K98</f>
        <v>57.131999999999998</v>
      </c>
      <c r="M81" s="1">
        <f t="shared" ref="M81:M82" si="20">K81+L81</f>
        <v>83.503</v>
      </c>
      <c r="N81" s="39" t="str">
        <f t="shared" ref="N81:N82" si="21">IF(K81&lt;0,K81,IF(K81&lt;0,L81,IF(L81&lt;0,L81,IF(L81&gt;0,"0","0"))))</f>
        <v>0</v>
      </c>
      <c r="O81" s="156"/>
      <c r="P81" s="6">
        <f t="shared" ref="P81:P82" si="22">(I81+J81)/E81</f>
        <v>0</v>
      </c>
      <c r="Q81" s="3">
        <f t="shared" ref="Q81:Q82" si="23">N81/E81</f>
        <v>0</v>
      </c>
    </row>
    <row r="82" spans="1:17" s="11" customFormat="1">
      <c r="A82" s="11">
        <v>76</v>
      </c>
      <c r="B82" s="246"/>
      <c r="C82" s="15" t="s">
        <v>293</v>
      </c>
      <c r="D82" s="25" t="s">
        <v>19</v>
      </c>
      <c r="E82" s="1">
        <f>Anchoveta!H99+'Sardina comun'!H99</f>
        <v>401.62299999999999</v>
      </c>
      <c r="F82" s="1">
        <f t="shared" si="18"/>
        <v>160.64920000000001</v>
      </c>
      <c r="G82" s="1">
        <f>Anchoveta!I99</f>
        <v>0</v>
      </c>
      <c r="H82" s="1">
        <f>'Sardina comun'!I99</f>
        <v>46.024999999999999</v>
      </c>
      <c r="I82" s="1">
        <f t="shared" si="19"/>
        <v>46.024999999999999</v>
      </c>
      <c r="J82" s="1">
        <f>Anchoveta!J99+'Sardina comun'!J99</f>
        <v>0</v>
      </c>
      <c r="K82" s="1">
        <f>Anchoveta!K99</f>
        <v>134.74799999999999</v>
      </c>
      <c r="L82" s="1">
        <f>'Sardina comun'!K99</f>
        <v>220.85</v>
      </c>
      <c r="M82" s="1">
        <f t="shared" si="20"/>
        <v>355.59799999999996</v>
      </c>
      <c r="N82" s="39" t="str">
        <f t="shared" si="21"/>
        <v>0</v>
      </c>
      <c r="O82" s="156"/>
      <c r="P82" s="6">
        <f t="shared" si="22"/>
        <v>0.11459752056032647</v>
      </c>
      <c r="Q82" s="3">
        <f t="shared" si="23"/>
        <v>0</v>
      </c>
    </row>
    <row r="83" spans="1:17">
      <c r="A83" s="11">
        <v>77</v>
      </c>
      <c r="B83" s="246"/>
      <c r="C83" s="15" t="s">
        <v>121</v>
      </c>
      <c r="D83" s="25" t="s">
        <v>19</v>
      </c>
      <c r="E83" s="1">
        <f>Anchoveta!H100+'Sardina comun'!H100</f>
        <v>3402.5730000000003</v>
      </c>
      <c r="F83" s="1">
        <f t="shared" si="12"/>
        <v>1361.0292000000002</v>
      </c>
      <c r="G83" s="1">
        <f>Anchoveta!I100</f>
        <v>318.839</v>
      </c>
      <c r="H83" s="1">
        <f>'Sardina comun'!I100</f>
        <v>1925.204</v>
      </c>
      <c r="I83" s="1">
        <f t="shared" si="13"/>
        <v>2244.0430000000001</v>
      </c>
      <c r="J83" s="1">
        <f>Anchoveta!J100+'Sardina comun'!J100</f>
        <v>0</v>
      </c>
      <c r="K83" s="1">
        <f>Anchoveta!K100</f>
        <v>670.12900000000013</v>
      </c>
      <c r="L83" s="1">
        <f>'Sardina comun'!K100</f>
        <v>488.40100000000007</v>
      </c>
      <c r="M83" s="1">
        <f t="shared" si="14"/>
        <v>1158.5300000000002</v>
      </c>
      <c r="N83" s="39" t="str">
        <f t="shared" si="15"/>
        <v>0</v>
      </c>
      <c r="O83" s="156"/>
      <c r="P83" s="6">
        <f t="shared" si="16"/>
        <v>0.65951355048076854</v>
      </c>
      <c r="Q83" s="3">
        <f t="shared" si="17"/>
        <v>0</v>
      </c>
    </row>
    <row r="84" spans="1:17">
      <c r="A84" s="57">
        <v>78</v>
      </c>
      <c r="B84" s="246"/>
      <c r="C84" s="15" t="s">
        <v>122</v>
      </c>
      <c r="D84" s="25" t="s">
        <v>19</v>
      </c>
      <c r="E84" s="1">
        <f>Anchoveta!H101+'Sardina comun'!H101</f>
        <v>188.55799999999999</v>
      </c>
      <c r="F84" s="1">
        <f t="shared" si="12"/>
        <v>75.423199999999994</v>
      </c>
      <c r="G84" s="1">
        <f>Anchoveta!I101</f>
        <v>68.486000000000004</v>
      </c>
      <c r="H84" s="1">
        <f>'Sardina comun'!I101</f>
        <v>415.13</v>
      </c>
      <c r="I84" s="1">
        <f t="shared" si="13"/>
        <v>483.61599999999999</v>
      </c>
      <c r="J84" s="1">
        <f>Anchoveta!J101+'Sardina comun'!J101</f>
        <v>0</v>
      </c>
      <c r="K84" s="1">
        <f>Anchoveta!K101</f>
        <v>-5.2240000000000038</v>
      </c>
      <c r="L84" s="1">
        <f>'Sardina comun'!K101</f>
        <v>-289.834</v>
      </c>
      <c r="M84" s="1">
        <f t="shared" si="14"/>
        <v>-295.05799999999999</v>
      </c>
      <c r="N84" s="39">
        <f t="shared" si="15"/>
        <v>-5.2240000000000038</v>
      </c>
      <c r="O84" s="33">
        <f>Anchoveta!M101</f>
        <v>43917</v>
      </c>
      <c r="P84" s="6">
        <f t="shared" si="16"/>
        <v>2.5648129488008995</v>
      </c>
      <c r="Q84" s="3">
        <f t="shared" si="17"/>
        <v>-2.7705003235078882E-2</v>
      </c>
    </row>
  </sheetData>
  <mergeCells count="3">
    <mergeCell ref="B6:B84"/>
    <mergeCell ref="B2:Q2"/>
    <mergeCell ref="B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B1:I11"/>
  <sheetViews>
    <sheetView workbookViewId="0">
      <selection activeCell="F14" sqref="E14:F14"/>
    </sheetView>
  </sheetViews>
  <sheetFormatPr baseColWidth="10" defaultRowHeight="15"/>
  <cols>
    <col min="2" max="2" width="25.85546875" customWidth="1"/>
    <col min="3" max="3" width="14.7109375" customWidth="1"/>
    <col min="4" max="4" width="14.7109375" style="11" customWidth="1"/>
    <col min="5" max="5" width="14.140625" customWidth="1"/>
    <col min="6" max="6" width="12.42578125" customWidth="1"/>
    <col min="7" max="7" width="12.7109375" customWidth="1"/>
  </cols>
  <sheetData>
    <row r="1" spans="2:9" ht="24.75" customHeight="1"/>
    <row r="2" spans="2:9" s="11" customFormat="1">
      <c r="C2" s="252" t="s">
        <v>285</v>
      </c>
      <c r="D2" s="252"/>
      <c r="E2" s="252"/>
      <c r="F2" s="252"/>
      <c r="G2" s="252"/>
      <c r="H2" s="252"/>
    </row>
    <row r="3" spans="2:9">
      <c r="C3" s="253">
        <f>RESUMEN!B3</f>
        <v>44020</v>
      </c>
      <c r="D3" s="254"/>
      <c r="E3" s="254"/>
      <c r="F3" s="254"/>
      <c r="G3" s="254"/>
      <c r="H3" s="254"/>
    </row>
    <row r="5" spans="2:9" ht="31.5" customHeight="1">
      <c r="C5" s="83" t="s">
        <v>211</v>
      </c>
      <c r="D5" s="83" t="s">
        <v>216</v>
      </c>
      <c r="E5" s="84" t="s">
        <v>214</v>
      </c>
      <c r="F5" s="84" t="s">
        <v>215</v>
      </c>
      <c r="G5" s="85" t="s">
        <v>219</v>
      </c>
      <c r="H5" s="86" t="s">
        <v>220</v>
      </c>
      <c r="I5" s="83" t="s">
        <v>37</v>
      </c>
    </row>
    <row r="6" spans="2:9">
      <c r="C6" s="251" t="s">
        <v>212</v>
      </c>
      <c r="D6" s="82" t="s">
        <v>217</v>
      </c>
      <c r="E6" s="1">
        <v>325.8</v>
      </c>
      <c r="F6" s="43">
        <v>638.34199999999998</v>
      </c>
      <c r="G6" s="1">
        <f>E6-F6</f>
        <v>-312.54199999999997</v>
      </c>
      <c r="H6" s="255">
        <f>G6+G7</f>
        <v>253.27500000000003</v>
      </c>
      <c r="I6" s="248"/>
    </row>
    <row r="7" spans="2:9">
      <c r="B7" s="11"/>
      <c r="C7" s="251"/>
      <c r="D7" s="82" t="s">
        <v>218</v>
      </c>
      <c r="E7" s="1">
        <v>963.9</v>
      </c>
      <c r="F7" s="155">
        <v>398.08300000000003</v>
      </c>
      <c r="G7" s="1">
        <f t="shared" ref="G7:G11" si="0">E7-F7</f>
        <v>565.81700000000001</v>
      </c>
      <c r="H7" s="256"/>
      <c r="I7" s="248"/>
    </row>
    <row r="8" spans="2:9">
      <c r="C8" s="251" t="s">
        <v>213</v>
      </c>
      <c r="D8" s="82" t="s">
        <v>217</v>
      </c>
      <c r="E8" s="1">
        <v>651.6</v>
      </c>
      <c r="F8" s="155">
        <v>1271.998</v>
      </c>
      <c r="G8" s="1">
        <f t="shared" si="0"/>
        <v>-620.39800000000002</v>
      </c>
      <c r="H8" s="255">
        <f t="shared" ref="H8" si="1">G8+G9</f>
        <v>136.23199999999997</v>
      </c>
      <c r="I8" s="249">
        <v>43983</v>
      </c>
    </row>
    <row r="9" spans="2:9">
      <c r="C9" s="251"/>
      <c r="D9" s="82" t="s">
        <v>218</v>
      </c>
      <c r="E9" s="1">
        <v>1285.2</v>
      </c>
      <c r="F9" s="155">
        <v>528.57000000000005</v>
      </c>
      <c r="G9" s="1">
        <f t="shared" si="0"/>
        <v>756.63</v>
      </c>
      <c r="H9" s="256"/>
      <c r="I9" s="250"/>
    </row>
    <row r="10" spans="2:9">
      <c r="C10" s="251" t="s">
        <v>490</v>
      </c>
      <c r="D10" s="82" t="s">
        <v>217</v>
      </c>
      <c r="E10" s="1">
        <v>651.6</v>
      </c>
      <c r="F10" s="155">
        <v>876.56799999999998</v>
      </c>
      <c r="G10" s="1">
        <f t="shared" si="0"/>
        <v>-224.96799999999996</v>
      </c>
      <c r="H10" s="255">
        <f t="shared" ref="H10" si="2">G10+G11</f>
        <v>202.39800000000002</v>
      </c>
      <c r="I10" s="248"/>
    </row>
    <row r="11" spans="2:9">
      <c r="C11" s="251"/>
      <c r="D11" s="82" t="s">
        <v>218</v>
      </c>
      <c r="E11" s="1">
        <v>642.6</v>
      </c>
      <c r="F11" s="155">
        <v>215.23400000000001</v>
      </c>
      <c r="G11" s="1">
        <f t="shared" si="0"/>
        <v>427.36599999999999</v>
      </c>
      <c r="H11" s="256"/>
      <c r="I11" s="248"/>
    </row>
  </sheetData>
  <mergeCells count="11">
    <mergeCell ref="C2:H2"/>
    <mergeCell ref="C3:H3"/>
    <mergeCell ref="C10:C11"/>
    <mergeCell ref="H6:H7"/>
    <mergeCell ref="H8:H9"/>
    <mergeCell ref="H10:H11"/>
    <mergeCell ref="I6:I7"/>
    <mergeCell ref="I8:I9"/>
    <mergeCell ref="I10:I11"/>
    <mergeCell ref="C6:C7"/>
    <mergeCell ref="C8:C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N1428"/>
  <sheetViews>
    <sheetView topLeftCell="D603" zoomScale="90" zoomScaleNormal="90" workbookViewId="0">
      <selection activeCell="L609" sqref="L609"/>
    </sheetView>
  </sheetViews>
  <sheetFormatPr baseColWidth="10" defaultRowHeight="15"/>
  <cols>
    <col min="1" max="1" width="30.7109375" style="94" customWidth="1"/>
    <col min="2" max="2" width="20.85546875" style="94" bestFit="1" customWidth="1"/>
    <col min="3" max="3" width="12.42578125" style="94" customWidth="1"/>
    <col min="4" max="4" width="15.7109375" style="94" customWidth="1"/>
    <col min="5" max="5" width="13.28515625" style="94" hidden="1" customWidth="1"/>
    <col min="6" max="6" width="12.85546875" style="94" hidden="1" customWidth="1"/>
    <col min="7" max="7" width="16.85546875" style="94" customWidth="1"/>
    <col min="8" max="8" width="11.42578125" style="94"/>
    <col min="9" max="9" width="11.42578125" style="94" hidden="1" customWidth="1"/>
    <col min="10" max="10" width="17.85546875" style="94" customWidth="1"/>
    <col min="11" max="11" width="14.28515625" style="197" customWidth="1"/>
    <col min="12" max="12" width="11.42578125" style="94"/>
    <col min="13" max="13" width="11.42578125" style="200"/>
    <col min="14" max="14" width="12.7109375" style="94" customWidth="1"/>
    <col min="15" max="16384" width="11.42578125" style="94"/>
  </cols>
  <sheetData>
    <row r="1" spans="1:14" s="88" customFormat="1">
      <c r="K1" s="195"/>
      <c r="M1" s="198"/>
    </row>
    <row r="2" spans="1:14" s="88" customFormat="1">
      <c r="B2" s="276" t="s">
        <v>231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</row>
    <row r="3" spans="1:14" s="88" customFormat="1" ht="27" customHeight="1">
      <c r="A3" s="93" t="s">
        <v>236</v>
      </c>
      <c r="B3" s="58" t="s">
        <v>222</v>
      </c>
      <c r="C3" s="58" t="s">
        <v>223</v>
      </c>
      <c r="D3" s="58" t="s">
        <v>224</v>
      </c>
      <c r="E3" s="58" t="s">
        <v>234</v>
      </c>
      <c r="F3" s="58" t="s">
        <v>225</v>
      </c>
      <c r="G3" s="58" t="s">
        <v>226</v>
      </c>
      <c r="H3" s="58" t="s">
        <v>227</v>
      </c>
      <c r="I3" s="58" t="s">
        <v>228</v>
      </c>
      <c r="J3" s="58" t="s">
        <v>229</v>
      </c>
      <c r="K3" s="196" t="s">
        <v>230</v>
      </c>
      <c r="L3" s="58" t="s">
        <v>160</v>
      </c>
      <c r="M3" s="199" t="s">
        <v>161</v>
      </c>
      <c r="N3" s="58" t="s">
        <v>162</v>
      </c>
    </row>
    <row r="4" spans="1:14" s="88" customFormat="1" ht="15" hidden="1" customHeight="1">
      <c r="A4" s="97" t="s">
        <v>308</v>
      </c>
      <c r="B4" s="97" t="s">
        <v>309</v>
      </c>
      <c r="C4" s="98">
        <v>43878</v>
      </c>
      <c r="D4" s="97">
        <v>3</v>
      </c>
      <c r="E4" s="97" t="s">
        <v>310</v>
      </c>
      <c r="F4" s="97" t="s">
        <v>311</v>
      </c>
      <c r="G4" s="97" t="s">
        <v>312</v>
      </c>
      <c r="H4" s="97">
        <v>957800</v>
      </c>
      <c r="I4" s="97" t="s">
        <v>314</v>
      </c>
      <c r="J4" s="97" t="s">
        <v>217</v>
      </c>
      <c r="K4" s="273">
        <v>104</v>
      </c>
      <c r="L4" s="141">
        <v>115.574</v>
      </c>
      <c r="M4" s="274">
        <f>K4-(L4+L5)</f>
        <v>-77.072999999999979</v>
      </c>
      <c r="N4" s="275">
        <f>(L4+L5)/K4</f>
        <v>1.7410865384615382</v>
      </c>
    </row>
    <row r="5" spans="1:14" ht="15" hidden="1" customHeight="1">
      <c r="A5" s="97" t="s">
        <v>308</v>
      </c>
      <c r="B5" s="97" t="s">
        <v>309</v>
      </c>
      <c r="C5" s="98">
        <v>43878</v>
      </c>
      <c r="D5" s="97">
        <v>3</v>
      </c>
      <c r="E5" s="97" t="s">
        <v>310</v>
      </c>
      <c r="F5" s="97" t="s">
        <v>311</v>
      </c>
      <c r="G5" s="97" t="s">
        <v>313</v>
      </c>
      <c r="H5" s="97">
        <v>963943</v>
      </c>
      <c r="I5" s="97" t="s">
        <v>314</v>
      </c>
      <c r="J5" s="97" t="s">
        <v>217</v>
      </c>
      <c r="K5" s="273"/>
      <c r="L5" s="141">
        <v>65.498999999999995</v>
      </c>
      <c r="M5" s="274"/>
      <c r="N5" s="275"/>
    </row>
    <row r="6" spans="1:14" ht="15" hidden="1" customHeight="1">
      <c r="A6" s="97" t="s">
        <v>308</v>
      </c>
      <c r="B6" s="97" t="s">
        <v>309</v>
      </c>
      <c r="C6" s="98">
        <v>43878</v>
      </c>
      <c r="D6" s="97">
        <v>3</v>
      </c>
      <c r="E6" s="97" t="s">
        <v>310</v>
      </c>
      <c r="F6" s="97" t="s">
        <v>311</v>
      </c>
      <c r="G6" s="97" t="s">
        <v>312</v>
      </c>
      <c r="H6" s="97">
        <v>957800</v>
      </c>
      <c r="I6" s="97" t="s">
        <v>314</v>
      </c>
      <c r="J6" s="97" t="s">
        <v>218</v>
      </c>
      <c r="K6" s="273">
        <v>206</v>
      </c>
      <c r="L6" s="141">
        <v>73.262</v>
      </c>
      <c r="M6" s="274">
        <f>K6-(L6+L7)</f>
        <v>76.957999999999998</v>
      </c>
      <c r="N6" s="275">
        <f>(L6+L7)/K6</f>
        <v>0.62641747572815532</v>
      </c>
    </row>
    <row r="7" spans="1:14" ht="15" hidden="1" customHeight="1">
      <c r="A7" s="97" t="s">
        <v>308</v>
      </c>
      <c r="B7" s="97" t="s">
        <v>309</v>
      </c>
      <c r="C7" s="98">
        <v>43878</v>
      </c>
      <c r="D7" s="97">
        <v>3</v>
      </c>
      <c r="E7" s="97" t="s">
        <v>310</v>
      </c>
      <c r="F7" s="97" t="s">
        <v>311</v>
      </c>
      <c r="G7" s="97" t="s">
        <v>313</v>
      </c>
      <c r="H7" s="97">
        <v>963943</v>
      </c>
      <c r="I7" s="107" t="s">
        <v>314</v>
      </c>
      <c r="J7" s="97" t="s">
        <v>218</v>
      </c>
      <c r="K7" s="273"/>
      <c r="L7" s="141">
        <v>55.78</v>
      </c>
      <c r="M7" s="274"/>
      <c r="N7" s="275"/>
    </row>
    <row r="8" spans="1:14" ht="15" hidden="1" customHeight="1">
      <c r="A8" s="97" t="s">
        <v>315</v>
      </c>
      <c r="B8" s="97" t="s">
        <v>309</v>
      </c>
      <c r="C8" s="98">
        <v>43878</v>
      </c>
      <c r="D8" s="97">
        <v>6</v>
      </c>
      <c r="E8" s="97" t="s">
        <v>310</v>
      </c>
      <c r="F8" s="97" t="s">
        <v>311</v>
      </c>
      <c r="G8" s="97" t="s">
        <v>316</v>
      </c>
      <c r="H8" s="97">
        <v>967145</v>
      </c>
      <c r="I8" s="97" t="s">
        <v>314</v>
      </c>
      <c r="J8" s="97" t="s">
        <v>217</v>
      </c>
      <c r="K8" s="273">
        <v>597</v>
      </c>
      <c r="L8" s="141">
        <v>80.379000000000005</v>
      </c>
      <c r="M8" s="274">
        <f>K8-(L8+L9+L10)</f>
        <v>-873.67200000000003</v>
      </c>
      <c r="N8" s="275">
        <f>(L8+L9+L10)/K8</f>
        <v>2.4634371859296484</v>
      </c>
    </row>
    <row r="9" spans="1:14" ht="15" hidden="1" customHeight="1">
      <c r="A9" s="97" t="s">
        <v>315</v>
      </c>
      <c r="B9" s="97" t="s">
        <v>309</v>
      </c>
      <c r="C9" s="98">
        <v>43878</v>
      </c>
      <c r="D9" s="97">
        <v>6</v>
      </c>
      <c r="E9" s="97" t="s">
        <v>310</v>
      </c>
      <c r="F9" s="97" t="s">
        <v>311</v>
      </c>
      <c r="G9" s="97" t="s">
        <v>317</v>
      </c>
      <c r="H9" s="97">
        <v>967342</v>
      </c>
      <c r="I9" s="97" t="s">
        <v>314</v>
      </c>
      <c r="J9" s="97" t="s">
        <v>217</v>
      </c>
      <c r="K9" s="273"/>
      <c r="L9" s="141">
        <v>748.14400000000001</v>
      </c>
      <c r="M9" s="274"/>
      <c r="N9" s="275"/>
    </row>
    <row r="10" spans="1:14" ht="15" hidden="1" customHeight="1">
      <c r="A10" s="97" t="s">
        <v>315</v>
      </c>
      <c r="B10" s="97" t="s">
        <v>309</v>
      </c>
      <c r="C10" s="98">
        <v>43878</v>
      </c>
      <c r="D10" s="97">
        <v>6</v>
      </c>
      <c r="E10" s="97" t="s">
        <v>310</v>
      </c>
      <c r="F10" s="97" t="s">
        <v>311</v>
      </c>
      <c r="G10" s="97" t="s">
        <v>318</v>
      </c>
      <c r="H10" s="97">
        <v>967281</v>
      </c>
      <c r="I10" s="97" t="s">
        <v>314</v>
      </c>
      <c r="J10" s="97" t="s">
        <v>217</v>
      </c>
      <c r="K10" s="273"/>
      <c r="L10" s="141">
        <v>642.149</v>
      </c>
      <c r="M10" s="274"/>
      <c r="N10" s="275"/>
    </row>
    <row r="11" spans="1:14" ht="15" hidden="1" customHeight="1">
      <c r="A11" s="97" t="s">
        <v>315</v>
      </c>
      <c r="B11" s="97" t="s">
        <v>309</v>
      </c>
      <c r="C11" s="98">
        <v>43878</v>
      </c>
      <c r="D11" s="97">
        <v>6</v>
      </c>
      <c r="E11" s="97" t="s">
        <v>310</v>
      </c>
      <c r="F11" s="97" t="s">
        <v>311</v>
      </c>
      <c r="G11" s="97" t="s">
        <v>316</v>
      </c>
      <c r="H11" s="97">
        <v>967145</v>
      </c>
      <c r="I11" s="97" t="s">
        <v>314</v>
      </c>
      <c r="J11" s="97" t="s">
        <v>218</v>
      </c>
      <c r="K11" s="273">
        <v>1333</v>
      </c>
      <c r="L11" s="141">
        <v>83.555000000000007</v>
      </c>
      <c r="M11" s="274">
        <f>K11-(L11+L12+L13)</f>
        <v>1061.423</v>
      </c>
      <c r="N11" s="275">
        <f>(L11+L12+L13)/K11</f>
        <v>0.20373368342085521</v>
      </c>
    </row>
    <row r="12" spans="1:14" ht="15" hidden="1" customHeight="1">
      <c r="A12" s="97" t="s">
        <v>315</v>
      </c>
      <c r="B12" s="97" t="s">
        <v>309</v>
      </c>
      <c r="C12" s="98">
        <v>43878</v>
      </c>
      <c r="D12" s="97">
        <v>6</v>
      </c>
      <c r="E12" s="97" t="s">
        <v>310</v>
      </c>
      <c r="F12" s="97" t="s">
        <v>311</v>
      </c>
      <c r="G12" s="97" t="s">
        <v>317</v>
      </c>
      <c r="H12" s="97">
        <v>967342</v>
      </c>
      <c r="I12" s="97" t="s">
        <v>314</v>
      </c>
      <c r="J12" s="97" t="s">
        <v>218</v>
      </c>
      <c r="K12" s="273"/>
      <c r="L12" s="141">
        <v>108.854</v>
      </c>
      <c r="M12" s="274"/>
      <c r="N12" s="275"/>
    </row>
    <row r="13" spans="1:14" ht="15" hidden="1" customHeight="1">
      <c r="A13" s="97" t="s">
        <v>315</v>
      </c>
      <c r="B13" s="97" t="s">
        <v>309</v>
      </c>
      <c r="C13" s="98">
        <v>43878</v>
      </c>
      <c r="D13" s="97">
        <v>6</v>
      </c>
      <c r="E13" s="97" t="s">
        <v>310</v>
      </c>
      <c r="F13" s="97" t="s">
        <v>311</v>
      </c>
      <c r="G13" s="97" t="s">
        <v>318</v>
      </c>
      <c r="H13" s="97">
        <v>967281</v>
      </c>
      <c r="I13" s="97" t="s">
        <v>314</v>
      </c>
      <c r="J13" s="97" t="s">
        <v>218</v>
      </c>
      <c r="K13" s="273"/>
      <c r="L13" s="141">
        <v>79.168000000000006</v>
      </c>
      <c r="M13" s="274"/>
      <c r="N13" s="275"/>
    </row>
    <row r="14" spans="1:14" ht="15" hidden="1" customHeight="1">
      <c r="A14" s="97" t="s">
        <v>319</v>
      </c>
      <c r="B14" s="97" t="s">
        <v>309</v>
      </c>
      <c r="C14" s="98">
        <v>43879</v>
      </c>
      <c r="D14" s="97">
        <v>10</v>
      </c>
      <c r="E14" s="97" t="s">
        <v>310</v>
      </c>
      <c r="F14" s="97" t="s">
        <v>311</v>
      </c>
      <c r="G14" s="97" t="s">
        <v>316</v>
      </c>
      <c r="H14" s="97">
        <v>967145</v>
      </c>
      <c r="I14" s="97" t="s">
        <v>314</v>
      </c>
      <c r="J14" s="97" t="s">
        <v>217</v>
      </c>
      <c r="K14" s="273">
        <v>190</v>
      </c>
      <c r="L14" s="141"/>
      <c r="M14" s="274">
        <f>K14-(L14+L15+L16)</f>
        <v>105.804</v>
      </c>
      <c r="N14" s="275">
        <f>(L14+L15+L16)/K14</f>
        <v>0.44313684210526316</v>
      </c>
    </row>
    <row r="15" spans="1:14" ht="15" hidden="1" customHeight="1">
      <c r="A15" s="97" t="s">
        <v>319</v>
      </c>
      <c r="B15" s="97" t="s">
        <v>309</v>
      </c>
      <c r="C15" s="98">
        <v>43879</v>
      </c>
      <c r="D15" s="97">
        <v>10</v>
      </c>
      <c r="E15" s="97" t="s">
        <v>310</v>
      </c>
      <c r="F15" s="97" t="s">
        <v>311</v>
      </c>
      <c r="G15" s="97" t="s">
        <v>317</v>
      </c>
      <c r="H15" s="97">
        <v>967342</v>
      </c>
      <c r="I15" s="97" t="s">
        <v>314</v>
      </c>
      <c r="J15" s="97" t="s">
        <v>217</v>
      </c>
      <c r="K15" s="273"/>
      <c r="L15" s="141">
        <v>45.578000000000003</v>
      </c>
      <c r="M15" s="274"/>
      <c r="N15" s="275"/>
    </row>
    <row r="16" spans="1:14" ht="15" hidden="1" customHeight="1">
      <c r="A16" s="97" t="s">
        <v>319</v>
      </c>
      <c r="B16" s="97" t="s">
        <v>309</v>
      </c>
      <c r="C16" s="98">
        <v>43879</v>
      </c>
      <c r="D16" s="97">
        <v>10</v>
      </c>
      <c r="E16" s="97" t="s">
        <v>310</v>
      </c>
      <c r="F16" s="97" t="s">
        <v>311</v>
      </c>
      <c r="G16" s="97" t="s">
        <v>318</v>
      </c>
      <c r="H16" s="97">
        <v>967281</v>
      </c>
      <c r="I16" s="97" t="s">
        <v>314</v>
      </c>
      <c r="J16" s="97" t="s">
        <v>217</v>
      </c>
      <c r="K16" s="273"/>
      <c r="L16" s="141">
        <v>38.618000000000002</v>
      </c>
      <c r="M16" s="274"/>
      <c r="N16" s="275"/>
    </row>
    <row r="17" spans="1:14" ht="15" hidden="1" customHeight="1">
      <c r="A17" s="97" t="s">
        <v>319</v>
      </c>
      <c r="B17" s="97" t="s">
        <v>309</v>
      </c>
      <c r="C17" s="98">
        <v>43879</v>
      </c>
      <c r="D17" s="97">
        <v>10</v>
      </c>
      <c r="E17" s="97" t="s">
        <v>310</v>
      </c>
      <c r="F17" s="97" t="s">
        <v>311</v>
      </c>
      <c r="G17" s="97" t="s">
        <v>316</v>
      </c>
      <c r="H17" s="97">
        <v>967145</v>
      </c>
      <c r="I17" s="97" t="s">
        <v>314</v>
      </c>
      <c r="J17" s="97" t="s">
        <v>218</v>
      </c>
      <c r="K17" s="273">
        <v>500</v>
      </c>
      <c r="L17" s="141"/>
      <c r="M17" s="274">
        <f>K17-(L17+L18+L19)</f>
        <v>464.88400000000001</v>
      </c>
      <c r="N17" s="275">
        <f>(L17+L18+L19)/K17</f>
        <v>7.0232000000000017E-2</v>
      </c>
    </row>
    <row r="18" spans="1:14" ht="15" hidden="1" customHeight="1">
      <c r="A18" s="97" t="s">
        <v>319</v>
      </c>
      <c r="B18" s="97" t="s">
        <v>309</v>
      </c>
      <c r="C18" s="98">
        <v>43879</v>
      </c>
      <c r="D18" s="97">
        <v>10</v>
      </c>
      <c r="E18" s="97" t="s">
        <v>310</v>
      </c>
      <c r="F18" s="97" t="s">
        <v>311</v>
      </c>
      <c r="G18" s="97" t="s">
        <v>317</v>
      </c>
      <c r="H18" s="97">
        <v>967342</v>
      </c>
      <c r="I18" s="97" t="s">
        <v>314</v>
      </c>
      <c r="J18" s="97" t="s">
        <v>218</v>
      </c>
      <c r="K18" s="273"/>
      <c r="L18" s="141">
        <v>1.712</v>
      </c>
      <c r="M18" s="274"/>
      <c r="N18" s="275"/>
    </row>
    <row r="19" spans="1:14" ht="15" hidden="1" customHeight="1">
      <c r="A19" s="97" t="s">
        <v>319</v>
      </c>
      <c r="B19" s="97" t="s">
        <v>309</v>
      </c>
      <c r="C19" s="98">
        <v>43879</v>
      </c>
      <c r="D19" s="97">
        <v>10</v>
      </c>
      <c r="E19" s="97" t="s">
        <v>310</v>
      </c>
      <c r="F19" s="97" t="s">
        <v>311</v>
      </c>
      <c r="G19" s="97" t="s">
        <v>318</v>
      </c>
      <c r="H19" s="97">
        <v>967281</v>
      </c>
      <c r="I19" s="97" t="s">
        <v>314</v>
      </c>
      <c r="J19" s="97" t="s">
        <v>218</v>
      </c>
      <c r="K19" s="273"/>
      <c r="L19" s="141">
        <v>33.404000000000003</v>
      </c>
      <c r="M19" s="274"/>
      <c r="N19" s="275"/>
    </row>
    <row r="20" spans="1:14" ht="15" hidden="1" customHeight="1">
      <c r="A20" s="100" t="s">
        <v>320</v>
      </c>
      <c r="B20" s="100" t="s">
        <v>309</v>
      </c>
      <c r="C20" s="98">
        <v>43881</v>
      </c>
      <c r="D20" s="100">
        <v>11</v>
      </c>
      <c r="E20" s="100" t="s">
        <v>310</v>
      </c>
      <c r="F20" s="100" t="s">
        <v>311</v>
      </c>
      <c r="G20" s="100" t="s">
        <v>316</v>
      </c>
      <c r="H20" s="100">
        <v>967145</v>
      </c>
      <c r="I20" s="100" t="s">
        <v>314</v>
      </c>
      <c r="J20" s="100" t="s">
        <v>217</v>
      </c>
      <c r="K20" s="273">
        <v>182.7</v>
      </c>
      <c r="L20" s="100"/>
      <c r="M20" s="274">
        <f t="shared" ref="M20" si="0">K20-(L20+L21+L22)</f>
        <v>182.7</v>
      </c>
      <c r="N20" s="275">
        <f t="shared" ref="N20" si="1">(L20+L21+L22)/K20</f>
        <v>0</v>
      </c>
    </row>
    <row r="21" spans="1:14" ht="15" hidden="1" customHeight="1">
      <c r="A21" s="100" t="s">
        <v>320</v>
      </c>
      <c r="B21" s="100" t="s">
        <v>309</v>
      </c>
      <c r="C21" s="98">
        <v>43881</v>
      </c>
      <c r="D21" s="100">
        <v>11</v>
      </c>
      <c r="E21" s="100" t="s">
        <v>310</v>
      </c>
      <c r="F21" s="100" t="s">
        <v>311</v>
      </c>
      <c r="G21" s="100" t="s">
        <v>317</v>
      </c>
      <c r="H21" s="100">
        <v>967342</v>
      </c>
      <c r="I21" s="100" t="s">
        <v>314</v>
      </c>
      <c r="J21" s="100" t="s">
        <v>217</v>
      </c>
      <c r="K21" s="273"/>
      <c r="L21" s="100"/>
      <c r="M21" s="274"/>
      <c r="N21" s="275"/>
    </row>
    <row r="22" spans="1:14" ht="15" hidden="1" customHeight="1">
      <c r="A22" s="100" t="s">
        <v>320</v>
      </c>
      <c r="B22" s="100" t="s">
        <v>309</v>
      </c>
      <c r="C22" s="98">
        <v>43881</v>
      </c>
      <c r="D22" s="100">
        <v>11</v>
      </c>
      <c r="E22" s="100" t="s">
        <v>310</v>
      </c>
      <c r="F22" s="100" t="s">
        <v>311</v>
      </c>
      <c r="G22" s="100" t="s">
        <v>318</v>
      </c>
      <c r="H22" s="100">
        <v>967281</v>
      </c>
      <c r="I22" s="100" t="s">
        <v>314</v>
      </c>
      <c r="J22" s="100" t="s">
        <v>217</v>
      </c>
      <c r="K22" s="273"/>
      <c r="L22" s="100"/>
      <c r="M22" s="274"/>
      <c r="N22" s="275"/>
    </row>
    <row r="23" spans="1:14" ht="15" hidden="1" customHeight="1">
      <c r="A23" s="100" t="s">
        <v>320</v>
      </c>
      <c r="B23" s="100" t="s">
        <v>309</v>
      </c>
      <c r="C23" s="98">
        <v>43881</v>
      </c>
      <c r="D23" s="100">
        <v>11</v>
      </c>
      <c r="E23" s="100" t="s">
        <v>310</v>
      </c>
      <c r="F23" s="100" t="s">
        <v>311</v>
      </c>
      <c r="G23" s="100" t="s">
        <v>316</v>
      </c>
      <c r="H23" s="100">
        <v>967145</v>
      </c>
      <c r="I23" s="100" t="s">
        <v>314</v>
      </c>
      <c r="J23" s="100" t="s">
        <v>218</v>
      </c>
      <c r="K23" s="273">
        <v>361.8</v>
      </c>
      <c r="L23" s="100"/>
      <c r="M23" s="274">
        <f t="shared" ref="M23" si="2">K23-(L23+L24+L25)</f>
        <v>361.8</v>
      </c>
      <c r="N23" s="275">
        <f t="shared" ref="N23" si="3">(L23+L24+L25)/K23</f>
        <v>0</v>
      </c>
    </row>
    <row r="24" spans="1:14" ht="15" hidden="1" customHeight="1">
      <c r="A24" s="100" t="s">
        <v>320</v>
      </c>
      <c r="B24" s="100" t="s">
        <v>309</v>
      </c>
      <c r="C24" s="98">
        <v>43881</v>
      </c>
      <c r="D24" s="100">
        <v>11</v>
      </c>
      <c r="E24" s="100" t="s">
        <v>310</v>
      </c>
      <c r="F24" s="100" t="s">
        <v>311</v>
      </c>
      <c r="G24" s="100" t="s">
        <v>317</v>
      </c>
      <c r="H24" s="100">
        <v>967342</v>
      </c>
      <c r="I24" s="100" t="s">
        <v>314</v>
      </c>
      <c r="J24" s="100" t="s">
        <v>218</v>
      </c>
      <c r="K24" s="273"/>
      <c r="L24" s="100"/>
      <c r="M24" s="274"/>
      <c r="N24" s="275"/>
    </row>
    <row r="25" spans="1:14" ht="15" hidden="1" customHeight="1">
      <c r="A25" s="100" t="s">
        <v>320</v>
      </c>
      <c r="B25" s="100" t="s">
        <v>309</v>
      </c>
      <c r="C25" s="98">
        <v>43881</v>
      </c>
      <c r="D25" s="100">
        <v>11</v>
      </c>
      <c r="E25" s="100" t="s">
        <v>310</v>
      </c>
      <c r="F25" s="100" t="s">
        <v>311</v>
      </c>
      <c r="G25" s="100" t="s">
        <v>318</v>
      </c>
      <c r="H25" s="100">
        <v>967281</v>
      </c>
      <c r="I25" s="100" t="s">
        <v>314</v>
      </c>
      <c r="J25" s="100" t="s">
        <v>218</v>
      </c>
      <c r="K25" s="273"/>
      <c r="L25" s="100"/>
      <c r="M25" s="274"/>
      <c r="N25" s="275"/>
    </row>
    <row r="26" spans="1:14" ht="15" hidden="1" customHeight="1">
      <c r="A26" s="100" t="s">
        <v>327</v>
      </c>
      <c r="B26" s="100" t="s">
        <v>323</v>
      </c>
      <c r="C26" s="98">
        <v>43879</v>
      </c>
      <c r="D26" s="100">
        <v>527</v>
      </c>
      <c r="E26" s="100" t="s">
        <v>324</v>
      </c>
      <c r="F26" s="100" t="s">
        <v>325</v>
      </c>
      <c r="G26" s="100" t="s">
        <v>328</v>
      </c>
      <c r="H26" s="100">
        <v>966995</v>
      </c>
      <c r="I26" s="100" t="s">
        <v>314</v>
      </c>
      <c r="J26" s="100" t="s">
        <v>217</v>
      </c>
      <c r="K26" s="193">
        <v>53.677</v>
      </c>
      <c r="L26" s="141">
        <v>555.01800000000003</v>
      </c>
      <c r="M26" s="124">
        <f>K26-L26</f>
        <v>-501.34100000000001</v>
      </c>
      <c r="N26" s="99">
        <f>L26/K26</f>
        <v>10.33995938670194</v>
      </c>
    </row>
    <row r="27" spans="1:14" ht="15" hidden="1" customHeight="1">
      <c r="A27" s="100" t="s">
        <v>327</v>
      </c>
      <c r="B27" s="100" t="s">
        <v>323</v>
      </c>
      <c r="C27" s="98">
        <v>43879</v>
      </c>
      <c r="D27" s="100">
        <v>527</v>
      </c>
      <c r="E27" s="100" t="s">
        <v>324</v>
      </c>
      <c r="F27" s="100" t="s">
        <v>325</v>
      </c>
      <c r="G27" s="100" t="s">
        <v>328</v>
      </c>
      <c r="H27" s="100">
        <v>966995</v>
      </c>
      <c r="I27" s="100" t="s">
        <v>314</v>
      </c>
      <c r="J27" s="100" t="s">
        <v>218</v>
      </c>
      <c r="K27" s="193">
        <v>1446.9069999999999</v>
      </c>
      <c r="L27" s="141">
        <v>549.69600000000003</v>
      </c>
      <c r="M27" s="124">
        <f>K27-L27</f>
        <v>897.2109999999999</v>
      </c>
      <c r="N27" s="99">
        <f>L27/K27</f>
        <v>0.37991107928844081</v>
      </c>
    </row>
    <row r="28" spans="1:14" ht="15" hidden="1" customHeight="1">
      <c r="A28" s="100" t="s">
        <v>327</v>
      </c>
      <c r="B28" s="100" t="s">
        <v>323</v>
      </c>
      <c r="C28" s="98">
        <v>43879</v>
      </c>
      <c r="D28" s="100">
        <v>530</v>
      </c>
      <c r="E28" s="100" t="s">
        <v>324</v>
      </c>
      <c r="F28" s="100" t="s">
        <v>325</v>
      </c>
      <c r="G28" s="100" t="s">
        <v>316</v>
      </c>
      <c r="H28" s="100">
        <v>967145</v>
      </c>
      <c r="I28" s="100" t="s">
        <v>314</v>
      </c>
      <c r="J28" s="100" t="s">
        <v>217</v>
      </c>
      <c r="K28" s="193">
        <v>299.95999999999998</v>
      </c>
      <c r="L28" s="141">
        <v>704.58600000000001</v>
      </c>
      <c r="M28" s="124">
        <f t="shared" ref="M28:M31" si="4">K28-L28</f>
        <v>-404.62600000000003</v>
      </c>
      <c r="N28" s="99">
        <f t="shared" ref="N28:N31" si="5">L28/K28</f>
        <v>2.3489331910921458</v>
      </c>
    </row>
    <row r="29" spans="1:14" ht="15" hidden="1" customHeight="1">
      <c r="A29" s="100" t="s">
        <v>327</v>
      </c>
      <c r="B29" s="100" t="s">
        <v>323</v>
      </c>
      <c r="C29" s="98">
        <v>43879</v>
      </c>
      <c r="D29" s="100">
        <v>530</v>
      </c>
      <c r="E29" s="100" t="s">
        <v>324</v>
      </c>
      <c r="F29" s="100" t="s">
        <v>325</v>
      </c>
      <c r="G29" s="100" t="s">
        <v>316</v>
      </c>
      <c r="H29" s="100">
        <v>967145</v>
      </c>
      <c r="I29" s="100" t="s">
        <v>314</v>
      </c>
      <c r="J29" s="100" t="s">
        <v>218</v>
      </c>
      <c r="K29" s="193">
        <v>2700.375</v>
      </c>
      <c r="L29" s="141">
        <v>338.10700000000003</v>
      </c>
      <c r="M29" s="124">
        <f t="shared" si="4"/>
        <v>2362.268</v>
      </c>
      <c r="N29" s="99">
        <f t="shared" si="5"/>
        <v>0.12520742489469056</v>
      </c>
    </row>
    <row r="30" spans="1:14" ht="15" hidden="1" customHeight="1">
      <c r="A30" s="100" t="s">
        <v>329</v>
      </c>
      <c r="B30" s="100" t="s">
        <v>323</v>
      </c>
      <c r="C30" s="98">
        <v>43879</v>
      </c>
      <c r="D30" s="100">
        <v>532</v>
      </c>
      <c r="E30" s="100" t="s">
        <v>324</v>
      </c>
      <c r="F30" s="100" t="s">
        <v>325</v>
      </c>
      <c r="G30" s="100" t="s">
        <v>297</v>
      </c>
      <c r="H30" s="100">
        <v>954552</v>
      </c>
      <c r="I30" s="100" t="s">
        <v>314</v>
      </c>
      <c r="J30" s="100" t="s">
        <v>217</v>
      </c>
      <c r="K30" s="193">
        <v>251</v>
      </c>
      <c r="L30" s="141">
        <v>185.57</v>
      </c>
      <c r="M30" s="124">
        <f t="shared" si="4"/>
        <v>65.430000000000007</v>
      </c>
      <c r="N30" s="113">
        <f t="shared" si="5"/>
        <v>0.73932270916334664</v>
      </c>
    </row>
    <row r="31" spans="1:14" ht="15" hidden="1" customHeight="1">
      <c r="A31" s="100" t="s">
        <v>329</v>
      </c>
      <c r="B31" s="100" t="s">
        <v>323</v>
      </c>
      <c r="C31" s="98">
        <v>43879</v>
      </c>
      <c r="D31" s="100">
        <v>532</v>
      </c>
      <c r="E31" s="100" t="s">
        <v>324</v>
      </c>
      <c r="F31" s="100" t="s">
        <v>325</v>
      </c>
      <c r="G31" s="100" t="s">
        <v>297</v>
      </c>
      <c r="H31" s="100">
        <v>954552</v>
      </c>
      <c r="I31" s="100" t="s">
        <v>314</v>
      </c>
      <c r="J31" s="100" t="s">
        <v>218</v>
      </c>
      <c r="K31" s="193">
        <v>298</v>
      </c>
      <c r="L31" s="141">
        <v>253.13499999999999</v>
      </c>
      <c r="M31" s="124">
        <f t="shared" si="4"/>
        <v>44.865000000000009</v>
      </c>
      <c r="N31" s="113">
        <f t="shared" si="5"/>
        <v>0.84944630872483218</v>
      </c>
    </row>
    <row r="32" spans="1:14" ht="15" hidden="1" customHeight="1">
      <c r="A32" s="101" t="s">
        <v>330</v>
      </c>
      <c r="B32" s="101" t="s">
        <v>309</v>
      </c>
      <c r="C32" s="98">
        <v>43886</v>
      </c>
      <c r="D32" s="101">
        <v>14</v>
      </c>
      <c r="E32" s="101" t="s">
        <v>310</v>
      </c>
      <c r="F32" s="101" t="s">
        <v>311</v>
      </c>
      <c r="G32" s="101" t="s">
        <v>316</v>
      </c>
      <c r="H32" s="101">
        <v>967145</v>
      </c>
      <c r="I32" s="101" t="s">
        <v>314</v>
      </c>
      <c r="J32" s="101" t="s">
        <v>217</v>
      </c>
      <c r="K32" s="273">
        <v>72</v>
      </c>
      <c r="L32" s="101"/>
      <c r="M32" s="274">
        <f>K32-(L32+L33+L34+L35+L36)</f>
        <v>72</v>
      </c>
      <c r="N32" s="275">
        <f>(L32+L33+L34+L35+L36)/K32</f>
        <v>0</v>
      </c>
    </row>
    <row r="33" spans="1:14" ht="15" hidden="1" customHeight="1">
      <c r="A33" s="101" t="s">
        <v>330</v>
      </c>
      <c r="B33" s="101" t="s">
        <v>309</v>
      </c>
      <c r="C33" s="98">
        <v>43886</v>
      </c>
      <c r="D33" s="101">
        <v>14</v>
      </c>
      <c r="E33" s="101" t="s">
        <v>310</v>
      </c>
      <c r="F33" s="101" t="s">
        <v>311</v>
      </c>
      <c r="G33" s="101" t="s">
        <v>317</v>
      </c>
      <c r="H33" s="101">
        <v>967342</v>
      </c>
      <c r="I33" s="101" t="s">
        <v>314</v>
      </c>
      <c r="J33" s="101" t="s">
        <v>217</v>
      </c>
      <c r="K33" s="273"/>
      <c r="L33" s="101"/>
      <c r="M33" s="274"/>
      <c r="N33" s="275"/>
    </row>
    <row r="34" spans="1:14" ht="15" hidden="1" customHeight="1">
      <c r="A34" s="101" t="s">
        <v>330</v>
      </c>
      <c r="B34" s="101" t="s">
        <v>309</v>
      </c>
      <c r="C34" s="98">
        <v>43886</v>
      </c>
      <c r="D34" s="101">
        <v>14</v>
      </c>
      <c r="E34" s="101" t="s">
        <v>310</v>
      </c>
      <c r="F34" s="101" t="s">
        <v>311</v>
      </c>
      <c r="G34" s="101" t="s">
        <v>318</v>
      </c>
      <c r="H34" s="101">
        <v>967281</v>
      </c>
      <c r="I34" s="101" t="s">
        <v>314</v>
      </c>
      <c r="J34" s="101" t="s">
        <v>217</v>
      </c>
      <c r="K34" s="273"/>
      <c r="L34" s="101"/>
      <c r="M34" s="274"/>
      <c r="N34" s="275"/>
    </row>
    <row r="35" spans="1:14" ht="15" hidden="1" customHeight="1">
      <c r="A35" s="101" t="s">
        <v>330</v>
      </c>
      <c r="B35" s="101" t="s">
        <v>309</v>
      </c>
      <c r="C35" s="98">
        <v>43886</v>
      </c>
      <c r="D35" s="101">
        <v>14</v>
      </c>
      <c r="E35" s="101" t="s">
        <v>310</v>
      </c>
      <c r="F35" s="101" t="s">
        <v>311</v>
      </c>
      <c r="G35" s="101" t="s">
        <v>312</v>
      </c>
      <c r="H35" s="101">
        <v>957800</v>
      </c>
      <c r="I35" s="101" t="s">
        <v>314</v>
      </c>
      <c r="J35" s="101" t="s">
        <v>217</v>
      </c>
      <c r="K35" s="273"/>
      <c r="L35" s="101"/>
      <c r="M35" s="274"/>
      <c r="N35" s="275"/>
    </row>
    <row r="36" spans="1:14" ht="15" hidden="1" customHeight="1">
      <c r="A36" s="101" t="s">
        <v>330</v>
      </c>
      <c r="B36" s="101" t="s">
        <v>309</v>
      </c>
      <c r="C36" s="98">
        <v>43886</v>
      </c>
      <c r="D36" s="101">
        <v>14</v>
      </c>
      <c r="E36" s="101" t="s">
        <v>310</v>
      </c>
      <c r="F36" s="101" t="s">
        <v>311</v>
      </c>
      <c r="G36" s="101" t="s">
        <v>313</v>
      </c>
      <c r="H36" s="101">
        <v>963943</v>
      </c>
      <c r="I36" s="101" t="s">
        <v>314</v>
      </c>
      <c r="J36" s="101" t="s">
        <v>217</v>
      </c>
      <c r="K36" s="273"/>
      <c r="L36" s="101"/>
      <c r="M36" s="274"/>
      <c r="N36" s="275"/>
    </row>
    <row r="37" spans="1:14" ht="15" hidden="1" customHeight="1">
      <c r="A37" s="101" t="s">
        <v>330</v>
      </c>
      <c r="B37" s="101" t="s">
        <v>309</v>
      </c>
      <c r="C37" s="98">
        <v>43886</v>
      </c>
      <c r="D37" s="101">
        <v>14</v>
      </c>
      <c r="E37" s="101" t="s">
        <v>310</v>
      </c>
      <c r="F37" s="101" t="s">
        <v>311</v>
      </c>
      <c r="G37" s="101" t="s">
        <v>316</v>
      </c>
      <c r="H37" s="101">
        <v>967145</v>
      </c>
      <c r="I37" s="101" t="s">
        <v>314</v>
      </c>
      <c r="J37" s="101" t="s">
        <v>218</v>
      </c>
      <c r="K37" s="273">
        <v>137</v>
      </c>
      <c r="L37" s="101"/>
      <c r="M37" s="274">
        <f>K37-(L37+L38+L39+L40+L41)</f>
        <v>137</v>
      </c>
      <c r="N37" s="275">
        <f>(L37+L38+L39+L40+L41)/K37</f>
        <v>0</v>
      </c>
    </row>
    <row r="38" spans="1:14" ht="15" hidden="1" customHeight="1">
      <c r="A38" s="101" t="s">
        <v>330</v>
      </c>
      <c r="B38" s="101" t="s">
        <v>309</v>
      </c>
      <c r="C38" s="98">
        <v>43886</v>
      </c>
      <c r="D38" s="101">
        <v>14</v>
      </c>
      <c r="E38" s="101" t="s">
        <v>310</v>
      </c>
      <c r="F38" s="101" t="s">
        <v>311</v>
      </c>
      <c r="G38" s="101" t="s">
        <v>317</v>
      </c>
      <c r="H38" s="101">
        <v>967342</v>
      </c>
      <c r="I38" s="101" t="s">
        <v>314</v>
      </c>
      <c r="J38" s="101" t="s">
        <v>218</v>
      </c>
      <c r="K38" s="273"/>
      <c r="L38" s="101"/>
      <c r="M38" s="274"/>
      <c r="N38" s="275"/>
    </row>
    <row r="39" spans="1:14" ht="15" hidden="1" customHeight="1">
      <c r="A39" s="101" t="s">
        <v>330</v>
      </c>
      <c r="B39" s="101" t="s">
        <v>309</v>
      </c>
      <c r="C39" s="98">
        <v>43886</v>
      </c>
      <c r="D39" s="101">
        <v>14</v>
      </c>
      <c r="E39" s="101" t="s">
        <v>310</v>
      </c>
      <c r="F39" s="101" t="s">
        <v>311</v>
      </c>
      <c r="G39" s="101" t="s">
        <v>318</v>
      </c>
      <c r="H39" s="101">
        <v>967281</v>
      </c>
      <c r="I39" s="101" t="s">
        <v>314</v>
      </c>
      <c r="J39" s="101" t="s">
        <v>218</v>
      </c>
      <c r="K39" s="273"/>
      <c r="L39" s="101"/>
      <c r="M39" s="274"/>
      <c r="N39" s="275"/>
    </row>
    <row r="40" spans="1:14" ht="15" hidden="1" customHeight="1">
      <c r="A40" s="101" t="s">
        <v>330</v>
      </c>
      <c r="B40" s="101" t="s">
        <v>309</v>
      </c>
      <c r="C40" s="98">
        <v>43886</v>
      </c>
      <c r="D40" s="101">
        <v>14</v>
      </c>
      <c r="E40" s="101" t="s">
        <v>310</v>
      </c>
      <c r="F40" s="101" t="s">
        <v>311</v>
      </c>
      <c r="G40" s="101" t="s">
        <v>312</v>
      </c>
      <c r="H40" s="101">
        <v>957800</v>
      </c>
      <c r="I40" s="101" t="s">
        <v>314</v>
      </c>
      <c r="J40" s="101" t="s">
        <v>218</v>
      </c>
      <c r="K40" s="273"/>
      <c r="L40" s="101"/>
      <c r="M40" s="274"/>
      <c r="N40" s="275"/>
    </row>
    <row r="41" spans="1:14" ht="15" hidden="1" customHeight="1">
      <c r="A41" s="101" t="s">
        <v>330</v>
      </c>
      <c r="B41" s="101" t="s">
        <v>309</v>
      </c>
      <c r="C41" s="98">
        <v>43886</v>
      </c>
      <c r="D41" s="101">
        <v>14</v>
      </c>
      <c r="E41" s="101" t="s">
        <v>310</v>
      </c>
      <c r="F41" s="101" t="s">
        <v>311</v>
      </c>
      <c r="G41" s="101" t="s">
        <v>313</v>
      </c>
      <c r="H41" s="101">
        <v>963943</v>
      </c>
      <c r="I41" s="101" t="s">
        <v>314</v>
      </c>
      <c r="J41" s="101" t="s">
        <v>218</v>
      </c>
      <c r="K41" s="273"/>
      <c r="L41" s="101"/>
      <c r="M41" s="274"/>
      <c r="N41" s="275"/>
    </row>
    <row r="42" spans="1:14" ht="15" hidden="1" customHeight="1">
      <c r="A42" s="101" t="s">
        <v>330</v>
      </c>
      <c r="B42" s="101" t="s">
        <v>309</v>
      </c>
      <c r="C42" s="98">
        <v>43886</v>
      </c>
      <c r="D42" s="101">
        <v>15</v>
      </c>
      <c r="E42" s="101" t="s">
        <v>310</v>
      </c>
      <c r="F42" s="101" t="s">
        <v>311</v>
      </c>
      <c r="G42" s="101" t="s">
        <v>316</v>
      </c>
      <c r="H42" s="101">
        <v>967145</v>
      </c>
      <c r="I42" s="101" t="s">
        <v>314</v>
      </c>
      <c r="J42" s="101" t="s">
        <v>217</v>
      </c>
      <c r="K42" s="273">
        <v>110.6</v>
      </c>
      <c r="L42" s="101"/>
      <c r="M42" s="274">
        <f>K42-(L42+L43+L44+L45+L46)</f>
        <v>110.6</v>
      </c>
      <c r="N42" s="275">
        <f>(L42+L43+L44+L45+L46)/K42</f>
        <v>0</v>
      </c>
    </row>
    <row r="43" spans="1:14" ht="15" hidden="1" customHeight="1">
      <c r="A43" s="101" t="s">
        <v>330</v>
      </c>
      <c r="B43" s="101" t="s">
        <v>309</v>
      </c>
      <c r="C43" s="98">
        <v>43886</v>
      </c>
      <c r="D43" s="101">
        <v>15</v>
      </c>
      <c r="E43" s="101" t="s">
        <v>310</v>
      </c>
      <c r="F43" s="101" t="s">
        <v>311</v>
      </c>
      <c r="G43" s="101" t="s">
        <v>317</v>
      </c>
      <c r="H43" s="101">
        <v>967342</v>
      </c>
      <c r="I43" s="101" t="s">
        <v>314</v>
      </c>
      <c r="J43" s="101" t="s">
        <v>217</v>
      </c>
      <c r="K43" s="273"/>
      <c r="L43" s="101"/>
      <c r="M43" s="274"/>
      <c r="N43" s="275"/>
    </row>
    <row r="44" spans="1:14" ht="15" hidden="1" customHeight="1">
      <c r="A44" s="101" t="s">
        <v>330</v>
      </c>
      <c r="B44" s="101" t="s">
        <v>309</v>
      </c>
      <c r="C44" s="98">
        <v>43886</v>
      </c>
      <c r="D44" s="101">
        <v>15</v>
      </c>
      <c r="E44" s="101" t="s">
        <v>310</v>
      </c>
      <c r="F44" s="101" t="s">
        <v>311</v>
      </c>
      <c r="G44" s="101" t="s">
        <v>318</v>
      </c>
      <c r="H44" s="101">
        <v>967281</v>
      </c>
      <c r="I44" s="101" t="s">
        <v>314</v>
      </c>
      <c r="J44" s="101" t="s">
        <v>217</v>
      </c>
      <c r="K44" s="273"/>
      <c r="L44" s="101"/>
      <c r="M44" s="274"/>
      <c r="N44" s="275"/>
    </row>
    <row r="45" spans="1:14" ht="15" hidden="1" customHeight="1">
      <c r="A45" s="101" t="s">
        <v>330</v>
      </c>
      <c r="B45" s="101" t="s">
        <v>309</v>
      </c>
      <c r="C45" s="98">
        <v>43886</v>
      </c>
      <c r="D45" s="101">
        <v>15</v>
      </c>
      <c r="E45" s="101" t="s">
        <v>310</v>
      </c>
      <c r="F45" s="101" t="s">
        <v>311</v>
      </c>
      <c r="G45" s="101" t="s">
        <v>312</v>
      </c>
      <c r="H45" s="101">
        <v>957800</v>
      </c>
      <c r="I45" s="101" t="s">
        <v>314</v>
      </c>
      <c r="J45" s="101" t="s">
        <v>217</v>
      </c>
      <c r="K45" s="273"/>
      <c r="L45" s="101"/>
      <c r="M45" s="274"/>
      <c r="N45" s="275"/>
    </row>
    <row r="46" spans="1:14" ht="15" hidden="1" customHeight="1">
      <c r="A46" s="101" t="s">
        <v>330</v>
      </c>
      <c r="B46" s="101" t="s">
        <v>309</v>
      </c>
      <c r="C46" s="98">
        <v>43886</v>
      </c>
      <c r="D46" s="101">
        <v>15</v>
      </c>
      <c r="E46" s="101" t="s">
        <v>310</v>
      </c>
      <c r="F46" s="101" t="s">
        <v>311</v>
      </c>
      <c r="G46" s="101" t="s">
        <v>313</v>
      </c>
      <c r="H46" s="101">
        <v>963943</v>
      </c>
      <c r="I46" s="101" t="s">
        <v>314</v>
      </c>
      <c r="J46" s="101" t="s">
        <v>217</v>
      </c>
      <c r="K46" s="273"/>
      <c r="L46" s="101"/>
      <c r="M46" s="274"/>
      <c r="N46" s="275"/>
    </row>
    <row r="47" spans="1:14" ht="15" hidden="1" customHeight="1">
      <c r="A47" s="101" t="s">
        <v>330</v>
      </c>
      <c r="B47" s="101" t="s">
        <v>309</v>
      </c>
      <c r="C47" s="98">
        <v>43886</v>
      </c>
      <c r="D47" s="101">
        <v>15</v>
      </c>
      <c r="E47" s="101" t="s">
        <v>310</v>
      </c>
      <c r="F47" s="101" t="s">
        <v>311</v>
      </c>
      <c r="G47" s="101" t="s">
        <v>316</v>
      </c>
      <c r="H47" s="101">
        <v>967145</v>
      </c>
      <c r="I47" s="101" t="s">
        <v>314</v>
      </c>
      <c r="J47" s="101" t="s">
        <v>218</v>
      </c>
      <c r="K47" s="273">
        <v>180.5</v>
      </c>
      <c r="L47" s="101"/>
      <c r="M47" s="274">
        <f>K47-(L47+L48+L49+L50+L51)</f>
        <v>180.5</v>
      </c>
      <c r="N47" s="275">
        <f>(L47+L48+L49+L50+L51)/K47</f>
        <v>0</v>
      </c>
    </row>
    <row r="48" spans="1:14" ht="15" hidden="1" customHeight="1">
      <c r="A48" s="101" t="s">
        <v>330</v>
      </c>
      <c r="B48" s="101" t="s">
        <v>309</v>
      </c>
      <c r="C48" s="98">
        <v>43886</v>
      </c>
      <c r="D48" s="101">
        <v>15</v>
      </c>
      <c r="E48" s="101" t="s">
        <v>310</v>
      </c>
      <c r="F48" s="101" t="s">
        <v>311</v>
      </c>
      <c r="G48" s="101" t="s">
        <v>317</v>
      </c>
      <c r="H48" s="101">
        <v>967342</v>
      </c>
      <c r="I48" s="101" t="s">
        <v>314</v>
      </c>
      <c r="J48" s="101" t="s">
        <v>218</v>
      </c>
      <c r="K48" s="273"/>
      <c r="L48" s="101"/>
      <c r="M48" s="274"/>
      <c r="N48" s="275"/>
    </row>
    <row r="49" spans="1:14" ht="15" hidden="1" customHeight="1">
      <c r="A49" s="101" t="s">
        <v>330</v>
      </c>
      <c r="B49" s="101" t="s">
        <v>309</v>
      </c>
      <c r="C49" s="98">
        <v>43886</v>
      </c>
      <c r="D49" s="101">
        <v>15</v>
      </c>
      <c r="E49" s="101" t="s">
        <v>310</v>
      </c>
      <c r="F49" s="101" t="s">
        <v>311</v>
      </c>
      <c r="G49" s="101" t="s">
        <v>318</v>
      </c>
      <c r="H49" s="101">
        <v>967281</v>
      </c>
      <c r="I49" s="101" t="s">
        <v>314</v>
      </c>
      <c r="J49" s="101" t="s">
        <v>218</v>
      </c>
      <c r="K49" s="273"/>
      <c r="L49" s="101"/>
      <c r="M49" s="274"/>
      <c r="N49" s="275"/>
    </row>
    <row r="50" spans="1:14" ht="15" hidden="1" customHeight="1">
      <c r="A50" s="101" t="s">
        <v>330</v>
      </c>
      <c r="B50" s="101" t="s">
        <v>309</v>
      </c>
      <c r="C50" s="98">
        <v>43886</v>
      </c>
      <c r="D50" s="101">
        <v>15</v>
      </c>
      <c r="E50" s="101" t="s">
        <v>310</v>
      </c>
      <c r="F50" s="101" t="s">
        <v>311</v>
      </c>
      <c r="G50" s="101" t="s">
        <v>312</v>
      </c>
      <c r="H50" s="101">
        <v>957800</v>
      </c>
      <c r="I50" s="101" t="s">
        <v>314</v>
      </c>
      <c r="J50" s="101" t="s">
        <v>218</v>
      </c>
      <c r="K50" s="273"/>
      <c r="L50" s="101"/>
      <c r="M50" s="274"/>
      <c r="N50" s="275"/>
    </row>
    <row r="51" spans="1:14" ht="15" hidden="1" customHeight="1">
      <c r="A51" s="101" t="s">
        <v>330</v>
      </c>
      <c r="B51" s="101" t="s">
        <v>309</v>
      </c>
      <c r="C51" s="98">
        <v>43886</v>
      </c>
      <c r="D51" s="101">
        <v>15</v>
      </c>
      <c r="E51" s="101" t="s">
        <v>310</v>
      </c>
      <c r="F51" s="101" t="s">
        <v>311</v>
      </c>
      <c r="G51" s="101" t="s">
        <v>313</v>
      </c>
      <c r="H51" s="101">
        <v>963943</v>
      </c>
      <c r="I51" s="101" t="s">
        <v>314</v>
      </c>
      <c r="J51" s="101" t="s">
        <v>218</v>
      </c>
      <c r="K51" s="273"/>
      <c r="L51" s="101"/>
      <c r="M51" s="274"/>
      <c r="N51" s="275"/>
    </row>
    <row r="52" spans="1:14" ht="15" hidden="1" customHeight="1">
      <c r="A52" s="105" t="s">
        <v>331</v>
      </c>
      <c r="B52" s="105" t="s">
        <v>323</v>
      </c>
      <c r="C52" s="98">
        <v>43886</v>
      </c>
      <c r="D52" s="105">
        <v>607</v>
      </c>
      <c r="E52" s="105" t="s">
        <v>324</v>
      </c>
      <c r="F52" s="105" t="s">
        <v>311</v>
      </c>
      <c r="G52" s="105" t="s">
        <v>332</v>
      </c>
      <c r="H52" s="105">
        <v>960670</v>
      </c>
      <c r="I52" s="105" t="s">
        <v>314</v>
      </c>
      <c r="J52" s="105" t="s">
        <v>217</v>
      </c>
      <c r="K52" s="193">
        <v>150</v>
      </c>
      <c r="L52" s="141">
        <v>46.322000000000003</v>
      </c>
      <c r="M52" s="124">
        <f>K52-L52</f>
        <v>103.678</v>
      </c>
      <c r="N52" s="106">
        <f>L52/K52</f>
        <v>0.30881333333333333</v>
      </c>
    </row>
    <row r="53" spans="1:14" ht="15" hidden="1" customHeight="1">
      <c r="A53" s="105" t="s">
        <v>331</v>
      </c>
      <c r="B53" s="105" t="s">
        <v>323</v>
      </c>
      <c r="C53" s="98">
        <v>43886</v>
      </c>
      <c r="D53" s="105">
        <v>607</v>
      </c>
      <c r="E53" s="105" t="s">
        <v>324</v>
      </c>
      <c r="F53" s="105" t="s">
        <v>311</v>
      </c>
      <c r="G53" s="105" t="s">
        <v>332</v>
      </c>
      <c r="H53" s="105">
        <v>960670</v>
      </c>
      <c r="I53" s="105" t="s">
        <v>314</v>
      </c>
      <c r="J53" s="105" t="s">
        <v>218</v>
      </c>
      <c r="K53" s="193">
        <v>500</v>
      </c>
      <c r="L53" s="141">
        <v>376.37200000000001</v>
      </c>
      <c r="M53" s="124">
        <f>K53-L53</f>
        <v>123.62799999999999</v>
      </c>
      <c r="N53" s="106">
        <f>L53/K53</f>
        <v>0.75274400000000008</v>
      </c>
    </row>
    <row r="54" spans="1:14" ht="15" hidden="1" customHeight="1">
      <c r="A54" s="107" t="s">
        <v>333</v>
      </c>
      <c r="B54" s="107" t="s">
        <v>323</v>
      </c>
      <c r="C54" s="98">
        <v>43889</v>
      </c>
      <c r="D54" s="107">
        <v>646</v>
      </c>
      <c r="E54" s="107" t="s">
        <v>324</v>
      </c>
      <c r="F54" s="107" t="s">
        <v>325</v>
      </c>
      <c r="G54" s="107" t="s">
        <v>334</v>
      </c>
      <c r="H54" s="107">
        <v>965019</v>
      </c>
      <c r="I54" s="107" t="s">
        <v>314</v>
      </c>
      <c r="J54" s="107" t="s">
        <v>217</v>
      </c>
      <c r="K54" s="193">
        <v>35</v>
      </c>
      <c r="L54" s="107"/>
      <c r="M54" s="124">
        <f t="shared" ref="M54:M83" si="6">K54-L54</f>
        <v>35</v>
      </c>
      <c r="N54" s="108">
        <f t="shared" ref="N54:N83" si="7">L54/K54</f>
        <v>0</v>
      </c>
    </row>
    <row r="55" spans="1:14" ht="15" hidden="1" customHeight="1">
      <c r="A55" s="107" t="s">
        <v>333</v>
      </c>
      <c r="B55" s="107" t="s">
        <v>323</v>
      </c>
      <c r="C55" s="98">
        <v>43889</v>
      </c>
      <c r="D55" s="107">
        <v>646</v>
      </c>
      <c r="E55" s="107" t="s">
        <v>324</v>
      </c>
      <c r="F55" s="107" t="s">
        <v>325</v>
      </c>
      <c r="G55" s="107" t="s">
        <v>334</v>
      </c>
      <c r="H55" s="107">
        <v>965019</v>
      </c>
      <c r="I55" s="107" t="s">
        <v>314</v>
      </c>
      <c r="J55" s="107" t="s">
        <v>218</v>
      </c>
      <c r="K55" s="193">
        <v>45</v>
      </c>
      <c r="L55" s="107"/>
      <c r="M55" s="124">
        <f>K55-L55</f>
        <v>45</v>
      </c>
      <c r="N55" s="108">
        <f>L55/K55</f>
        <v>0</v>
      </c>
    </row>
    <row r="56" spans="1:14" ht="15" hidden="1" customHeight="1">
      <c r="A56" s="107" t="s">
        <v>333</v>
      </c>
      <c r="B56" s="107" t="s">
        <v>323</v>
      </c>
      <c r="C56" s="98">
        <v>43889</v>
      </c>
      <c r="D56" s="107">
        <v>646</v>
      </c>
      <c r="E56" s="107" t="s">
        <v>324</v>
      </c>
      <c r="F56" s="107" t="s">
        <v>325</v>
      </c>
      <c r="G56" s="107" t="s">
        <v>335</v>
      </c>
      <c r="H56" s="107">
        <v>963702</v>
      </c>
      <c r="I56" s="107" t="s">
        <v>314</v>
      </c>
      <c r="J56" s="107" t="s">
        <v>217</v>
      </c>
      <c r="K56" s="193">
        <v>87</v>
      </c>
      <c r="L56" s="107"/>
      <c r="M56" s="124">
        <f t="shared" si="6"/>
        <v>87</v>
      </c>
      <c r="N56" s="108">
        <f t="shared" si="7"/>
        <v>0</v>
      </c>
    </row>
    <row r="57" spans="1:14" ht="15" hidden="1" customHeight="1">
      <c r="A57" s="107" t="s">
        <v>333</v>
      </c>
      <c r="B57" s="107" t="s">
        <v>323</v>
      </c>
      <c r="C57" s="98">
        <v>43889</v>
      </c>
      <c r="D57" s="107">
        <v>646</v>
      </c>
      <c r="E57" s="107" t="s">
        <v>324</v>
      </c>
      <c r="F57" s="107" t="s">
        <v>325</v>
      </c>
      <c r="G57" s="107" t="s">
        <v>335</v>
      </c>
      <c r="H57" s="107">
        <v>963702</v>
      </c>
      <c r="I57" s="107" t="s">
        <v>314</v>
      </c>
      <c r="J57" s="107" t="s">
        <v>218</v>
      </c>
      <c r="K57" s="193">
        <v>113</v>
      </c>
      <c r="L57" s="107"/>
      <c r="M57" s="124">
        <f>K57-L57</f>
        <v>113</v>
      </c>
      <c r="N57" s="108">
        <f>L57/K57</f>
        <v>0</v>
      </c>
    </row>
    <row r="58" spans="1:14" ht="15" hidden="1" customHeight="1">
      <c r="A58" s="107" t="s">
        <v>333</v>
      </c>
      <c r="B58" s="107" t="s">
        <v>323</v>
      </c>
      <c r="C58" s="98">
        <v>43889</v>
      </c>
      <c r="D58" s="107">
        <v>646</v>
      </c>
      <c r="E58" s="107" t="s">
        <v>324</v>
      </c>
      <c r="F58" s="107" t="s">
        <v>325</v>
      </c>
      <c r="G58" s="107" t="s">
        <v>336</v>
      </c>
      <c r="H58" s="107">
        <v>926674</v>
      </c>
      <c r="I58" s="107" t="s">
        <v>314</v>
      </c>
      <c r="J58" s="107" t="s">
        <v>217</v>
      </c>
      <c r="K58" s="193">
        <v>43</v>
      </c>
      <c r="L58" s="141">
        <v>43</v>
      </c>
      <c r="M58" s="124">
        <f t="shared" si="6"/>
        <v>0</v>
      </c>
      <c r="N58" s="108">
        <f t="shared" si="7"/>
        <v>1</v>
      </c>
    </row>
    <row r="59" spans="1:14" ht="15" hidden="1" customHeight="1">
      <c r="A59" s="107" t="s">
        <v>333</v>
      </c>
      <c r="B59" s="107" t="s">
        <v>323</v>
      </c>
      <c r="C59" s="98">
        <v>43889</v>
      </c>
      <c r="D59" s="107">
        <v>646</v>
      </c>
      <c r="E59" s="107" t="s">
        <v>324</v>
      </c>
      <c r="F59" s="107" t="s">
        <v>325</v>
      </c>
      <c r="G59" s="107" t="s">
        <v>336</v>
      </c>
      <c r="H59" s="107">
        <v>926674</v>
      </c>
      <c r="I59" s="107" t="s">
        <v>314</v>
      </c>
      <c r="J59" s="107" t="s">
        <v>218</v>
      </c>
      <c r="K59" s="193">
        <v>57</v>
      </c>
      <c r="L59" s="141">
        <v>57</v>
      </c>
      <c r="M59" s="124">
        <f>K59-L59</f>
        <v>0</v>
      </c>
      <c r="N59" s="108">
        <f>L59/K59</f>
        <v>1</v>
      </c>
    </row>
    <row r="60" spans="1:14" ht="15" hidden="1" customHeight="1">
      <c r="A60" s="107" t="s">
        <v>333</v>
      </c>
      <c r="B60" s="107" t="s">
        <v>323</v>
      </c>
      <c r="C60" s="98">
        <v>43889</v>
      </c>
      <c r="D60" s="107">
        <v>646</v>
      </c>
      <c r="E60" s="107" t="s">
        <v>324</v>
      </c>
      <c r="F60" s="107" t="s">
        <v>325</v>
      </c>
      <c r="G60" s="107" t="s">
        <v>337</v>
      </c>
      <c r="H60" s="107">
        <v>968147</v>
      </c>
      <c r="I60" s="107" t="s">
        <v>314</v>
      </c>
      <c r="J60" s="107" t="s">
        <v>217</v>
      </c>
      <c r="K60" s="193">
        <v>108</v>
      </c>
      <c r="L60" s="141">
        <v>108</v>
      </c>
      <c r="M60" s="124">
        <f t="shared" si="6"/>
        <v>0</v>
      </c>
      <c r="N60" s="108">
        <f t="shared" si="7"/>
        <v>1</v>
      </c>
    </row>
    <row r="61" spans="1:14" ht="15" hidden="1" customHeight="1">
      <c r="A61" s="107" t="s">
        <v>333</v>
      </c>
      <c r="B61" s="107" t="s">
        <v>323</v>
      </c>
      <c r="C61" s="98">
        <v>43889</v>
      </c>
      <c r="D61" s="107">
        <v>646</v>
      </c>
      <c r="E61" s="107" t="s">
        <v>324</v>
      </c>
      <c r="F61" s="107" t="s">
        <v>325</v>
      </c>
      <c r="G61" s="107" t="s">
        <v>337</v>
      </c>
      <c r="H61" s="107">
        <v>968147</v>
      </c>
      <c r="I61" s="107" t="s">
        <v>314</v>
      </c>
      <c r="J61" s="107" t="s">
        <v>218</v>
      </c>
      <c r="K61" s="193">
        <v>142</v>
      </c>
      <c r="L61" s="141">
        <v>142</v>
      </c>
      <c r="M61" s="124">
        <f>K61-L61</f>
        <v>0</v>
      </c>
      <c r="N61" s="108">
        <f>L61/K61</f>
        <v>1</v>
      </c>
    </row>
    <row r="62" spans="1:14" ht="15" hidden="1" customHeight="1">
      <c r="A62" s="107" t="s">
        <v>333</v>
      </c>
      <c r="B62" s="107" t="s">
        <v>323</v>
      </c>
      <c r="C62" s="98">
        <v>43889</v>
      </c>
      <c r="D62" s="107">
        <v>646</v>
      </c>
      <c r="E62" s="107" t="s">
        <v>324</v>
      </c>
      <c r="F62" s="107" t="s">
        <v>325</v>
      </c>
      <c r="G62" s="107" t="s">
        <v>338</v>
      </c>
      <c r="H62" s="107">
        <v>964265</v>
      </c>
      <c r="I62" s="107" t="s">
        <v>314</v>
      </c>
      <c r="J62" s="107" t="s">
        <v>217</v>
      </c>
      <c r="K62" s="193">
        <v>43</v>
      </c>
      <c r="L62" s="141">
        <v>43</v>
      </c>
      <c r="M62" s="124">
        <f t="shared" si="6"/>
        <v>0</v>
      </c>
      <c r="N62" s="108">
        <f t="shared" si="7"/>
        <v>1</v>
      </c>
    </row>
    <row r="63" spans="1:14" ht="15" hidden="1" customHeight="1">
      <c r="A63" s="107" t="s">
        <v>333</v>
      </c>
      <c r="B63" s="107" t="s">
        <v>323</v>
      </c>
      <c r="C63" s="98">
        <v>43889</v>
      </c>
      <c r="D63" s="107">
        <v>646</v>
      </c>
      <c r="E63" s="107" t="s">
        <v>324</v>
      </c>
      <c r="F63" s="107" t="s">
        <v>325</v>
      </c>
      <c r="G63" s="107" t="s">
        <v>338</v>
      </c>
      <c r="H63" s="107">
        <v>964265</v>
      </c>
      <c r="I63" s="107" t="s">
        <v>314</v>
      </c>
      <c r="J63" s="107" t="s">
        <v>218</v>
      </c>
      <c r="K63" s="193">
        <v>57</v>
      </c>
      <c r="L63" s="141">
        <v>57</v>
      </c>
      <c r="M63" s="124">
        <f>K63-L63</f>
        <v>0</v>
      </c>
      <c r="N63" s="108">
        <f>L63/K63</f>
        <v>1</v>
      </c>
    </row>
    <row r="64" spans="1:14" ht="15" hidden="1" customHeight="1">
      <c r="A64" s="107" t="s">
        <v>333</v>
      </c>
      <c r="B64" s="107" t="s">
        <v>323</v>
      </c>
      <c r="C64" s="98">
        <v>43889</v>
      </c>
      <c r="D64" s="107">
        <v>646</v>
      </c>
      <c r="E64" s="107" t="s">
        <v>324</v>
      </c>
      <c r="F64" s="107" t="s">
        <v>325</v>
      </c>
      <c r="G64" s="107" t="s">
        <v>339</v>
      </c>
      <c r="H64" s="107">
        <v>963589</v>
      </c>
      <c r="I64" s="107" t="s">
        <v>314</v>
      </c>
      <c r="J64" s="107" t="s">
        <v>217</v>
      </c>
      <c r="K64" s="193">
        <v>43</v>
      </c>
      <c r="L64" s="141">
        <v>43</v>
      </c>
      <c r="M64" s="124">
        <f t="shared" si="6"/>
        <v>0</v>
      </c>
      <c r="N64" s="108">
        <f t="shared" si="7"/>
        <v>1</v>
      </c>
    </row>
    <row r="65" spans="1:14" ht="15" hidden="1" customHeight="1">
      <c r="A65" s="107" t="s">
        <v>333</v>
      </c>
      <c r="B65" s="107" t="s">
        <v>323</v>
      </c>
      <c r="C65" s="98">
        <v>43889</v>
      </c>
      <c r="D65" s="107">
        <v>646</v>
      </c>
      <c r="E65" s="107" t="s">
        <v>324</v>
      </c>
      <c r="F65" s="107" t="s">
        <v>325</v>
      </c>
      <c r="G65" s="107" t="s">
        <v>339</v>
      </c>
      <c r="H65" s="107">
        <v>963589</v>
      </c>
      <c r="I65" s="107" t="s">
        <v>314</v>
      </c>
      <c r="J65" s="107" t="s">
        <v>218</v>
      </c>
      <c r="K65" s="193">
        <v>57</v>
      </c>
      <c r="L65" s="141">
        <v>57</v>
      </c>
      <c r="M65" s="124">
        <f>K65-L65</f>
        <v>0</v>
      </c>
      <c r="N65" s="108">
        <f>L65/K65</f>
        <v>1</v>
      </c>
    </row>
    <row r="66" spans="1:14" ht="15" hidden="1" customHeight="1">
      <c r="A66" s="107" t="s">
        <v>333</v>
      </c>
      <c r="B66" s="107" t="s">
        <v>323</v>
      </c>
      <c r="C66" s="98">
        <v>43889</v>
      </c>
      <c r="D66" s="107">
        <v>646</v>
      </c>
      <c r="E66" s="107" t="s">
        <v>324</v>
      </c>
      <c r="F66" s="107" t="s">
        <v>325</v>
      </c>
      <c r="G66" s="107" t="s">
        <v>340</v>
      </c>
      <c r="H66" s="107">
        <v>966816</v>
      </c>
      <c r="I66" s="107" t="s">
        <v>314</v>
      </c>
      <c r="J66" s="107" t="s">
        <v>217</v>
      </c>
      <c r="K66" s="193">
        <v>35</v>
      </c>
      <c r="L66" s="141">
        <v>35</v>
      </c>
      <c r="M66" s="124">
        <f t="shared" si="6"/>
        <v>0</v>
      </c>
      <c r="N66" s="108">
        <f t="shared" si="7"/>
        <v>1</v>
      </c>
    </row>
    <row r="67" spans="1:14" ht="15" hidden="1" customHeight="1">
      <c r="A67" s="107" t="s">
        <v>333</v>
      </c>
      <c r="B67" s="107" t="s">
        <v>323</v>
      </c>
      <c r="C67" s="98">
        <v>43889</v>
      </c>
      <c r="D67" s="107">
        <v>646</v>
      </c>
      <c r="E67" s="107" t="s">
        <v>324</v>
      </c>
      <c r="F67" s="107" t="s">
        <v>325</v>
      </c>
      <c r="G67" s="107" t="s">
        <v>340</v>
      </c>
      <c r="H67" s="107">
        <v>966816</v>
      </c>
      <c r="I67" s="107" t="s">
        <v>314</v>
      </c>
      <c r="J67" s="107" t="s">
        <v>218</v>
      </c>
      <c r="K67" s="193">
        <v>47</v>
      </c>
      <c r="L67" s="141">
        <v>47</v>
      </c>
      <c r="M67" s="124">
        <f>K67-L67</f>
        <v>0</v>
      </c>
      <c r="N67" s="108">
        <f>L67/K67</f>
        <v>1</v>
      </c>
    </row>
    <row r="68" spans="1:14" ht="15" hidden="1" customHeight="1">
      <c r="A68" s="107" t="s">
        <v>333</v>
      </c>
      <c r="B68" s="107" t="s">
        <v>323</v>
      </c>
      <c r="C68" s="98">
        <v>43889</v>
      </c>
      <c r="D68" s="107">
        <v>646</v>
      </c>
      <c r="E68" s="107" t="s">
        <v>324</v>
      </c>
      <c r="F68" s="107" t="s">
        <v>325</v>
      </c>
      <c r="G68" s="107" t="s">
        <v>298</v>
      </c>
      <c r="H68" s="107">
        <v>956044</v>
      </c>
      <c r="I68" s="107" t="s">
        <v>314</v>
      </c>
      <c r="J68" s="107" t="s">
        <v>217</v>
      </c>
      <c r="K68" s="193">
        <v>174</v>
      </c>
      <c r="L68" s="141">
        <v>31.32</v>
      </c>
      <c r="M68" s="124">
        <f t="shared" si="6"/>
        <v>142.68</v>
      </c>
      <c r="N68" s="108">
        <f t="shared" si="7"/>
        <v>0.18</v>
      </c>
    </row>
    <row r="69" spans="1:14" ht="15" hidden="1" customHeight="1">
      <c r="A69" s="107" t="s">
        <v>333</v>
      </c>
      <c r="B69" s="107" t="s">
        <v>323</v>
      </c>
      <c r="C69" s="98">
        <v>43889</v>
      </c>
      <c r="D69" s="107">
        <v>646</v>
      </c>
      <c r="E69" s="107" t="s">
        <v>324</v>
      </c>
      <c r="F69" s="107" t="s">
        <v>325</v>
      </c>
      <c r="G69" s="107" t="s">
        <v>298</v>
      </c>
      <c r="H69" s="107">
        <v>956044</v>
      </c>
      <c r="I69" s="107" t="s">
        <v>314</v>
      </c>
      <c r="J69" s="107" t="s">
        <v>218</v>
      </c>
      <c r="K69" s="193">
        <v>226</v>
      </c>
      <c r="L69" s="141">
        <v>32.6</v>
      </c>
      <c r="M69" s="124">
        <f>K69-L69</f>
        <v>193.4</v>
      </c>
      <c r="N69" s="108">
        <f>L69/K69</f>
        <v>0.14424778761061949</v>
      </c>
    </row>
    <row r="70" spans="1:14" ht="15" hidden="1" customHeight="1">
      <c r="A70" s="107" t="s">
        <v>333</v>
      </c>
      <c r="B70" s="107" t="s">
        <v>323</v>
      </c>
      <c r="C70" s="98">
        <v>43889</v>
      </c>
      <c r="D70" s="107">
        <v>646</v>
      </c>
      <c r="E70" s="107" t="s">
        <v>324</v>
      </c>
      <c r="F70" s="107" t="s">
        <v>325</v>
      </c>
      <c r="G70" s="107" t="s">
        <v>341</v>
      </c>
      <c r="H70" s="107">
        <v>966475</v>
      </c>
      <c r="I70" s="107" t="s">
        <v>314</v>
      </c>
      <c r="J70" s="107" t="s">
        <v>217</v>
      </c>
      <c r="K70" s="193">
        <v>87</v>
      </c>
      <c r="L70" s="141">
        <v>87</v>
      </c>
      <c r="M70" s="124">
        <f t="shared" si="6"/>
        <v>0</v>
      </c>
      <c r="N70" s="108">
        <f t="shared" si="7"/>
        <v>1</v>
      </c>
    </row>
    <row r="71" spans="1:14" ht="15" hidden="1" customHeight="1">
      <c r="A71" s="107" t="s">
        <v>333</v>
      </c>
      <c r="B71" s="107" t="s">
        <v>323</v>
      </c>
      <c r="C71" s="98">
        <v>43889</v>
      </c>
      <c r="D71" s="107">
        <v>646</v>
      </c>
      <c r="E71" s="107" t="s">
        <v>324</v>
      </c>
      <c r="F71" s="107" t="s">
        <v>325</v>
      </c>
      <c r="G71" s="107" t="s">
        <v>341</v>
      </c>
      <c r="H71" s="107">
        <v>966475</v>
      </c>
      <c r="I71" s="107" t="s">
        <v>314</v>
      </c>
      <c r="J71" s="107" t="s">
        <v>218</v>
      </c>
      <c r="K71" s="193">
        <v>113</v>
      </c>
      <c r="L71" s="141">
        <v>113</v>
      </c>
      <c r="M71" s="124">
        <f>K71-L71</f>
        <v>0</v>
      </c>
      <c r="N71" s="108">
        <f>L71/K71</f>
        <v>1</v>
      </c>
    </row>
    <row r="72" spans="1:14" ht="15" hidden="1" customHeight="1">
      <c r="A72" s="107" t="s">
        <v>333</v>
      </c>
      <c r="B72" s="107" t="s">
        <v>323</v>
      </c>
      <c r="C72" s="98">
        <v>43889</v>
      </c>
      <c r="D72" s="107">
        <v>646</v>
      </c>
      <c r="E72" s="107" t="s">
        <v>324</v>
      </c>
      <c r="F72" s="107" t="s">
        <v>325</v>
      </c>
      <c r="G72" s="107" t="s">
        <v>342</v>
      </c>
      <c r="H72" s="107">
        <v>966342</v>
      </c>
      <c r="I72" s="107" t="s">
        <v>314</v>
      </c>
      <c r="J72" s="107" t="s">
        <v>217</v>
      </c>
      <c r="K72" s="193">
        <v>87</v>
      </c>
      <c r="L72" s="141">
        <v>34.265000000000001</v>
      </c>
      <c r="M72" s="124">
        <f t="shared" si="6"/>
        <v>52.734999999999999</v>
      </c>
      <c r="N72" s="108">
        <f t="shared" si="7"/>
        <v>0.39385057471264368</v>
      </c>
    </row>
    <row r="73" spans="1:14" ht="15" hidden="1" customHeight="1">
      <c r="A73" s="107" t="s">
        <v>333</v>
      </c>
      <c r="B73" s="107" t="s">
        <v>323</v>
      </c>
      <c r="C73" s="98">
        <v>43889</v>
      </c>
      <c r="D73" s="107">
        <v>646</v>
      </c>
      <c r="E73" s="107" t="s">
        <v>324</v>
      </c>
      <c r="F73" s="107" t="s">
        <v>325</v>
      </c>
      <c r="G73" s="107" t="s">
        <v>342</v>
      </c>
      <c r="H73" s="107">
        <v>966342</v>
      </c>
      <c r="I73" s="107" t="s">
        <v>314</v>
      </c>
      <c r="J73" s="107" t="s">
        <v>218</v>
      </c>
      <c r="K73" s="193">
        <v>113</v>
      </c>
      <c r="L73" s="141">
        <v>165.73500000000001</v>
      </c>
      <c r="M73" s="124">
        <f>K73-L73</f>
        <v>-52.735000000000014</v>
      </c>
      <c r="N73" s="108">
        <f>L73/K73</f>
        <v>1.4666814159292036</v>
      </c>
    </row>
    <row r="74" spans="1:14" ht="15" hidden="1" customHeight="1">
      <c r="A74" s="107" t="s">
        <v>333</v>
      </c>
      <c r="B74" s="107" t="s">
        <v>323</v>
      </c>
      <c r="C74" s="98">
        <v>43889</v>
      </c>
      <c r="D74" s="107">
        <v>646</v>
      </c>
      <c r="E74" s="107" t="s">
        <v>324</v>
      </c>
      <c r="F74" s="107" t="s">
        <v>325</v>
      </c>
      <c r="G74" s="107" t="s">
        <v>343</v>
      </c>
      <c r="H74" s="107">
        <v>961332</v>
      </c>
      <c r="I74" s="107" t="s">
        <v>314</v>
      </c>
      <c r="J74" s="107" t="s">
        <v>217</v>
      </c>
      <c r="K74" s="193">
        <v>43</v>
      </c>
      <c r="L74" s="141">
        <v>31.731000000000002</v>
      </c>
      <c r="M74" s="124">
        <f t="shared" si="6"/>
        <v>11.268999999999998</v>
      </c>
      <c r="N74" s="108">
        <f t="shared" si="7"/>
        <v>0.73793023255813961</v>
      </c>
    </row>
    <row r="75" spans="1:14" ht="15" hidden="1" customHeight="1">
      <c r="A75" s="107" t="s">
        <v>333</v>
      </c>
      <c r="B75" s="107" t="s">
        <v>323</v>
      </c>
      <c r="C75" s="98">
        <v>43889</v>
      </c>
      <c r="D75" s="107">
        <v>646</v>
      </c>
      <c r="E75" s="107" t="s">
        <v>324</v>
      </c>
      <c r="F75" s="107" t="s">
        <v>325</v>
      </c>
      <c r="G75" s="107" t="s">
        <v>343</v>
      </c>
      <c r="H75" s="107">
        <v>961332</v>
      </c>
      <c r="I75" s="107" t="s">
        <v>314</v>
      </c>
      <c r="J75" s="107" t="s">
        <v>218</v>
      </c>
      <c r="K75" s="193">
        <v>57</v>
      </c>
      <c r="L75" s="141">
        <v>68.269000000000005</v>
      </c>
      <c r="M75" s="124">
        <f>K75-L75</f>
        <v>-11.269000000000005</v>
      </c>
      <c r="N75" s="108">
        <f>L75/K75</f>
        <v>1.1977017543859649</v>
      </c>
    </row>
    <row r="76" spans="1:14" ht="15" hidden="1" customHeight="1">
      <c r="A76" s="107" t="s">
        <v>333</v>
      </c>
      <c r="B76" s="107" t="s">
        <v>323</v>
      </c>
      <c r="C76" s="98">
        <v>43889</v>
      </c>
      <c r="D76" s="107">
        <v>646</v>
      </c>
      <c r="E76" s="107" t="s">
        <v>324</v>
      </c>
      <c r="F76" s="107" t="s">
        <v>325</v>
      </c>
      <c r="G76" s="107" t="s">
        <v>344</v>
      </c>
      <c r="H76" s="107">
        <v>922513</v>
      </c>
      <c r="I76" s="107" t="s">
        <v>314</v>
      </c>
      <c r="J76" s="107" t="s">
        <v>217</v>
      </c>
      <c r="K76" s="193">
        <v>173</v>
      </c>
      <c r="L76" s="141">
        <v>36.752000000000002</v>
      </c>
      <c r="M76" s="124">
        <f t="shared" si="6"/>
        <v>136.24799999999999</v>
      </c>
      <c r="N76" s="108">
        <f t="shared" si="7"/>
        <v>0.21243930635838151</v>
      </c>
    </row>
    <row r="77" spans="1:14" ht="15" hidden="1" customHeight="1">
      <c r="A77" s="107" t="s">
        <v>333</v>
      </c>
      <c r="B77" s="107" t="s">
        <v>323</v>
      </c>
      <c r="C77" s="98">
        <v>43889</v>
      </c>
      <c r="D77" s="107">
        <v>646</v>
      </c>
      <c r="E77" s="107" t="s">
        <v>324</v>
      </c>
      <c r="F77" s="107" t="s">
        <v>325</v>
      </c>
      <c r="G77" s="107" t="s">
        <v>344</v>
      </c>
      <c r="H77" s="107">
        <v>922513</v>
      </c>
      <c r="I77" s="107" t="s">
        <v>314</v>
      </c>
      <c r="J77" s="107" t="s">
        <v>218</v>
      </c>
      <c r="K77" s="193">
        <v>227</v>
      </c>
      <c r="L77" s="141">
        <v>363.24799999999999</v>
      </c>
      <c r="M77" s="124">
        <f>K77-L77</f>
        <v>-136.24799999999999</v>
      </c>
      <c r="N77" s="108">
        <f>L77/K77</f>
        <v>1.6002114537444934</v>
      </c>
    </row>
    <row r="78" spans="1:14" ht="15" hidden="1" customHeight="1">
      <c r="A78" s="107" t="s">
        <v>347</v>
      </c>
      <c r="B78" s="107" t="s">
        <v>323</v>
      </c>
      <c r="C78" s="98">
        <v>43889</v>
      </c>
      <c r="D78" s="107">
        <v>18</v>
      </c>
      <c r="E78" s="107" t="s">
        <v>310</v>
      </c>
      <c r="F78" s="107" t="s">
        <v>311</v>
      </c>
      <c r="G78" s="107" t="s">
        <v>348</v>
      </c>
      <c r="H78" s="107">
        <v>966875</v>
      </c>
      <c r="I78" s="107" t="s">
        <v>314</v>
      </c>
      <c r="J78" s="107" t="s">
        <v>217</v>
      </c>
      <c r="K78" s="193">
        <v>1</v>
      </c>
      <c r="L78" s="141">
        <v>127.002</v>
      </c>
      <c r="M78" s="124">
        <f t="shared" si="6"/>
        <v>-126.002</v>
      </c>
      <c r="N78" s="113">
        <f t="shared" si="7"/>
        <v>127.002</v>
      </c>
    </row>
    <row r="79" spans="1:14" ht="15" hidden="1" customHeight="1">
      <c r="A79" s="107" t="s">
        <v>347</v>
      </c>
      <c r="B79" s="107" t="s">
        <v>323</v>
      </c>
      <c r="C79" s="98">
        <v>43889</v>
      </c>
      <c r="D79" s="107">
        <v>18</v>
      </c>
      <c r="E79" s="107" t="s">
        <v>310</v>
      </c>
      <c r="F79" s="107" t="s">
        <v>311</v>
      </c>
      <c r="G79" s="107" t="s">
        <v>348</v>
      </c>
      <c r="H79" s="107">
        <v>966875</v>
      </c>
      <c r="I79" s="107" t="s">
        <v>314</v>
      </c>
      <c r="J79" s="107" t="s">
        <v>218</v>
      </c>
      <c r="K79" s="193">
        <v>449</v>
      </c>
      <c r="L79" s="141">
        <v>322.99799999999999</v>
      </c>
      <c r="M79" s="124">
        <f t="shared" si="6"/>
        <v>126.00200000000001</v>
      </c>
      <c r="N79" s="113">
        <f t="shared" si="7"/>
        <v>0.71937193763919816</v>
      </c>
    </row>
    <row r="80" spans="1:14" ht="15" hidden="1" customHeight="1">
      <c r="A80" s="107" t="s">
        <v>347</v>
      </c>
      <c r="B80" s="107" t="s">
        <v>323</v>
      </c>
      <c r="C80" s="98">
        <v>43889</v>
      </c>
      <c r="D80" s="107">
        <v>19</v>
      </c>
      <c r="E80" s="107" t="s">
        <v>310</v>
      </c>
      <c r="F80" s="107" t="s">
        <v>311</v>
      </c>
      <c r="G80" s="107" t="s">
        <v>349</v>
      </c>
      <c r="H80" s="107">
        <v>955486</v>
      </c>
      <c r="I80" s="107" t="s">
        <v>314</v>
      </c>
      <c r="J80" s="107" t="s">
        <v>217</v>
      </c>
      <c r="K80" s="193">
        <v>11</v>
      </c>
      <c r="L80" s="107"/>
      <c r="M80" s="124">
        <f t="shared" si="6"/>
        <v>11</v>
      </c>
      <c r="N80" s="113">
        <f t="shared" si="7"/>
        <v>0</v>
      </c>
    </row>
    <row r="81" spans="1:14" ht="15" hidden="1" customHeight="1">
      <c r="A81" s="107" t="s">
        <v>347</v>
      </c>
      <c r="B81" s="107" t="s">
        <v>323</v>
      </c>
      <c r="C81" s="98">
        <v>43889</v>
      </c>
      <c r="D81" s="107">
        <v>19</v>
      </c>
      <c r="E81" s="107" t="s">
        <v>310</v>
      </c>
      <c r="F81" s="107" t="s">
        <v>311</v>
      </c>
      <c r="G81" s="107" t="s">
        <v>349</v>
      </c>
      <c r="H81" s="107">
        <v>955486</v>
      </c>
      <c r="I81" s="107" t="s">
        <v>314</v>
      </c>
      <c r="J81" s="107" t="s">
        <v>218</v>
      </c>
      <c r="K81" s="193">
        <v>11</v>
      </c>
      <c r="L81" s="141">
        <v>22</v>
      </c>
      <c r="M81" s="124">
        <f t="shared" si="6"/>
        <v>-11</v>
      </c>
      <c r="N81" s="113">
        <f t="shared" si="7"/>
        <v>2</v>
      </c>
    </row>
    <row r="82" spans="1:14" ht="15" hidden="1" customHeight="1">
      <c r="A82" s="116" t="s">
        <v>355</v>
      </c>
      <c r="B82" s="116" t="s">
        <v>323</v>
      </c>
      <c r="C82" s="98">
        <v>43893</v>
      </c>
      <c r="D82" s="116">
        <v>672</v>
      </c>
      <c r="E82" s="116" t="s">
        <v>324</v>
      </c>
      <c r="F82" s="116" t="s">
        <v>311</v>
      </c>
      <c r="G82" s="116" t="s">
        <v>332</v>
      </c>
      <c r="H82" s="116">
        <v>960670</v>
      </c>
      <c r="I82" s="116" t="s">
        <v>314</v>
      </c>
      <c r="J82" s="116" t="s">
        <v>217</v>
      </c>
      <c r="K82" s="193">
        <v>105</v>
      </c>
      <c r="L82" s="141">
        <v>105</v>
      </c>
      <c r="M82" s="124">
        <f t="shared" si="6"/>
        <v>0</v>
      </c>
      <c r="N82" s="113">
        <f t="shared" si="7"/>
        <v>1</v>
      </c>
    </row>
    <row r="83" spans="1:14" ht="15" hidden="1" customHeight="1">
      <c r="A83" s="116" t="s">
        <v>355</v>
      </c>
      <c r="B83" s="116" t="s">
        <v>323</v>
      </c>
      <c r="C83" s="98">
        <v>43893</v>
      </c>
      <c r="D83" s="116">
        <v>672</v>
      </c>
      <c r="E83" s="116" t="s">
        <v>324</v>
      </c>
      <c r="F83" s="116" t="s">
        <v>311</v>
      </c>
      <c r="G83" s="116" t="s">
        <v>332</v>
      </c>
      <c r="H83" s="116">
        <v>960670</v>
      </c>
      <c r="I83" s="116" t="s">
        <v>314</v>
      </c>
      <c r="J83" s="116" t="s">
        <v>218</v>
      </c>
      <c r="K83" s="193">
        <v>145</v>
      </c>
      <c r="L83" s="141">
        <v>145</v>
      </c>
      <c r="M83" s="124">
        <f t="shared" si="6"/>
        <v>0</v>
      </c>
      <c r="N83" s="113">
        <f t="shared" si="7"/>
        <v>1</v>
      </c>
    </row>
    <row r="84" spans="1:14" ht="15" hidden="1" customHeight="1">
      <c r="A84" s="116" t="s">
        <v>356</v>
      </c>
      <c r="B84" s="116" t="s">
        <v>309</v>
      </c>
      <c r="C84" s="98">
        <v>43893</v>
      </c>
      <c r="D84" s="116">
        <v>673</v>
      </c>
      <c r="E84" s="116" t="s">
        <v>324</v>
      </c>
      <c r="F84" s="116" t="s">
        <v>325</v>
      </c>
      <c r="G84" s="116" t="s">
        <v>357</v>
      </c>
      <c r="H84" s="116">
        <v>965073</v>
      </c>
      <c r="I84" s="116" t="s">
        <v>314</v>
      </c>
      <c r="J84" s="120" t="s">
        <v>218</v>
      </c>
      <c r="K84" s="257">
        <v>571.18200000000002</v>
      </c>
      <c r="L84" s="141">
        <v>266.339</v>
      </c>
      <c r="M84" s="259">
        <f>K84-(L84+L85)</f>
        <v>148.86200000000002</v>
      </c>
      <c r="N84" s="261">
        <f>(L84+L85)/K84</f>
        <v>0.7393790420566474</v>
      </c>
    </row>
    <row r="85" spans="1:14" ht="15" hidden="1" customHeight="1">
      <c r="A85" s="116" t="s">
        <v>356</v>
      </c>
      <c r="B85" s="116" t="s">
        <v>309</v>
      </c>
      <c r="C85" s="98">
        <v>43893</v>
      </c>
      <c r="D85" s="116">
        <v>673</v>
      </c>
      <c r="E85" s="116" t="s">
        <v>324</v>
      </c>
      <c r="F85" s="116" t="s">
        <v>325</v>
      </c>
      <c r="G85" s="116" t="s">
        <v>358</v>
      </c>
      <c r="H85" s="116">
        <v>966994</v>
      </c>
      <c r="I85" s="116" t="s">
        <v>314</v>
      </c>
      <c r="J85" s="120" t="s">
        <v>218</v>
      </c>
      <c r="K85" s="258"/>
      <c r="L85" s="141">
        <v>155.98099999999999</v>
      </c>
      <c r="M85" s="260"/>
      <c r="N85" s="262"/>
    </row>
    <row r="86" spans="1:14" ht="15" hidden="1" customHeight="1">
      <c r="A86" s="116" t="s">
        <v>359</v>
      </c>
      <c r="B86" s="116" t="s">
        <v>323</v>
      </c>
      <c r="C86" s="98">
        <v>43893</v>
      </c>
      <c r="D86" s="116">
        <v>674</v>
      </c>
      <c r="E86" s="116" t="s">
        <v>324</v>
      </c>
      <c r="F86" s="116" t="s">
        <v>311</v>
      </c>
      <c r="G86" s="116" t="s">
        <v>360</v>
      </c>
      <c r="H86" s="116">
        <v>913375</v>
      </c>
      <c r="I86" s="116" t="s">
        <v>314</v>
      </c>
      <c r="J86" s="116" t="s">
        <v>217</v>
      </c>
      <c r="K86" s="193">
        <v>261.93</v>
      </c>
      <c r="L86" s="141">
        <v>229.488</v>
      </c>
      <c r="M86" s="124">
        <f t="shared" ref="M86:M134" si="8">K86-L86</f>
        <v>32.442000000000007</v>
      </c>
      <c r="N86" s="113">
        <f>L86/K86</f>
        <v>0.87614248081548507</v>
      </c>
    </row>
    <row r="87" spans="1:14" ht="15" hidden="1" customHeight="1">
      <c r="A87" s="116" t="s">
        <v>359</v>
      </c>
      <c r="B87" s="116" t="s">
        <v>323</v>
      </c>
      <c r="C87" s="98">
        <v>43893</v>
      </c>
      <c r="D87" s="116">
        <v>674</v>
      </c>
      <c r="E87" s="116" t="s">
        <v>324</v>
      </c>
      <c r="F87" s="116" t="s">
        <v>311</v>
      </c>
      <c r="G87" s="116" t="s">
        <v>360</v>
      </c>
      <c r="H87" s="116">
        <v>913375</v>
      </c>
      <c r="I87" s="116" t="s">
        <v>314</v>
      </c>
      <c r="J87" s="116" t="s">
        <v>218</v>
      </c>
      <c r="K87" s="193">
        <v>398.92</v>
      </c>
      <c r="L87" s="141">
        <v>372.58300000000003</v>
      </c>
      <c r="M87" s="124">
        <f t="shared" si="8"/>
        <v>26.336999999999989</v>
      </c>
      <c r="N87" s="113">
        <f>L87/K87</f>
        <v>0.93397924395868848</v>
      </c>
    </row>
    <row r="88" spans="1:14" ht="15" hidden="1" customHeight="1">
      <c r="A88" s="116" t="s">
        <v>347</v>
      </c>
      <c r="B88" s="116" t="s">
        <v>323</v>
      </c>
      <c r="C88" s="98">
        <v>43894</v>
      </c>
      <c r="D88" s="116">
        <v>20</v>
      </c>
      <c r="E88" s="116" t="s">
        <v>310</v>
      </c>
      <c r="F88" s="116" t="s">
        <v>311</v>
      </c>
      <c r="G88" s="116" t="s">
        <v>361</v>
      </c>
      <c r="H88" s="116">
        <v>964068</v>
      </c>
      <c r="I88" s="116" t="s">
        <v>314</v>
      </c>
      <c r="J88" s="116" t="s">
        <v>217</v>
      </c>
      <c r="K88" s="193">
        <v>99</v>
      </c>
      <c r="L88" s="141">
        <v>99</v>
      </c>
      <c r="M88" s="124">
        <f t="shared" si="8"/>
        <v>0</v>
      </c>
      <c r="N88" s="113">
        <f>L88/K88</f>
        <v>1</v>
      </c>
    </row>
    <row r="89" spans="1:14" ht="15" hidden="1" customHeight="1">
      <c r="A89" s="116" t="s">
        <v>347</v>
      </c>
      <c r="B89" s="116" t="s">
        <v>323</v>
      </c>
      <c r="C89" s="98">
        <v>43894</v>
      </c>
      <c r="D89" s="116">
        <v>20</v>
      </c>
      <c r="E89" s="116" t="s">
        <v>310</v>
      </c>
      <c r="F89" s="116" t="s">
        <v>311</v>
      </c>
      <c r="G89" s="116" t="s">
        <v>361</v>
      </c>
      <c r="H89" s="116">
        <v>964068</v>
      </c>
      <c r="I89" s="116" t="s">
        <v>314</v>
      </c>
      <c r="J89" s="116" t="s">
        <v>218</v>
      </c>
      <c r="K89" s="193">
        <v>1</v>
      </c>
      <c r="L89" s="141">
        <v>1</v>
      </c>
      <c r="M89" s="124">
        <f t="shared" si="8"/>
        <v>0</v>
      </c>
      <c r="N89" s="113">
        <f>L89/K89</f>
        <v>1</v>
      </c>
    </row>
    <row r="90" spans="1:14" ht="15" hidden="1" customHeight="1">
      <c r="A90" s="116" t="s">
        <v>362</v>
      </c>
      <c r="B90" s="116" t="s">
        <v>323</v>
      </c>
      <c r="C90" s="98">
        <v>43894</v>
      </c>
      <c r="D90" s="116">
        <v>22</v>
      </c>
      <c r="E90" s="116" t="s">
        <v>310</v>
      </c>
      <c r="F90" s="116" t="s">
        <v>311</v>
      </c>
      <c r="G90" s="116" t="s">
        <v>363</v>
      </c>
      <c r="H90" s="116">
        <v>955511</v>
      </c>
      <c r="I90" s="116" t="s">
        <v>314</v>
      </c>
      <c r="J90" s="116" t="s">
        <v>217</v>
      </c>
      <c r="K90" s="193">
        <v>127.1</v>
      </c>
      <c r="L90" s="141">
        <v>95.051000000000002</v>
      </c>
      <c r="M90" s="124">
        <f t="shared" si="8"/>
        <v>32.048999999999992</v>
      </c>
      <c r="N90" s="113">
        <f t="shared" ref="N90:N134" si="9">L90/K90</f>
        <v>0.74784421715184901</v>
      </c>
    </row>
    <row r="91" spans="1:14" ht="15" hidden="1" customHeight="1">
      <c r="A91" s="116" t="s">
        <v>362</v>
      </c>
      <c r="B91" s="116" t="s">
        <v>323</v>
      </c>
      <c r="C91" s="98">
        <v>43894</v>
      </c>
      <c r="D91" s="116">
        <v>22</v>
      </c>
      <c r="E91" s="116" t="s">
        <v>310</v>
      </c>
      <c r="F91" s="116" t="s">
        <v>311</v>
      </c>
      <c r="G91" s="116" t="s">
        <v>363</v>
      </c>
      <c r="H91" s="116">
        <v>955511</v>
      </c>
      <c r="I91" s="116" t="s">
        <v>314</v>
      </c>
      <c r="J91" s="116" t="s">
        <v>218</v>
      </c>
      <c r="K91" s="193">
        <v>251.7</v>
      </c>
      <c r="L91" s="141">
        <v>134.9</v>
      </c>
      <c r="M91" s="124">
        <f t="shared" si="8"/>
        <v>116.79999999999998</v>
      </c>
      <c r="N91" s="113">
        <f t="shared" si="9"/>
        <v>0.53595550258243951</v>
      </c>
    </row>
    <row r="92" spans="1:14" ht="15" hidden="1" customHeight="1">
      <c r="A92" s="127" t="s">
        <v>367</v>
      </c>
      <c r="B92" s="128" t="s">
        <v>323</v>
      </c>
      <c r="C92" s="129">
        <v>43896</v>
      </c>
      <c r="D92" s="128">
        <v>733</v>
      </c>
      <c r="E92" s="128" t="s">
        <v>324</v>
      </c>
      <c r="F92" s="128" t="s">
        <v>325</v>
      </c>
      <c r="G92" s="128" t="s">
        <v>368</v>
      </c>
      <c r="H92" s="128">
        <v>958253</v>
      </c>
      <c r="I92" s="128" t="s">
        <v>314</v>
      </c>
      <c r="J92" s="128" t="s">
        <v>217</v>
      </c>
      <c r="K92" s="136">
        <v>49</v>
      </c>
      <c r="L92" s="140">
        <v>15.93</v>
      </c>
      <c r="M92" s="136">
        <f t="shared" si="8"/>
        <v>33.07</v>
      </c>
      <c r="N92" s="130">
        <f t="shared" si="9"/>
        <v>0.32510204081632654</v>
      </c>
    </row>
    <row r="93" spans="1:14" ht="15" hidden="1" customHeight="1">
      <c r="A93" s="127" t="s">
        <v>367</v>
      </c>
      <c r="B93" s="128" t="s">
        <v>323</v>
      </c>
      <c r="C93" s="129">
        <v>43896</v>
      </c>
      <c r="D93" s="128">
        <v>733</v>
      </c>
      <c r="E93" s="128" t="s">
        <v>324</v>
      </c>
      <c r="F93" s="128" t="s">
        <v>325</v>
      </c>
      <c r="G93" s="128" t="s">
        <v>368</v>
      </c>
      <c r="H93" s="128">
        <v>958253</v>
      </c>
      <c r="I93" s="128" t="s">
        <v>314</v>
      </c>
      <c r="J93" s="128" t="s">
        <v>218</v>
      </c>
      <c r="K93" s="136">
        <v>82</v>
      </c>
      <c r="L93" s="140">
        <v>115.07</v>
      </c>
      <c r="M93" s="136">
        <f t="shared" si="8"/>
        <v>-33.069999999999993</v>
      </c>
      <c r="N93" s="130">
        <f t="shared" si="9"/>
        <v>1.4032926829268293</v>
      </c>
    </row>
    <row r="94" spans="1:14" ht="15" hidden="1" customHeight="1">
      <c r="A94" s="127" t="s">
        <v>367</v>
      </c>
      <c r="B94" s="128" t="s">
        <v>323</v>
      </c>
      <c r="C94" s="129">
        <v>43896</v>
      </c>
      <c r="D94" s="128">
        <v>733</v>
      </c>
      <c r="E94" s="128" t="s">
        <v>324</v>
      </c>
      <c r="F94" s="128" t="s">
        <v>325</v>
      </c>
      <c r="G94" s="128" t="s">
        <v>369</v>
      </c>
      <c r="H94" s="128">
        <v>968597</v>
      </c>
      <c r="I94" s="128" t="s">
        <v>314</v>
      </c>
      <c r="J94" s="128" t="s">
        <v>217</v>
      </c>
      <c r="K94" s="136">
        <v>54</v>
      </c>
      <c r="L94" s="140">
        <v>54</v>
      </c>
      <c r="M94" s="136">
        <f t="shared" si="8"/>
        <v>0</v>
      </c>
      <c r="N94" s="130">
        <f t="shared" si="9"/>
        <v>1</v>
      </c>
    </row>
    <row r="95" spans="1:14" ht="15" hidden="1" customHeight="1">
      <c r="A95" s="127" t="s">
        <v>367</v>
      </c>
      <c r="B95" s="128" t="s">
        <v>323</v>
      </c>
      <c r="C95" s="129">
        <v>43896</v>
      </c>
      <c r="D95" s="128">
        <v>733</v>
      </c>
      <c r="E95" s="128" t="s">
        <v>324</v>
      </c>
      <c r="F95" s="128" t="s">
        <v>325</v>
      </c>
      <c r="G95" s="128" t="s">
        <v>369</v>
      </c>
      <c r="H95" s="128">
        <v>968597</v>
      </c>
      <c r="I95" s="128" t="s">
        <v>314</v>
      </c>
      <c r="J95" s="128" t="s">
        <v>218</v>
      </c>
      <c r="K95" s="136">
        <v>133</v>
      </c>
      <c r="L95" s="140">
        <v>133</v>
      </c>
      <c r="M95" s="136">
        <f t="shared" si="8"/>
        <v>0</v>
      </c>
      <c r="N95" s="130">
        <f t="shared" si="9"/>
        <v>1</v>
      </c>
    </row>
    <row r="96" spans="1:14" ht="15" hidden="1" customHeight="1">
      <c r="A96" s="127" t="s">
        <v>367</v>
      </c>
      <c r="B96" s="128" t="s">
        <v>323</v>
      </c>
      <c r="C96" s="129">
        <v>43896</v>
      </c>
      <c r="D96" s="128">
        <v>733</v>
      </c>
      <c r="E96" s="128" t="s">
        <v>324</v>
      </c>
      <c r="F96" s="128" t="s">
        <v>325</v>
      </c>
      <c r="G96" s="128" t="s">
        <v>370</v>
      </c>
      <c r="H96" s="128">
        <v>951093</v>
      </c>
      <c r="I96" s="128" t="s">
        <v>314</v>
      </c>
      <c r="J96" s="128" t="s">
        <v>217</v>
      </c>
      <c r="K96" s="136">
        <v>35</v>
      </c>
      <c r="L96" s="140">
        <v>17.18</v>
      </c>
      <c r="M96" s="136">
        <f t="shared" si="8"/>
        <v>17.82</v>
      </c>
      <c r="N96" s="130">
        <f t="shared" si="9"/>
        <v>0.49085714285714283</v>
      </c>
    </row>
    <row r="97" spans="1:14" ht="15" hidden="1" customHeight="1">
      <c r="A97" s="127" t="s">
        <v>367</v>
      </c>
      <c r="B97" s="128" t="s">
        <v>323</v>
      </c>
      <c r="C97" s="129">
        <v>43896</v>
      </c>
      <c r="D97" s="128">
        <v>733</v>
      </c>
      <c r="E97" s="128" t="s">
        <v>324</v>
      </c>
      <c r="F97" s="128" t="s">
        <v>325</v>
      </c>
      <c r="G97" s="128" t="s">
        <v>370</v>
      </c>
      <c r="H97" s="128">
        <v>951093</v>
      </c>
      <c r="I97" s="128" t="s">
        <v>314</v>
      </c>
      <c r="J97" s="128" t="s">
        <v>218</v>
      </c>
      <c r="K97" s="136">
        <v>58</v>
      </c>
      <c r="L97" s="140">
        <v>75.819999999999993</v>
      </c>
      <c r="M97" s="136">
        <f t="shared" si="8"/>
        <v>-17.819999999999993</v>
      </c>
      <c r="N97" s="130">
        <f t="shared" si="9"/>
        <v>1.3072413793103448</v>
      </c>
    </row>
    <row r="98" spans="1:14" ht="15" hidden="1" customHeight="1">
      <c r="A98" s="127" t="s">
        <v>367</v>
      </c>
      <c r="B98" s="128" t="s">
        <v>323</v>
      </c>
      <c r="C98" s="129">
        <v>43896</v>
      </c>
      <c r="D98" s="128">
        <v>733</v>
      </c>
      <c r="E98" s="128" t="s">
        <v>324</v>
      </c>
      <c r="F98" s="128" t="s">
        <v>325</v>
      </c>
      <c r="G98" s="128" t="s">
        <v>371</v>
      </c>
      <c r="H98" s="128">
        <v>955189</v>
      </c>
      <c r="I98" s="128" t="s">
        <v>314</v>
      </c>
      <c r="J98" s="128" t="s">
        <v>217</v>
      </c>
      <c r="K98" s="136">
        <v>35</v>
      </c>
      <c r="L98" s="140">
        <v>35</v>
      </c>
      <c r="M98" s="136">
        <f t="shared" si="8"/>
        <v>0</v>
      </c>
      <c r="N98" s="130">
        <f t="shared" si="9"/>
        <v>1</v>
      </c>
    </row>
    <row r="99" spans="1:14" ht="15" hidden="1" customHeight="1">
      <c r="A99" s="127" t="s">
        <v>367</v>
      </c>
      <c r="B99" s="128" t="s">
        <v>323</v>
      </c>
      <c r="C99" s="129">
        <v>43896</v>
      </c>
      <c r="D99" s="128">
        <v>733</v>
      </c>
      <c r="E99" s="128" t="s">
        <v>324</v>
      </c>
      <c r="F99" s="128" t="s">
        <v>325</v>
      </c>
      <c r="G99" s="128" t="s">
        <v>371</v>
      </c>
      <c r="H99" s="128">
        <v>955189</v>
      </c>
      <c r="I99" s="128" t="s">
        <v>314</v>
      </c>
      <c r="J99" s="128" t="s">
        <v>218</v>
      </c>
      <c r="K99" s="136">
        <v>59</v>
      </c>
      <c r="L99" s="140">
        <v>59</v>
      </c>
      <c r="M99" s="136">
        <f t="shared" si="8"/>
        <v>0</v>
      </c>
      <c r="N99" s="130">
        <f t="shared" si="9"/>
        <v>1</v>
      </c>
    </row>
    <row r="100" spans="1:14" ht="15" hidden="1" customHeight="1">
      <c r="A100" s="127" t="s">
        <v>367</v>
      </c>
      <c r="B100" s="128" t="s">
        <v>323</v>
      </c>
      <c r="C100" s="129">
        <v>43896</v>
      </c>
      <c r="D100" s="128">
        <v>733</v>
      </c>
      <c r="E100" s="128" t="s">
        <v>324</v>
      </c>
      <c r="F100" s="128" t="s">
        <v>325</v>
      </c>
      <c r="G100" s="128" t="s">
        <v>372</v>
      </c>
      <c r="H100" s="128">
        <v>955517</v>
      </c>
      <c r="I100" s="128" t="s">
        <v>314</v>
      </c>
      <c r="J100" s="128" t="s">
        <v>217</v>
      </c>
      <c r="K100" s="136">
        <v>169</v>
      </c>
      <c r="L100" s="140">
        <v>193.494</v>
      </c>
      <c r="M100" s="136">
        <f t="shared" si="8"/>
        <v>-24.494</v>
      </c>
      <c r="N100" s="130">
        <f t="shared" si="9"/>
        <v>1.1449349112426035</v>
      </c>
    </row>
    <row r="101" spans="1:14" ht="15" hidden="1" customHeight="1">
      <c r="A101" s="127" t="s">
        <v>367</v>
      </c>
      <c r="B101" s="128" t="s">
        <v>323</v>
      </c>
      <c r="C101" s="129">
        <v>43896</v>
      </c>
      <c r="D101" s="128">
        <v>733</v>
      </c>
      <c r="E101" s="128" t="s">
        <v>324</v>
      </c>
      <c r="F101" s="128" t="s">
        <v>325</v>
      </c>
      <c r="G101" s="128" t="s">
        <v>372</v>
      </c>
      <c r="H101" s="128">
        <v>955517</v>
      </c>
      <c r="I101" s="128" t="s">
        <v>314</v>
      </c>
      <c r="J101" s="128" t="s">
        <v>218</v>
      </c>
      <c r="K101" s="136">
        <v>412</v>
      </c>
      <c r="L101" s="140">
        <v>387.50599999999997</v>
      </c>
      <c r="M101" s="136">
        <f t="shared" si="8"/>
        <v>24.494000000000028</v>
      </c>
      <c r="N101" s="130">
        <f t="shared" si="9"/>
        <v>0.94054854368932028</v>
      </c>
    </row>
    <row r="102" spans="1:14" ht="15" hidden="1" customHeight="1">
      <c r="A102" s="127" t="s">
        <v>367</v>
      </c>
      <c r="B102" s="128" t="s">
        <v>323</v>
      </c>
      <c r="C102" s="129">
        <v>43896</v>
      </c>
      <c r="D102" s="128">
        <v>733</v>
      </c>
      <c r="E102" s="128" t="s">
        <v>324</v>
      </c>
      <c r="F102" s="128" t="s">
        <v>325</v>
      </c>
      <c r="G102" s="128" t="s">
        <v>373</v>
      </c>
      <c r="H102" s="128">
        <v>965035</v>
      </c>
      <c r="I102" s="128" t="s">
        <v>314</v>
      </c>
      <c r="J102" s="128" t="s">
        <v>217</v>
      </c>
      <c r="K102" s="136">
        <v>54</v>
      </c>
      <c r="L102" s="140">
        <v>59.124000000000002</v>
      </c>
      <c r="M102" s="136">
        <f t="shared" si="8"/>
        <v>-5.1240000000000023</v>
      </c>
      <c r="N102" s="130">
        <f t="shared" si="9"/>
        <v>1.094888888888889</v>
      </c>
    </row>
    <row r="103" spans="1:14" ht="15" hidden="1" customHeight="1">
      <c r="A103" s="127" t="s">
        <v>367</v>
      </c>
      <c r="B103" s="128" t="s">
        <v>323</v>
      </c>
      <c r="C103" s="129">
        <v>43896</v>
      </c>
      <c r="D103" s="128">
        <v>733</v>
      </c>
      <c r="E103" s="128" t="s">
        <v>324</v>
      </c>
      <c r="F103" s="128" t="s">
        <v>325</v>
      </c>
      <c r="G103" s="128" t="s">
        <v>373</v>
      </c>
      <c r="H103" s="128">
        <v>965035</v>
      </c>
      <c r="I103" s="128" t="s">
        <v>314</v>
      </c>
      <c r="J103" s="128" t="s">
        <v>218</v>
      </c>
      <c r="K103" s="136">
        <v>133</v>
      </c>
      <c r="L103" s="140">
        <v>127.876</v>
      </c>
      <c r="M103" s="136">
        <f t="shared" si="8"/>
        <v>5.1239999999999952</v>
      </c>
      <c r="N103" s="130">
        <f t="shared" si="9"/>
        <v>0.96147368421052637</v>
      </c>
    </row>
    <row r="104" spans="1:14" ht="15" hidden="1" customHeight="1">
      <c r="A104" s="127" t="s">
        <v>367</v>
      </c>
      <c r="B104" s="128" t="s">
        <v>323</v>
      </c>
      <c r="C104" s="129">
        <v>43896</v>
      </c>
      <c r="D104" s="128">
        <v>733</v>
      </c>
      <c r="E104" s="128" t="s">
        <v>324</v>
      </c>
      <c r="F104" s="128" t="s">
        <v>325</v>
      </c>
      <c r="G104" s="128" t="s">
        <v>374</v>
      </c>
      <c r="H104" s="128">
        <v>961872</v>
      </c>
      <c r="I104" s="128" t="s">
        <v>314</v>
      </c>
      <c r="J104" s="128" t="s">
        <v>217</v>
      </c>
      <c r="K104" s="136">
        <v>49</v>
      </c>
      <c r="L104" s="140">
        <v>23.187999999999999</v>
      </c>
      <c r="M104" s="136">
        <f t="shared" si="8"/>
        <v>25.812000000000001</v>
      </c>
      <c r="N104" s="130">
        <f t="shared" si="9"/>
        <v>0.47322448979591836</v>
      </c>
    </row>
    <row r="105" spans="1:14" ht="15" hidden="1" customHeight="1">
      <c r="A105" s="127" t="s">
        <v>367</v>
      </c>
      <c r="B105" s="128" t="s">
        <v>323</v>
      </c>
      <c r="C105" s="129">
        <v>43896</v>
      </c>
      <c r="D105" s="128">
        <v>733</v>
      </c>
      <c r="E105" s="128" t="s">
        <v>324</v>
      </c>
      <c r="F105" s="128" t="s">
        <v>325</v>
      </c>
      <c r="G105" s="128" t="s">
        <v>374</v>
      </c>
      <c r="H105" s="128">
        <v>961872</v>
      </c>
      <c r="I105" s="128" t="s">
        <v>314</v>
      </c>
      <c r="J105" s="128" t="s">
        <v>218</v>
      </c>
      <c r="K105" s="136">
        <v>82</v>
      </c>
      <c r="L105" s="140">
        <v>16.111999999999998</v>
      </c>
      <c r="M105" s="136">
        <f t="shared" si="8"/>
        <v>65.888000000000005</v>
      </c>
      <c r="N105" s="130">
        <f t="shared" si="9"/>
        <v>0.19648780487804876</v>
      </c>
    </row>
    <row r="106" spans="1:14" ht="15" hidden="1" customHeight="1">
      <c r="A106" s="127" t="s">
        <v>367</v>
      </c>
      <c r="B106" s="128" t="s">
        <v>323</v>
      </c>
      <c r="C106" s="129">
        <v>43896</v>
      </c>
      <c r="D106" s="128">
        <v>733</v>
      </c>
      <c r="E106" s="128" t="s">
        <v>324</v>
      </c>
      <c r="F106" s="128" t="s">
        <v>325</v>
      </c>
      <c r="G106" s="128" t="s">
        <v>375</v>
      </c>
      <c r="H106" s="128">
        <v>964621</v>
      </c>
      <c r="I106" s="128" t="s">
        <v>314</v>
      </c>
      <c r="J106" s="128" t="s">
        <v>217</v>
      </c>
      <c r="K106" s="136">
        <v>196</v>
      </c>
      <c r="L106" s="140">
        <v>104.96899999999999</v>
      </c>
      <c r="M106" s="136">
        <f t="shared" si="8"/>
        <v>91.031000000000006</v>
      </c>
      <c r="N106" s="130">
        <f t="shared" si="9"/>
        <v>0.53555612244897954</v>
      </c>
    </row>
    <row r="107" spans="1:14" ht="15" hidden="1" customHeight="1">
      <c r="A107" s="127" t="s">
        <v>367</v>
      </c>
      <c r="B107" s="128" t="s">
        <v>323</v>
      </c>
      <c r="C107" s="129">
        <v>43896</v>
      </c>
      <c r="D107" s="128">
        <v>733</v>
      </c>
      <c r="E107" s="128" t="s">
        <v>324</v>
      </c>
      <c r="F107" s="128" t="s">
        <v>325</v>
      </c>
      <c r="G107" s="128" t="s">
        <v>375</v>
      </c>
      <c r="H107" s="128">
        <v>964621</v>
      </c>
      <c r="I107" s="128" t="s">
        <v>314</v>
      </c>
      <c r="J107" s="128" t="s">
        <v>218</v>
      </c>
      <c r="K107" s="136">
        <v>326</v>
      </c>
      <c r="L107" s="140">
        <v>385.86599999999999</v>
      </c>
      <c r="M107" s="136">
        <f t="shared" si="8"/>
        <v>-59.865999999999985</v>
      </c>
      <c r="N107" s="130">
        <f t="shared" si="9"/>
        <v>1.1836380368098158</v>
      </c>
    </row>
    <row r="108" spans="1:14" ht="15" hidden="1" customHeight="1">
      <c r="A108" s="127" t="s">
        <v>367</v>
      </c>
      <c r="B108" s="128" t="s">
        <v>323</v>
      </c>
      <c r="C108" s="129">
        <v>43896</v>
      </c>
      <c r="D108" s="128">
        <v>733</v>
      </c>
      <c r="E108" s="128" t="s">
        <v>324</v>
      </c>
      <c r="F108" s="128" t="s">
        <v>325</v>
      </c>
      <c r="G108" s="128" t="s">
        <v>376</v>
      </c>
      <c r="H108" s="128">
        <v>968494</v>
      </c>
      <c r="I108" s="128" t="s">
        <v>314</v>
      </c>
      <c r="J108" s="128" t="s">
        <v>217</v>
      </c>
      <c r="K108" s="136">
        <v>14</v>
      </c>
      <c r="L108" s="140">
        <v>14</v>
      </c>
      <c r="M108" s="136">
        <f t="shared" si="8"/>
        <v>0</v>
      </c>
      <c r="N108" s="130">
        <f t="shared" si="9"/>
        <v>1</v>
      </c>
    </row>
    <row r="109" spans="1:14" ht="15" hidden="1" customHeight="1">
      <c r="A109" s="127" t="s">
        <v>367</v>
      </c>
      <c r="B109" s="128" t="s">
        <v>323</v>
      </c>
      <c r="C109" s="129">
        <v>43896</v>
      </c>
      <c r="D109" s="128">
        <v>733</v>
      </c>
      <c r="E109" s="128" t="s">
        <v>324</v>
      </c>
      <c r="F109" s="128" t="s">
        <v>325</v>
      </c>
      <c r="G109" s="128" t="s">
        <v>376</v>
      </c>
      <c r="H109" s="128">
        <v>968494</v>
      </c>
      <c r="I109" s="128" t="s">
        <v>314</v>
      </c>
      <c r="J109" s="128" t="s">
        <v>218</v>
      </c>
      <c r="K109" s="136">
        <v>23</v>
      </c>
      <c r="L109" s="140">
        <v>23</v>
      </c>
      <c r="M109" s="136">
        <f t="shared" si="8"/>
        <v>0</v>
      </c>
      <c r="N109" s="130">
        <f t="shared" si="9"/>
        <v>1</v>
      </c>
    </row>
    <row r="110" spans="1:14" ht="15" hidden="1" customHeight="1">
      <c r="A110" s="127" t="s">
        <v>367</v>
      </c>
      <c r="B110" s="128" t="s">
        <v>323</v>
      </c>
      <c r="C110" s="129">
        <v>43896</v>
      </c>
      <c r="D110" s="128">
        <v>733</v>
      </c>
      <c r="E110" s="128" t="s">
        <v>324</v>
      </c>
      <c r="F110" s="128" t="s">
        <v>325</v>
      </c>
      <c r="G110" s="128" t="s">
        <v>377</v>
      </c>
      <c r="H110" s="128">
        <v>956236</v>
      </c>
      <c r="I110" s="128" t="s">
        <v>314</v>
      </c>
      <c r="J110" s="128" t="s">
        <v>217</v>
      </c>
      <c r="K110" s="136">
        <v>63</v>
      </c>
      <c r="L110" s="140">
        <v>15.308999999999999</v>
      </c>
      <c r="M110" s="136">
        <f t="shared" si="8"/>
        <v>47.691000000000003</v>
      </c>
      <c r="N110" s="130">
        <f t="shared" si="9"/>
        <v>0.24299999999999999</v>
      </c>
    </row>
    <row r="111" spans="1:14" ht="15" hidden="1" customHeight="1">
      <c r="A111" s="127" t="s">
        <v>367</v>
      </c>
      <c r="B111" s="128" t="s">
        <v>323</v>
      </c>
      <c r="C111" s="129">
        <v>43896</v>
      </c>
      <c r="D111" s="128">
        <v>733</v>
      </c>
      <c r="E111" s="128" t="s">
        <v>324</v>
      </c>
      <c r="F111" s="128" t="s">
        <v>325</v>
      </c>
      <c r="G111" s="128" t="s">
        <v>377</v>
      </c>
      <c r="H111" s="128">
        <v>956236</v>
      </c>
      <c r="I111" s="128" t="s">
        <v>314</v>
      </c>
      <c r="J111" s="128" t="s">
        <v>218</v>
      </c>
      <c r="K111" s="136">
        <v>105</v>
      </c>
      <c r="L111" s="140">
        <v>152.691</v>
      </c>
      <c r="M111" s="136">
        <f t="shared" si="8"/>
        <v>-47.691000000000003</v>
      </c>
      <c r="N111" s="130">
        <f t="shared" si="9"/>
        <v>1.4541999999999999</v>
      </c>
    </row>
    <row r="112" spans="1:14" ht="15" hidden="1" customHeight="1">
      <c r="A112" s="127" t="s">
        <v>367</v>
      </c>
      <c r="B112" s="128" t="s">
        <v>323</v>
      </c>
      <c r="C112" s="129">
        <v>43896</v>
      </c>
      <c r="D112" s="128">
        <v>733</v>
      </c>
      <c r="E112" s="128" t="s">
        <v>324</v>
      </c>
      <c r="F112" s="128" t="s">
        <v>325</v>
      </c>
      <c r="G112" s="128" t="s">
        <v>378</v>
      </c>
      <c r="H112" s="128">
        <v>957821</v>
      </c>
      <c r="I112" s="128" t="s">
        <v>314</v>
      </c>
      <c r="J112" s="128" t="s">
        <v>217</v>
      </c>
      <c r="K112" s="136">
        <v>35</v>
      </c>
      <c r="L112" s="140">
        <v>20.672999999999998</v>
      </c>
      <c r="M112" s="136">
        <f t="shared" si="8"/>
        <v>14.327000000000002</v>
      </c>
      <c r="N112" s="130">
        <f t="shared" si="9"/>
        <v>0.59065714285714277</v>
      </c>
    </row>
    <row r="113" spans="1:14" ht="15" hidden="1" customHeight="1">
      <c r="A113" s="127" t="s">
        <v>367</v>
      </c>
      <c r="B113" s="128" t="s">
        <v>323</v>
      </c>
      <c r="C113" s="129">
        <v>43896</v>
      </c>
      <c r="D113" s="128">
        <v>733</v>
      </c>
      <c r="E113" s="128" t="s">
        <v>324</v>
      </c>
      <c r="F113" s="128" t="s">
        <v>325</v>
      </c>
      <c r="G113" s="128" t="s">
        <v>378</v>
      </c>
      <c r="H113" s="128">
        <v>957821</v>
      </c>
      <c r="I113" s="128" t="s">
        <v>314</v>
      </c>
      <c r="J113" s="128" t="s">
        <v>218</v>
      </c>
      <c r="K113" s="136">
        <v>58</v>
      </c>
      <c r="L113" s="140">
        <v>72.326999999999998</v>
      </c>
      <c r="M113" s="136">
        <f t="shared" si="8"/>
        <v>-14.326999999999998</v>
      </c>
      <c r="N113" s="130">
        <f t="shared" si="9"/>
        <v>1.2470172413793104</v>
      </c>
    </row>
    <row r="114" spans="1:14" ht="15" hidden="1" customHeight="1">
      <c r="A114" s="127" t="s">
        <v>367</v>
      </c>
      <c r="B114" s="128" t="s">
        <v>323</v>
      </c>
      <c r="C114" s="129">
        <v>43896</v>
      </c>
      <c r="D114" s="128">
        <v>733</v>
      </c>
      <c r="E114" s="128" t="s">
        <v>324</v>
      </c>
      <c r="F114" s="128" t="s">
        <v>325</v>
      </c>
      <c r="G114" s="128" t="s">
        <v>379</v>
      </c>
      <c r="H114" s="128">
        <v>958006</v>
      </c>
      <c r="I114" s="128" t="s">
        <v>314</v>
      </c>
      <c r="J114" s="128" t="s">
        <v>217</v>
      </c>
      <c r="K114" s="136">
        <v>70</v>
      </c>
      <c r="L114" s="140">
        <v>77.009</v>
      </c>
      <c r="M114" s="136">
        <f t="shared" si="8"/>
        <v>-7.0090000000000003</v>
      </c>
      <c r="N114" s="130">
        <f t="shared" si="9"/>
        <v>1.1001285714285713</v>
      </c>
    </row>
    <row r="115" spans="1:14" ht="15" hidden="1" customHeight="1">
      <c r="A115" s="127" t="s">
        <v>367</v>
      </c>
      <c r="B115" s="128" t="s">
        <v>323</v>
      </c>
      <c r="C115" s="129">
        <v>43896</v>
      </c>
      <c r="D115" s="128">
        <v>733</v>
      </c>
      <c r="E115" s="128" t="s">
        <v>324</v>
      </c>
      <c r="F115" s="128" t="s">
        <v>325</v>
      </c>
      <c r="G115" s="128" t="s">
        <v>379</v>
      </c>
      <c r="H115" s="128">
        <v>958006</v>
      </c>
      <c r="I115" s="128" t="s">
        <v>314</v>
      </c>
      <c r="J115" s="128" t="s">
        <v>218</v>
      </c>
      <c r="K115" s="136">
        <v>117</v>
      </c>
      <c r="L115" s="140">
        <v>109.991</v>
      </c>
      <c r="M115" s="136">
        <f t="shared" si="8"/>
        <v>7.0090000000000003</v>
      </c>
      <c r="N115" s="130">
        <f t="shared" si="9"/>
        <v>0.94009401709401708</v>
      </c>
    </row>
    <row r="116" spans="1:14" ht="15" hidden="1" customHeight="1">
      <c r="A116" s="127" t="s">
        <v>367</v>
      </c>
      <c r="B116" s="128" t="s">
        <v>323</v>
      </c>
      <c r="C116" s="129">
        <v>43896</v>
      </c>
      <c r="D116" s="128">
        <v>733</v>
      </c>
      <c r="E116" s="128" t="s">
        <v>324</v>
      </c>
      <c r="F116" s="128" t="s">
        <v>325</v>
      </c>
      <c r="G116" s="128" t="s">
        <v>380</v>
      </c>
      <c r="H116" s="128">
        <v>954645</v>
      </c>
      <c r="I116" s="128" t="s">
        <v>314</v>
      </c>
      <c r="J116" s="128" t="s">
        <v>217</v>
      </c>
      <c r="K116" s="136">
        <v>14</v>
      </c>
      <c r="L116" s="140"/>
      <c r="M116" s="136">
        <f t="shared" si="8"/>
        <v>14</v>
      </c>
      <c r="N116" s="130">
        <f t="shared" si="9"/>
        <v>0</v>
      </c>
    </row>
    <row r="117" spans="1:14" ht="15" hidden="1" customHeight="1">
      <c r="A117" s="127" t="s">
        <v>367</v>
      </c>
      <c r="B117" s="128" t="s">
        <v>323</v>
      </c>
      <c r="C117" s="129">
        <v>43896</v>
      </c>
      <c r="D117" s="128">
        <v>733</v>
      </c>
      <c r="E117" s="128" t="s">
        <v>324</v>
      </c>
      <c r="F117" s="128" t="s">
        <v>325</v>
      </c>
      <c r="G117" s="128" t="s">
        <v>380</v>
      </c>
      <c r="H117" s="128">
        <v>954645</v>
      </c>
      <c r="I117" s="128" t="s">
        <v>314</v>
      </c>
      <c r="J117" s="128" t="s">
        <v>218</v>
      </c>
      <c r="K117" s="136">
        <v>23</v>
      </c>
      <c r="L117" s="140"/>
      <c r="M117" s="136">
        <f t="shared" si="8"/>
        <v>23</v>
      </c>
      <c r="N117" s="130">
        <f t="shared" si="9"/>
        <v>0</v>
      </c>
    </row>
    <row r="118" spans="1:14" ht="15" hidden="1" customHeight="1">
      <c r="A118" s="127" t="s">
        <v>367</v>
      </c>
      <c r="B118" s="128" t="s">
        <v>323</v>
      </c>
      <c r="C118" s="129">
        <v>43896</v>
      </c>
      <c r="D118" s="128">
        <v>733</v>
      </c>
      <c r="E118" s="128" t="s">
        <v>324</v>
      </c>
      <c r="F118" s="128" t="s">
        <v>325</v>
      </c>
      <c r="G118" s="128" t="s">
        <v>381</v>
      </c>
      <c r="H118" s="128">
        <v>967983</v>
      </c>
      <c r="I118" s="128" t="s">
        <v>314</v>
      </c>
      <c r="J118" s="128" t="s">
        <v>217</v>
      </c>
      <c r="K118" s="136">
        <v>23</v>
      </c>
      <c r="L118" s="144">
        <v>2.2400000000000002</v>
      </c>
      <c r="M118" s="136">
        <f t="shared" si="8"/>
        <v>20.759999999999998</v>
      </c>
      <c r="N118" s="130">
        <f t="shared" si="9"/>
        <v>9.7391304347826099E-2</v>
      </c>
    </row>
    <row r="119" spans="1:14" ht="15" hidden="1" customHeight="1">
      <c r="A119" s="127" t="s">
        <v>367</v>
      </c>
      <c r="B119" s="128" t="s">
        <v>323</v>
      </c>
      <c r="C119" s="129">
        <v>43896</v>
      </c>
      <c r="D119" s="128">
        <v>733</v>
      </c>
      <c r="E119" s="128" t="s">
        <v>324</v>
      </c>
      <c r="F119" s="128" t="s">
        <v>325</v>
      </c>
      <c r="G119" s="128" t="s">
        <v>381</v>
      </c>
      <c r="H119" s="128">
        <v>967983</v>
      </c>
      <c r="I119" s="128" t="s">
        <v>314</v>
      </c>
      <c r="J119" s="128" t="s">
        <v>218</v>
      </c>
      <c r="K119" s="136">
        <v>47</v>
      </c>
      <c r="L119" s="144">
        <v>67.760000000000005</v>
      </c>
      <c r="M119" s="136">
        <f t="shared" si="8"/>
        <v>-20.760000000000005</v>
      </c>
      <c r="N119" s="130">
        <f t="shared" si="9"/>
        <v>1.4417021276595745</v>
      </c>
    </row>
    <row r="120" spans="1:14" ht="15" hidden="1" customHeight="1">
      <c r="A120" s="127" t="s">
        <v>367</v>
      </c>
      <c r="B120" s="128" t="s">
        <v>323</v>
      </c>
      <c r="C120" s="129">
        <v>43896</v>
      </c>
      <c r="D120" s="128">
        <v>733</v>
      </c>
      <c r="E120" s="128" t="s">
        <v>324</v>
      </c>
      <c r="F120" s="128" t="s">
        <v>325</v>
      </c>
      <c r="G120" s="128" t="s">
        <v>382</v>
      </c>
      <c r="H120" s="128">
        <v>955250</v>
      </c>
      <c r="I120" s="128" t="s">
        <v>314</v>
      </c>
      <c r="J120" s="128" t="s">
        <v>217</v>
      </c>
      <c r="K120" s="136">
        <v>38</v>
      </c>
      <c r="L120" s="144">
        <v>38</v>
      </c>
      <c r="M120" s="136">
        <f t="shared" si="8"/>
        <v>0</v>
      </c>
      <c r="N120" s="130">
        <f t="shared" si="9"/>
        <v>1</v>
      </c>
    </row>
    <row r="121" spans="1:14" ht="15" hidden="1" customHeight="1">
      <c r="A121" s="127" t="s">
        <v>367</v>
      </c>
      <c r="B121" s="128" t="s">
        <v>323</v>
      </c>
      <c r="C121" s="129">
        <v>43896</v>
      </c>
      <c r="D121" s="128">
        <v>733</v>
      </c>
      <c r="E121" s="128" t="s">
        <v>324</v>
      </c>
      <c r="F121" s="128" t="s">
        <v>325</v>
      </c>
      <c r="G121" s="128" t="s">
        <v>382</v>
      </c>
      <c r="H121" s="128">
        <v>955250</v>
      </c>
      <c r="I121" s="128" t="s">
        <v>314</v>
      </c>
      <c r="J121" s="128" t="s">
        <v>218</v>
      </c>
      <c r="K121" s="136">
        <v>62</v>
      </c>
      <c r="L121" s="144">
        <v>62</v>
      </c>
      <c r="M121" s="136">
        <f t="shared" si="8"/>
        <v>0</v>
      </c>
      <c r="N121" s="130">
        <f t="shared" si="9"/>
        <v>1</v>
      </c>
    </row>
    <row r="122" spans="1:14" ht="15" hidden="1" customHeight="1">
      <c r="A122" s="127" t="s">
        <v>367</v>
      </c>
      <c r="B122" s="128" t="s">
        <v>323</v>
      </c>
      <c r="C122" s="129">
        <v>43896</v>
      </c>
      <c r="D122" s="128">
        <v>733</v>
      </c>
      <c r="E122" s="128" t="s">
        <v>324</v>
      </c>
      <c r="F122" s="128" t="s">
        <v>325</v>
      </c>
      <c r="G122" s="128" t="s">
        <v>383</v>
      </c>
      <c r="H122" s="128">
        <v>966763</v>
      </c>
      <c r="I122" s="128" t="s">
        <v>314</v>
      </c>
      <c r="J122" s="128" t="s">
        <v>217</v>
      </c>
      <c r="K122" s="136">
        <v>74</v>
      </c>
      <c r="L122" s="140">
        <v>48.374000000000002</v>
      </c>
      <c r="M122" s="136">
        <f t="shared" si="8"/>
        <v>25.625999999999998</v>
      </c>
      <c r="N122" s="130">
        <f t="shared" si="9"/>
        <v>0.6537027027027027</v>
      </c>
    </row>
    <row r="123" spans="1:14" ht="15" hidden="1" customHeight="1">
      <c r="A123" s="127" t="s">
        <v>367</v>
      </c>
      <c r="B123" s="128" t="s">
        <v>323</v>
      </c>
      <c r="C123" s="129">
        <v>43896</v>
      </c>
      <c r="D123" s="128">
        <v>733</v>
      </c>
      <c r="E123" s="128" t="s">
        <v>324</v>
      </c>
      <c r="F123" s="128" t="s">
        <v>325</v>
      </c>
      <c r="G123" s="128" t="s">
        <v>383</v>
      </c>
      <c r="H123" s="128">
        <v>966763</v>
      </c>
      <c r="I123" s="128" t="s">
        <v>314</v>
      </c>
      <c r="J123" s="128" t="s">
        <v>218</v>
      </c>
      <c r="K123" s="136">
        <v>132</v>
      </c>
      <c r="L123" s="140">
        <v>157.626</v>
      </c>
      <c r="M123" s="136">
        <f t="shared" si="8"/>
        <v>-25.626000000000005</v>
      </c>
      <c r="N123" s="130">
        <f t="shared" si="9"/>
        <v>1.1941363636363638</v>
      </c>
    </row>
    <row r="124" spans="1:14" ht="15" hidden="1" customHeight="1">
      <c r="A124" s="127" t="s">
        <v>367</v>
      </c>
      <c r="B124" s="128" t="s">
        <v>323</v>
      </c>
      <c r="C124" s="129">
        <v>43896</v>
      </c>
      <c r="D124" s="128">
        <v>733</v>
      </c>
      <c r="E124" s="128" t="s">
        <v>324</v>
      </c>
      <c r="F124" s="128" t="s">
        <v>325</v>
      </c>
      <c r="G124" s="128" t="s">
        <v>384</v>
      </c>
      <c r="H124" s="128">
        <v>958067</v>
      </c>
      <c r="I124" s="128" t="s">
        <v>314</v>
      </c>
      <c r="J124" s="128" t="s">
        <v>217</v>
      </c>
      <c r="K124" s="136">
        <v>35</v>
      </c>
      <c r="L124" s="140">
        <v>25.751999999999999</v>
      </c>
      <c r="M124" s="136">
        <f t="shared" si="8"/>
        <v>9.2480000000000011</v>
      </c>
      <c r="N124" s="130">
        <f t="shared" si="9"/>
        <v>0.73577142857142852</v>
      </c>
    </row>
    <row r="125" spans="1:14" ht="15" hidden="1" customHeight="1">
      <c r="A125" s="127" t="s">
        <v>367</v>
      </c>
      <c r="B125" s="128" t="s">
        <v>323</v>
      </c>
      <c r="C125" s="129">
        <v>43896</v>
      </c>
      <c r="D125" s="128">
        <v>733</v>
      </c>
      <c r="E125" s="128" t="s">
        <v>324</v>
      </c>
      <c r="F125" s="128" t="s">
        <v>325</v>
      </c>
      <c r="G125" s="128" t="s">
        <v>384</v>
      </c>
      <c r="H125" s="128">
        <v>958067</v>
      </c>
      <c r="I125" s="128" t="s">
        <v>314</v>
      </c>
      <c r="J125" s="128" t="s">
        <v>218</v>
      </c>
      <c r="K125" s="136">
        <v>58</v>
      </c>
      <c r="L125" s="140">
        <v>66.957999999999998</v>
      </c>
      <c r="M125" s="136">
        <f t="shared" si="8"/>
        <v>-8.9579999999999984</v>
      </c>
      <c r="N125" s="130">
        <f t="shared" si="9"/>
        <v>1.1544482758620689</v>
      </c>
    </row>
    <row r="126" spans="1:14" ht="15" hidden="1" customHeight="1">
      <c r="A126" s="127" t="s">
        <v>367</v>
      </c>
      <c r="B126" s="128" t="s">
        <v>323</v>
      </c>
      <c r="C126" s="129">
        <v>43896</v>
      </c>
      <c r="D126" s="128">
        <v>733</v>
      </c>
      <c r="E126" s="128" t="s">
        <v>324</v>
      </c>
      <c r="F126" s="128" t="s">
        <v>325</v>
      </c>
      <c r="G126" s="128" t="s">
        <v>385</v>
      </c>
      <c r="H126" s="128">
        <v>965128</v>
      </c>
      <c r="I126" s="128" t="s">
        <v>314</v>
      </c>
      <c r="J126" s="128" t="s">
        <v>217</v>
      </c>
      <c r="K126" s="136">
        <v>63</v>
      </c>
      <c r="L126" s="140">
        <v>57.054000000000002</v>
      </c>
      <c r="M126" s="136">
        <f t="shared" si="8"/>
        <v>5.945999999999998</v>
      </c>
      <c r="N126" s="130">
        <f t="shared" si="9"/>
        <v>0.90561904761904766</v>
      </c>
    </row>
    <row r="127" spans="1:14" ht="15" hidden="1" customHeight="1">
      <c r="A127" s="127" t="s">
        <v>367</v>
      </c>
      <c r="B127" s="128" t="s">
        <v>323</v>
      </c>
      <c r="C127" s="129">
        <v>43896</v>
      </c>
      <c r="D127" s="128">
        <v>733</v>
      </c>
      <c r="E127" s="128" t="s">
        <v>324</v>
      </c>
      <c r="F127" s="128" t="s">
        <v>325</v>
      </c>
      <c r="G127" s="128" t="s">
        <v>385</v>
      </c>
      <c r="H127" s="128">
        <v>965128</v>
      </c>
      <c r="I127" s="128" t="s">
        <v>314</v>
      </c>
      <c r="J127" s="128" t="s">
        <v>218</v>
      </c>
      <c r="K127" s="136">
        <v>105</v>
      </c>
      <c r="L127" s="140">
        <v>110.946</v>
      </c>
      <c r="M127" s="136">
        <f t="shared" si="8"/>
        <v>-5.945999999999998</v>
      </c>
      <c r="N127" s="130">
        <f t="shared" si="9"/>
        <v>1.0566285714285715</v>
      </c>
    </row>
    <row r="128" spans="1:14" ht="15" hidden="1" customHeight="1">
      <c r="A128" s="127" t="s">
        <v>367</v>
      </c>
      <c r="B128" s="128" t="s">
        <v>323</v>
      </c>
      <c r="C128" s="129">
        <v>43896</v>
      </c>
      <c r="D128" s="128">
        <v>733</v>
      </c>
      <c r="E128" s="128" t="s">
        <v>324</v>
      </c>
      <c r="F128" s="128" t="s">
        <v>325</v>
      </c>
      <c r="G128" s="128" t="s">
        <v>386</v>
      </c>
      <c r="H128" s="128">
        <v>959347</v>
      </c>
      <c r="I128" s="128" t="s">
        <v>314</v>
      </c>
      <c r="J128" s="128" t="s">
        <v>217</v>
      </c>
      <c r="K128" s="136">
        <v>54</v>
      </c>
      <c r="L128" s="140">
        <v>34.799999999999997</v>
      </c>
      <c r="M128" s="136">
        <f t="shared" si="8"/>
        <v>19.200000000000003</v>
      </c>
      <c r="N128" s="130">
        <f t="shared" si="9"/>
        <v>0.64444444444444438</v>
      </c>
    </row>
    <row r="129" spans="1:14" ht="15" hidden="1" customHeight="1">
      <c r="A129" s="127" t="s">
        <v>367</v>
      </c>
      <c r="B129" s="128" t="s">
        <v>323</v>
      </c>
      <c r="C129" s="129">
        <v>43896</v>
      </c>
      <c r="D129" s="128">
        <v>733</v>
      </c>
      <c r="E129" s="128" t="s">
        <v>324</v>
      </c>
      <c r="F129" s="128" t="s">
        <v>325</v>
      </c>
      <c r="G129" s="128" t="s">
        <v>386</v>
      </c>
      <c r="H129" s="128">
        <v>959347</v>
      </c>
      <c r="I129" s="128" t="s">
        <v>314</v>
      </c>
      <c r="J129" s="128" t="s">
        <v>218</v>
      </c>
      <c r="K129" s="136">
        <v>108</v>
      </c>
      <c r="L129" s="140">
        <v>127.2</v>
      </c>
      <c r="M129" s="136">
        <f t="shared" si="8"/>
        <v>-19.200000000000003</v>
      </c>
      <c r="N129" s="130">
        <f t="shared" si="9"/>
        <v>1.1777777777777778</v>
      </c>
    </row>
    <row r="130" spans="1:14" ht="15" hidden="1" customHeight="1">
      <c r="A130" s="116" t="s">
        <v>388</v>
      </c>
      <c r="B130" s="128" t="s">
        <v>323</v>
      </c>
      <c r="C130" s="129">
        <v>43896</v>
      </c>
      <c r="D130" s="128">
        <v>735</v>
      </c>
      <c r="E130" s="128" t="s">
        <v>310</v>
      </c>
      <c r="F130" s="128" t="s">
        <v>311</v>
      </c>
      <c r="G130" s="128" t="s">
        <v>387</v>
      </c>
      <c r="H130" s="128">
        <v>959986</v>
      </c>
      <c r="I130" s="128" t="s">
        <v>314</v>
      </c>
      <c r="J130" s="128" t="s">
        <v>217</v>
      </c>
      <c r="K130" s="136">
        <v>100</v>
      </c>
      <c r="L130" s="140">
        <v>144.57599999999999</v>
      </c>
      <c r="M130" s="136">
        <f t="shared" si="8"/>
        <v>-44.575999999999993</v>
      </c>
      <c r="N130" s="130">
        <f t="shared" si="9"/>
        <v>1.4457599999999999</v>
      </c>
    </row>
    <row r="131" spans="1:14" ht="15" hidden="1" customHeight="1">
      <c r="A131" s="123" t="s">
        <v>388</v>
      </c>
      <c r="B131" s="128" t="s">
        <v>323</v>
      </c>
      <c r="C131" s="129">
        <v>43896</v>
      </c>
      <c r="D131" s="128">
        <v>735</v>
      </c>
      <c r="E131" s="128" t="s">
        <v>310</v>
      </c>
      <c r="F131" s="128" t="s">
        <v>311</v>
      </c>
      <c r="G131" s="128" t="s">
        <v>387</v>
      </c>
      <c r="H131" s="128">
        <v>959986</v>
      </c>
      <c r="I131" s="128" t="s">
        <v>314</v>
      </c>
      <c r="J131" s="128" t="s">
        <v>218</v>
      </c>
      <c r="K131" s="136">
        <v>300</v>
      </c>
      <c r="L131" s="140">
        <v>193.22200000000001</v>
      </c>
      <c r="M131" s="136">
        <f t="shared" si="8"/>
        <v>106.77799999999999</v>
      </c>
      <c r="N131" s="130">
        <f t="shared" si="9"/>
        <v>0.64407333333333339</v>
      </c>
    </row>
    <row r="132" spans="1:14" ht="15" hidden="1" customHeight="1">
      <c r="A132" s="116" t="s">
        <v>389</v>
      </c>
      <c r="B132" s="128" t="s">
        <v>323</v>
      </c>
      <c r="C132" s="98">
        <v>43901</v>
      </c>
      <c r="D132" s="116">
        <v>28</v>
      </c>
      <c r="E132" s="128" t="s">
        <v>310</v>
      </c>
      <c r="F132" s="128" t="s">
        <v>311</v>
      </c>
      <c r="G132" s="116" t="s">
        <v>337</v>
      </c>
      <c r="H132" s="116">
        <v>968147</v>
      </c>
      <c r="I132" s="116" t="s">
        <v>314</v>
      </c>
      <c r="J132" s="128" t="s">
        <v>217</v>
      </c>
      <c r="K132" s="193">
        <v>95</v>
      </c>
      <c r="L132" s="141">
        <v>142.286</v>
      </c>
      <c r="M132" s="124">
        <f t="shared" si="8"/>
        <v>-47.286000000000001</v>
      </c>
      <c r="N132" s="113">
        <f t="shared" si="9"/>
        <v>1.4977473684210527</v>
      </c>
    </row>
    <row r="133" spans="1:14" ht="15" hidden="1" customHeight="1">
      <c r="A133" s="125" t="s">
        <v>389</v>
      </c>
      <c r="B133" s="128" t="s">
        <v>323</v>
      </c>
      <c r="C133" s="98">
        <v>43901</v>
      </c>
      <c r="D133" s="125">
        <v>28</v>
      </c>
      <c r="E133" s="128" t="s">
        <v>310</v>
      </c>
      <c r="F133" s="128" t="s">
        <v>311</v>
      </c>
      <c r="G133" s="125" t="s">
        <v>337</v>
      </c>
      <c r="H133" s="125">
        <v>968147</v>
      </c>
      <c r="I133" s="125" t="s">
        <v>314</v>
      </c>
      <c r="J133" s="128" t="s">
        <v>218</v>
      </c>
      <c r="K133" s="193">
        <v>188</v>
      </c>
      <c r="L133" s="141">
        <v>172.72200000000001</v>
      </c>
      <c r="M133" s="124">
        <f t="shared" si="8"/>
        <v>15.277999999999992</v>
      </c>
      <c r="N133" s="113">
        <f t="shared" si="9"/>
        <v>0.91873404255319158</v>
      </c>
    </row>
    <row r="134" spans="1:14" ht="15" hidden="1" customHeight="1">
      <c r="A134" s="116" t="s">
        <v>390</v>
      </c>
      <c r="B134" s="116" t="s">
        <v>309</v>
      </c>
      <c r="C134" s="98">
        <v>43902</v>
      </c>
      <c r="D134" s="116">
        <v>30</v>
      </c>
      <c r="E134" s="128" t="s">
        <v>310</v>
      </c>
      <c r="F134" s="128" t="s">
        <v>311</v>
      </c>
      <c r="G134" s="116" t="s">
        <v>316</v>
      </c>
      <c r="H134" s="125">
        <v>967145</v>
      </c>
      <c r="I134" s="128" t="s">
        <v>314</v>
      </c>
      <c r="J134" s="128" t="s">
        <v>217</v>
      </c>
      <c r="K134" s="257">
        <v>15</v>
      </c>
      <c r="L134" s="116"/>
      <c r="M134" s="259">
        <f t="shared" si="8"/>
        <v>15</v>
      </c>
      <c r="N134" s="261">
        <f t="shared" si="9"/>
        <v>0</v>
      </c>
    </row>
    <row r="135" spans="1:14" ht="15" hidden="1" customHeight="1">
      <c r="A135" s="125" t="s">
        <v>390</v>
      </c>
      <c r="B135" s="125" t="s">
        <v>309</v>
      </c>
      <c r="C135" s="98">
        <v>43902</v>
      </c>
      <c r="D135" s="125">
        <v>30</v>
      </c>
      <c r="E135" s="128" t="s">
        <v>310</v>
      </c>
      <c r="F135" s="128" t="s">
        <v>311</v>
      </c>
      <c r="G135" s="116" t="s">
        <v>317</v>
      </c>
      <c r="H135" s="125">
        <v>967342</v>
      </c>
      <c r="I135" s="125" t="s">
        <v>314</v>
      </c>
      <c r="J135" s="128" t="s">
        <v>217</v>
      </c>
      <c r="K135" s="263"/>
      <c r="L135" s="116"/>
      <c r="M135" s="264"/>
      <c r="N135" s="265"/>
    </row>
    <row r="136" spans="1:14" ht="15" hidden="1" customHeight="1">
      <c r="A136" s="125" t="s">
        <v>390</v>
      </c>
      <c r="B136" s="125" t="s">
        <v>309</v>
      </c>
      <c r="C136" s="98">
        <v>43902</v>
      </c>
      <c r="D136" s="125">
        <v>30</v>
      </c>
      <c r="E136" s="128" t="s">
        <v>310</v>
      </c>
      <c r="F136" s="128" t="s">
        <v>311</v>
      </c>
      <c r="G136" s="116" t="s">
        <v>318</v>
      </c>
      <c r="H136" s="125">
        <v>967281</v>
      </c>
      <c r="I136" s="125" t="s">
        <v>314</v>
      </c>
      <c r="J136" s="128" t="s">
        <v>217</v>
      </c>
      <c r="K136" s="258"/>
      <c r="L136" s="116"/>
      <c r="M136" s="260"/>
      <c r="N136" s="262"/>
    </row>
    <row r="137" spans="1:14" ht="15" hidden="1" customHeight="1">
      <c r="A137" s="125" t="s">
        <v>390</v>
      </c>
      <c r="B137" s="125" t="s">
        <v>309</v>
      </c>
      <c r="C137" s="98">
        <v>43902</v>
      </c>
      <c r="D137" s="125">
        <v>30</v>
      </c>
      <c r="E137" s="128" t="s">
        <v>310</v>
      </c>
      <c r="F137" s="128" t="s">
        <v>311</v>
      </c>
      <c r="G137" s="125" t="s">
        <v>316</v>
      </c>
      <c r="H137" s="125">
        <v>967145</v>
      </c>
      <c r="I137" s="128" t="s">
        <v>314</v>
      </c>
      <c r="J137" s="128" t="s">
        <v>218</v>
      </c>
      <c r="K137" s="257">
        <v>30</v>
      </c>
      <c r="L137" s="116"/>
      <c r="M137" s="259">
        <f t="shared" ref="M137" si="10">K137-L137</f>
        <v>30</v>
      </c>
      <c r="N137" s="261">
        <f t="shared" ref="N137" si="11">L137/K137</f>
        <v>0</v>
      </c>
    </row>
    <row r="138" spans="1:14" ht="15" hidden="1" customHeight="1">
      <c r="A138" s="125" t="s">
        <v>390</v>
      </c>
      <c r="B138" s="125" t="s">
        <v>309</v>
      </c>
      <c r="C138" s="98">
        <v>43902</v>
      </c>
      <c r="D138" s="125">
        <v>30</v>
      </c>
      <c r="E138" s="128" t="s">
        <v>310</v>
      </c>
      <c r="F138" s="128" t="s">
        <v>311</v>
      </c>
      <c r="G138" s="125" t="s">
        <v>317</v>
      </c>
      <c r="H138" s="125">
        <v>967342</v>
      </c>
      <c r="I138" s="125" t="s">
        <v>314</v>
      </c>
      <c r="J138" s="128" t="s">
        <v>218</v>
      </c>
      <c r="K138" s="263"/>
      <c r="L138" s="116"/>
      <c r="M138" s="264"/>
      <c r="N138" s="265"/>
    </row>
    <row r="139" spans="1:14" ht="15" hidden="1" customHeight="1">
      <c r="A139" s="125" t="s">
        <v>390</v>
      </c>
      <c r="B139" s="125" t="s">
        <v>309</v>
      </c>
      <c r="C139" s="98">
        <v>43902</v>
      </c>
      <c r="D139" s="125">
        <v>30</v>
      </c>
      <c r="E139" s="128" t="s">
        <v>310</v>
      </c>
      <c r="F139" s="128" t="s">
        <v>311</v>
      </c>
      <c r="G139" s="125" t="s">
        <v>318</v>
      </c>
      <c r="H139" s="125">
        <v>967281</v>
      </c>
      <c r="I139" s="125" t="s">
        <v>314</v>
      </c>
      <c r="J139" s="128" t="s">
        <v>218</v>
      </c>
      <c r="K139" s="258"/>
      <c r="L139" s="116"/>
      <c r="M139" s="260"/>
      <c r="N139" s="262"/>
    </row>
    <row r="140" spans="1:14" ht="15" hidden="1" customHeight="1">
      <c r="A140" s="116" t="s">
        <v>391</v>
      </c>
      <c r="B140" s="128" t="s">
        <v>323</v>
      </c>
      <c r="C140" s="129">
        <v>43903</v>
      </c>
      <c r="D140" s="128">
        <v>31</v>
      </c>
      <c r="E140" s="128" t="s">
        <v>310</v>
      </c>
      <c r="F140" s="128" t="s">
        <v>311</v>
      </c>
      <c r="G140" s="128" t="s">
        <v>392</v>
      </c>
      <c r="H140" s="128">
        <v>962297</v>
      </c>
      <c r="I140" s="128" t="s">
        <v>314</v>
      </c>
      <c r="J140" s="128" t="s">
        <v>217</v>
      </c>
      <c r="K140" s="136">
        <v>8</v>
      </c>
      <c r="L140" s="140">
        <v>7.9770000000000003</v>
      </c>
      <c r="M140" s="136">
        <f t="shared" ref="M140:M141" si="12">K140-L140</f>
        <v>2.2999999999999687E-2</v>
      </c>
      <c r="N140" s="130">
        <f t="shared" ref="N140:N141" si="13">L140/K140</f>
        <v>0.99712500000000004</v>
      </c>
    </row>
    <row r="141" spans="1:14" ht="15" hidden="1" customHeight="1">
      <c r="A141" s="125" t="s">
        <v>391</v>
      </c>
      <c r="B141" s="128" t="s">
        <v>323</v>
      </c>
      <c r="C141" s="129">
        <v>43903</v>
      </c>
      <c r="D141" s="128">
        <v>31</v>
      </c>
      <c r="E141" s="128" t="s">
        <v>310</v>
      </c>
      <c r="F141" s="128" t="s">
        <v>311</v>
      </c>
      <c r="G141" s="128" t="s">
        <v>392</v>
      </c>
      <c r="H141" s="128">
        <v>962297</v>
      </c>
      <c r="I141" s="128" t="s">
        <v>314</v>
      </c>
      <c r="J141" s="128" t="s">
        <v>218</v>
      </c>
      <c r="K141" s="136">
        <v>16</v>
      </c>
      <c r="L141" s="140">
        <v>16</v>
      </c>
      <c r="M141" s="136">
        <f t="shared" si="12"/>
        <v>0</v>
      </c>
      <c r="N141" s="130">
        <f t="shared" si="13"/>
        <v>1</v>
      </c>
    </row>
    <row r="142" spans="1:14" ht="15" hidden="1" customHeight="1">
      <c r="A142" s="116" t="s">
        <v>393</v>
      </c>
      <c r="B142" s="128" t="s">
        <v>323</v>
      </c>
      <c r="C142" s="98">
        <v>43907</v>
      </c>
      <c r="D142" s="116">
        <v>790</v>
      </c>
      <c r="E142" s="116" t="s">
        <v>324</v>
      </c>
      <c r="F142" s="128" t="s">
        <v>311</v>
      </c>
      <c r="G142" s="116" t="s">
        <v>360</v>
      </c>
      <c r="H142" s="116">
        <v>913375</v>
      </c>
      <c r="I142" s="128" t="s">
        <v>314</v>
      </c>
      <c r="J142" s="128" t="s">
        <v>217</v>
      </c>
      <c r="K142" s="193">
        <v>215</v>
      </c>
      <c r="L142" s="141">
        <v>183.98</v>
      </c>
      <c r="M142" s="136">
        <f t="shared" ref="M142:M185" si="14">K142-L142</f>
        <v>31.02000000000001</v>
      </c>
      <c r="N142" s="130">
        <f t="shared" ref="N142:N185" si="15">L142/K142</f>
        <v>0.85572093023255813</v>
      </c>
    </row>
    <row r="143" spans="1:14" ht="15" hidden="1" customHeight="1">
      <c r="A143" s="125" t="s">
        <v>393</v>
      </c>
      <c r="B143" s="128" t="s">
        <v>323</v>
      </c>
      <c r="C143" s="98">
        <v>43907</v>
      </c>
      <c r="D143" s="125">
        <v>790</v>
      </c>
      <c r="E143" s="125" t="s">
        <v>324</v>
      </c>
      <c r="F143" s="128" t="s">
        <v>311</v>
      </c>
      <c r="G143" s="125" t="s">
        <v>360</v>
      </c>
      <c r="H143" s="125">
        <v>913375</v>
      </c>
      <c r="I143" s="128" t="s">
        <v>314</v>
      </c>
      <c r="J143" s="128" t="s">
        <v>218</v>
      </c>
      <c r="K143" s="193">
        <v>85</v>
      </c>
      <c r="L143" s="141">
        <v>51.957000000000001</v>
      </c>
      <c r="M143" s="136">
        <f t="shared" si="14"/>
        <v>33.042999999999999</v>
      </c>
      <c r="N143" s="130">
        <f t="shared" si="15"/>
        <v>0.61125882352941174</v>
      </c>
    </row>
    <row r="144" spans="1:14" ht="15" hidden="1" customHeight="1">
      <c r="A144" s="125" t="s">
        <v>393</v>
      </c>
      <c r="B144" s="128" t="s">
        <v>323</v>
      </c>
      <c r="C144" s="98">
        <v>43907</v>
      </c>
      <c r="D144" s="125">
        <v>790</v>
      </c>
      <c r="E144" s="125" t="s">
        <v>324</v>
      </c>
      <c r="F144" s="128" t="s">
        <v>311</v>
      </c>
      <c r="G144" s="116" t="s">
        <v>394</v>
      </c>
      <c r="H144" s="116">
        <v>924603</v>
      </c>
      <c r="I144" s="128" t="s">
        <v>314</v>
      </c>
      <c r="J144" s="128" t="s">
        <v>217</v>
      </c>
      <c r="K144" s="193">
        <v>215</v>
      </c>
      <c r="L144" s="141">
        <v>73.221999999999994</v>
      </c>
      <c r="M144" s="136">
        <f t="shared" si="14"/>
        <v>141.77800000000002</v>
      </c>
      <c r="N144" s="130">
        <f t="shared" si="15"/>
        <v>0.34056744186046511</v>
      </c>
    </row>
    <row r="145" spans="1:14" ht="15" hidden="1" customHeight="1">
      <c r="A145" s="125" t="s">
        <v>393</v>
      </c>
      <c r="B145" s="128" t="s">
        <v>323</v>
      </c>
      <c r="C145" s="98">
        <v>43907</v>
      </c>
      <c r="D145" s="125">
        <v>790</v>
      </c>
      <c r="E145" s="125" t="s">
        <v>324</v>
      </c>
      <c r="F145" s="128" t="s">
        <v>311</v>
      </c>
      <c r="G145" s="125" t="s">
        <v>394</v>
      </c>
      <c r="H145" s="125">
        <v>924603</v>
      </c>
      <c r="I145" s="128" t="s">
        <v>314</v>
      </c>
      <c r="J145" s="128" t="s">
        <v>218</v>
      </c>
      <c r="K145" s="193">
        <v>85</v>
      </c>
      <c r="L145" s="141">
        <v>226.726</v>
      </c>
      <c r="M145" s="136">
        <f t="shared" si="14"/>
        <v>-141.726</v>
      </c>
      <c r="N145" s="130">
        <f t="shared" si="15"/>
        <v>2.6673647058823531</v>
      </c>
    </row>
    <row r="146" spans="1:14" ht="15" hidden="1" customHeight="1">
      <c r="A146" s="125" t="s">
        <v>393</v>
      </c>
      <c r="B146" s="128" t="s">
        <v>323</v>
      </c>
      <c r="C146" s="98">
        <v>43907</v>
      </c>
      <c r="D146" s="125">
        <v>790</v>
      </c>
      <c r="E146" s="125" t="s">
        <v>324</v>
      </c>
      <c r="F146" s="128" t="s">
        <v>311</v>
      </c>
      <c r="G146" s="116" t="s">
        <v>395</v>
      </c>
      <c r="H146" s="116">
        <v>967596</v>
      </c>
      <c r="I146" s="128" t="s">
        <v>314</v>
      </c>
      <c r="J146" s="128" t="s">
        <v>217</v>
      </c>
      <c r="K146" s="193">
        <v>215</v>
      </c>
      <c r="L146" s="141">
        <v>215</v>
      </c>
      <c r="M146" s="136">
        <f t="shared" si="14"/>
        <v>0</v>
      </c>
      <c r="N146" s="130">
        <f t="shared" si="15"/>
        <v>1</v>
      </c>
    </row>
    <row r="147" spans="1:14" ht="15" hidden="1" customHeight="1">
      <c r="A147" s="125" t="s">
        <v>393</v>
      </c>
      <c r="B147" s="128" t="s">
        <v>323</v>
      </c>
      <c r="C147" s="98">
        <v>43907</v>
      </c>
      <c r="D147" s="125">
        <v>790</v>
      </c>
      <c r="E147" s="125" t="s">
        <v>324</v>
      </c>
      <c r="F147" s="128" t="s">
        <v>311</v>
      </c>
      <c r="G147" s="125" t="s">
        <v>395</v>
      </c>
      <c r="H147" s="125">
        <v>967596</v>
      </c>
      <c r="I147" s="128" t="s">
        <v>314</v>
      </c>
      <c r="J147" s="128" t="s">
        <v>218</v>
      </c>
      <c r="K147" s="193">
        <v>85</v>
      </c>
      <c r="L147" s="141">
        <v>84.998000000000005</v>
      </c>
      <c r="M147" s="136">
        <f t="shared" si="14"/>
        <v>1.9999999999953388E-3</v>
      </c>
      <c r="N147" s="130">
        <f t="shared" si="15"/>
        <v>0.99997647058823536</v>
      </c>
    </row>
    <row r="148" spans="1:14" ht="15" hidden="1" customHeight="1">
      <c r="A148" s="125" t="s">
        <v>393</v>
      </c>
      <c r="B148" s="128" t="s">
        <v>323</v>
      </c>
      <c r="C148" s="98">
        <v>43907</v>
      </c>
      <c r="D148" s="125">
        <v>790</v>
      </c>
      <c r="E148" s="125" t="s">
        <v>324</v>
      </c>
      <c r="F148" s="128" t="s">
        <v>311</v>
      </c>
      <c r="G148" s="116" t="s">
        <v>396</v>
      </c>
      <c r="H148" s="116">
        <v>964441</v>
      </c>
      <c r="I148" s="128" t="s">
        <v>314</v>
      </c>
      <c r="J148" s="128" t="s">
        <v>217</v>
      </c>
      <c r="K148" s="193">
        <v>215</v>
      </c>
      <c r="L148" s="141">
        <v>215</v>
      </c>
      <c r="M148" s="136">
        <f t="shared" si="14"/>
        <v>0</v>
      </c>
      <c r="N148" s="130">
        <f t="shared" si="15"/>
        <v>1</v>
      </c>
    </row>
    <row r="149" spans="1:14" ht="15" hidden="1" customHeight="1">
      <c r="A149" s="125" t="s">
        <v>393</v>
      </c>
      <c r="B149" s="128" t="s">
        <v>323</v>
      </c>
      <c r="C149" s="98">
        <v>43907</v>
      </c>
      <c r="D149" s="125">
        <v>790</v>
      </c>
      <c r="E149" s="125" t="s">
        <v>324</v>
      </c>
      <c r="F149" s="128" t="s">
        <v>311</v>
      </c>
      <c r="G149" s="125" t="s">
        <v>396</v>
      </c>
      <c r="H149" s="125">
        <v>964441</v>
      </c>
      <c r="I149" s="128" t="s">
        <v>314</v>
      </c>
      <c r="J149" s="128" t="s">
        <v>218</v>
      </c>
      <c r="K149" s="193">
        <v>85</v>
      </c>
      <c r="L149" s="141">
        <v>85</v>
      </c>
      <c r="M149" s="136">
        <f t="shared" si="14"/>
        <v>0</v>
      </c>
      <c r="N149" s="130">
        <f t="shared" si="15"/>
        <v>1</v>
      </c>
    </row>
    <row r="150" spans="1:14" ht="15" hidden="1" customHeight="1">
      <c r="A150" s="125" t="s">
        <v>393</v>
      </c>
      <c r="B150" s="128" t="s">
        <v>323</v>
      </c>
      <c r="C150" s="98">
        <v>43907</v>
      </c>
      <c r="D150" s="125">
        <v>790</v>
      </c>
      <c r="E150" s="125" t="s">
        <v>324</v>
      </c>
      <c r="F150" s="128" t="s">
        <v>311</v>
      </c>
      <c r="G150" s="116" t="s">
        <v>397</v>
      </c>
      <c r="H150" s="116">
        <v>924619</v>
      </c>
      <c r="I150" s="128" t="s">
        <v>314</v>
      </c>
      <c r="J150" s="128" t="s">
        <v>217</v>
      </c>
      <c r="K150" s="193">
        <v>215</v>
      </c>
      <c r="L150" s="141">
        <v>224.035</v>
      </c>
      <c r="M150" s="136">
        <f t="shared" si="14"/>
        <v>-9.0349999999999966</v>
      </c>
      <c r="N150" s="130">
        <f t="shared" si="15"/>
        <v>1.0420232558139535</v>
      </c>
    </row>
    <row r="151" spans="1:14" ht="15" hidden="1" customHeight="1">
      <c r="A151" s="125" t="s">
        <v>393</v>
      </c>
      <c r="B151" s="128" t="s">
        <v>323</v>
      </c>
      <c r="C151" s="98">
        <v>43907</v>
      </c>
      <c r="D151" s="125">
        <v>790</v>
      </c>
      <c r="E151" s="125" t="s">
        <v>324</v>
      </c>
      <c r="F151" s="128" t="s">
        <v>311</v>
      </c>
      <c r="G151" s="125" t="s">
        <v>397</v>
      </c>
      <c r="H151" s="125">
        <v>924619</v>
      </c>
      <c r="I151" s="128" t="s">
        <v>314</v>
      </c>
      <c r="J151" s="128" t="s">
        <v>218</v>
      </c>
      <c r="K151" s="193">
        <v>85</v>
      </c>
      <c r="L151" s="141">
        <v>85</v>
      </c>
      <c r="M151" s="136">
        <f t="shared" si="14"/>
        <v>0</v>
      </c>
      <c r="N151" s="130">
        <f t="shared" si="15"/>
        <v>1</v>
      </c>
    </row>
    <row r="152" spans="1:14" ht="15" hidden="1" customHeight="1">
      <c r="A152" s="125" t="s">
        <v>393</v>
      </c>
      <c r="B152" s="128" t="s">
        <v>323</v>
      </c>
      <c r="C152" s="98">
        <v>43907</v>
      </c>
      <c r="D152" s="125">
        <v>790</v>
      </c>
      <c r="E152" s="125" t="s">
        <v>324</v>
      </c>
      <c r="F152" s="128" t="s">
        <v>311</v>
      </c>
      <c r="G152" s="116" t="s">
        <v>398</v>
      </c>
      <c r="H152" s="116">
        <v>963843</v>
      </c>
      <c r="I152" s="128" t="s">
        <v>314</v>
      </c>
      <c r="J152" s="128" t="s">
        <v>217</v>
      </c>
      <c r="K152" s="193">
        <v>215</v>
      </c>
      <c r="L152" s="141">
        <v>95</v>
      </c>
      <c r="M152" s="136">
        <f t="shared" si="14"/>
        <v>120</v>
      </c>
      <c r="N152" s="130">
        <f t="shared" si="15"/>
        <v>0.44186046511627908</v>
      </c>
    </row>
    <row r="153" spans="1:14" ht="15" hidden="1" customHeight="1">
      <c r="A153" s="125" t="s">
        <v>393</v>
      </c>
      <c r="B153" s="128" t="s">
        <v>323</v>
      </c>
      <c r="C153" s="98">
        <v>43907</v>
      </c>
      <c r="D153" s="125">
        <v>790</v>
      </c>
      <c r="E153" s="125" t="s">
        <v>324</v>
      </c>
      <c r="F153" s="128" t="s">
        <v>311</v>
      </c>
      <c r="G153" s="125" t="s">
        <v>398</v>
      </c>
      <c r="H153" s="125">
        <v>963843</v>
      </c>
      <c r="I153" s="128" t="s">
        <v>314</v>
      </c>
      <c r="J153" s="128" t="s">
        <v>218</v>
      </c>
      <c r="K153" s="193">
        <v>85</v>
      </c>
      <c r="L153" s="141">
        <v>205</v>
      </c>
      <c r="M153" s="136">
        <f t="shared" si="14"/>
        <v>-120</v>
      </c>
      <c r="N153" s="130">
        <f t="shared" si="15"/>
        <v>2.4117647058823528</v>
      </c>
    </row>
    <row r="154" spans="1:14" ht="15" hidden="1" customHeight="1">
      <c r="A154" s="125" t="s">
        <v>393</v>
      </c>
      <c r="B154" s="128" t="s">
        <v>323</v>
      </c>
      <c r="C154" s="98">
        <v>43907</v>
      </c>
      <c r="D154" s="125">
        <v>790</v>
      </c>
      <c r="E154" s="125" t="s">
        <v>324</v>
      </c>
      <c r="F154" s="128" t="s">
        <v>311</v>
      </c>
      <c r="G154" s="116" t="s">
        <v>399</v>
      </c>
      <c r="H154" s="116">
        <v>962795</v>
      </c>
      <c r="I154" s="128" t="s">
        <v>314</v>
      </c>
      <c r="J154" s="128" t="s">
        <v>217</v>
      </c>
      <c r="K154" s="193">
        <v>615</v>
      </c>
      <c r="L154" s="141">
        <v>455.48099999999999</v>
      </c>
      <c r="M154" s="136">
        <f t="shared" si="14"/>
        <v>159.51900000000001</v>
      </c>
      <c r="N154" s="130">
        <f t="shared" si="15"/>
        <v>0.7406195121951219</v>
      </c>
    </row>
    <row r="155" spans="1:14" ht="15" hidden="1" customHeight="1">
      <c r="A155" s="125" t="s">
        <v>393</v>
      </c>
      <c r="B155" s="128" t="s">
        <v>323</v>
      </c>
      <c r="C155" s="98">
        <v>43907</v>
      </c>
      <c r="D155" s="125">
        <v>790</v>
      </c>
      <c r="E155" s="125" t="s">
        <v>324</v>
      </c>
      <c r="F155" s="128" t="s">
        <v>311</v>
      </c>
      <c r="G155" s="125" t="s">
        <v>399</v>
      </c>
      <c r="H155" s="125">
        <v>962795</v>
      </c>
      <c r="I155" s="128" t="s">
        <v>314</v>
      </c>
      <c r="J155" s="128" t="s">
        <v>218</v>
      </c>
      <c r="K155" s="193">
        <v>85</v>
      </c>
      <c r="L155" s="141">
        <v>244.51900000000001</v>
      </c>
      <c r="M155" s="136">
        <f t="shared" si="14"/>
        <v>-159.51900000000001</v>
      </c>
      <c r="N155" s="130">
        <f t="shared" si="15"/>
        <v>2.8766941176470588</v>
      </c>
    </row>
    <row r="156" spans="1:14" ht="15" hidden="1" customHeight="1">
      <c r="A156" s="125" t="s">
        <v>393</v>
      </c>
      <c r="B156" s="128" t="s">
        <v>323</v>
      </c>
      <c r="C156" s="98">
        <v>43907</v>
      </c>
      <c r="D156" s="125">
        <v>790</v>
      </c>
      <c r="E156" s="125" t="s">
        <v>324</v>
      </c>
      <c r="F156" s="128" t="s">
        <v>311</v>
      </c>
      <c r="G156" s="116" t="s">
        <v>400</v>
      </c>
      <c r="H156" s="116">
        <v>951136</v>
      </c>
      <c r="I156" s="128" t="s">
        <v>314</v>
      </c>
      <c r="J156" s="128" t="s">
        <v>217</v>
      </c>
      <c r="K156" s="193">
        <v>315</v>
      </c>
      <c r="L156" s="141">
        <v>90.727999999999994</v>
      </c>
      <c r="M156" s="136">
        <f t="shared" si="14"/>
        <v>224.27199999999999</v>
      </c>
      <c r="N156" s="130">
        <f t="shared" si="15"/>
        <v>0.2880253968253968</v>
      </c>
    </row>
    <row r="157" spans="1:14" ht="15" hidden="1" customHeight="1">
      <c r="A157" s="125" t="s">
        <v>393</v>
      </c>
      <c r="B157" s="128" t="s">
        <v>323</v>
      </c>
      <c r="C157" s="98">
        <v>43907</v>
      </c>
      <c r="D157" s="125">
        <v>790</v>
      </c>
      <c r="E157" s="125" t="s">
        <v>324</v>
      </c>
      <c r="F157" s="128" t="s">
        <v>311</v>
      </c>
      <c r="G157" s="125" t="s">
        <v>400</v>
      </c>
      <c r="H157" s="125">
        <v>951136</v>
      </c>
      <c r="I157" s="128" t="s">
        <v>314</v>
      </c>
      <c r="J157" s="128" t="s">
        <v>218</v>
      </c>
      <c r="K157" s="193">
        <v>85</v>
      </c>
      <c r="L157" s="141">
        <v>310.83100000000002</v>
      </c>
      <c r="M157" s="136">
        <f t="shared" si="14"/>
        <v>-225.83100000000002</v>
      </c>
      <c r="N157" s="130">
        <f t="shared" si="15"/>
        <v>3.6568352941176472</v>
      </c>
    </row>
    <row r="158" spans="1:14" ht="15" hidden="1" customHeight="1">
      <c r="A158" s="125" t="s">
        <v>393</v>
      </c>
      <c r="B158" s="128" t="s">
        <v>323</v>
      </c>
      <c r="C158" s="98">
        <v>43907</v>
      </c>
      <c r="D158" s="125">
        <v>790</v>
      </c>
      <c r="E158" s="125" t="s">
        <v>324</v>
      </c>
      <c r="F158" s="128" t="s">
        <v>311</v>
      </c>
      <c r="G158" s="116" t="s">
        <v>401</v>
      </c>
      <c r="H158" s="116">
        <v>960054</v>
      </c>
      <c r="I158" s="128" t="s">
        <v>314</v>
      </c>
      <c r="J158" s="128" t="s">
        <v>217</v>
      </c>
      <c r="K158" s="193">
        <v>215</v>
      </c>
      <c r="L158" s="141">
        <v>97.584999999999994</v>
      </c>
      <c r="M158" s="136">
        <f t="shared" si="14"/>
        <v>117.41500000000001</v>
      </c>
      <c r="N158" s="130">
        <f t="shared" si="15"/>
        <v>0.45388372093023255</v>
      </c>
    </row>
    <row r="159" spans="1:14" ht="15" hidden="1" customHeight="1">
      <c r="A159" s="125" t="s">
        <v>393</v>
      </c>
      <c r="B159" s="128" t="s">
        <v>323</v>
      </c>
      <c r="C159" s="98">
        <v>43907</v>
      </c>
      <c r="D159" s="125">
        <v>790</v>
      </c>
      <c r="E159" s="125" t="s">
        <v>324</v>
      </c>
      <c r="F159" s="128" t="s">
        <v>311</v>
      </c>
      <c r="G159" s="125" t="s">
        <v>401</v>
      </c>
      <c r="H159" s="125">
        <v>960054</v>
      </c>
      <c r="I159" s="128" t="s">
        <v>314</v>
      </c>
      <c r="J159" s="128" t="s">
        <v>218</v>
      </c>
      <c r="K159" s="193">
        <v>85</v>
      </c>
      <c r="L159" s="141">
        <v>199.357</v>
      </c>
      <c r="M159" s="136">
        <f t="shared" si="14"/>
        <v>-114.357</v>
      </c>
      <c r="N159" s="130">
        <f t="shared" si="15"/>
        <v>2.3453764705882354</v>
      </c>
    </row>
    <row r="160" spans="1:14" ht="15" hidden="1" customHeight="1">
      <c r="A160" s="125" t="s">
        <v>393</v>
      </c>
      <c r="B160" s="128" t="s">
        <v>323</v>
      </c>
      <c r="C160" s="98">
        <v>43907</v>
      </c>
      <c r="D160" s="125">
        <v>790</v>
      </c>
      <c r="E160" s="125" t="s">
        <v>324</v>
      </c>
      <c r="F160" s="128" t="s">
        <v>311</v>
      </c>
      <c r="G160" s="116" t="s">
        <v>402</v>
      </c>
      <c r="H160" s="116">
        <v>910836</v>
      </c>
      <c r="I160" s="128" t="s">
        <v>314</v>
      </c>
      <c r="J160" s="128" t="s">
        <v>217</v>
      </c>
      <c r="K160" s="193">
        <v>215</v>
      </c>
      <c r="L160" s="141">
        <v>179.21100000000001</v>
      </c>
      <c r="M160" s="136">
        <f t="shared" si="14"/>
        <v>35.788999999999987</v>
      </c>
      <c r="N160" s="130">
        <f t="shared" si="15"/>
        <v>0.83353953488372101</v>
      </c>
    </row>
    <row r="161" spans="1:14" ht="15" hidden="1" customHeight="1">
      <c r="A161" s="125" t="s">
        <v>393</v>
      </c>
      <c r="B161" s="128" t="s">
        <v>323</v>
      </c>
      <c r="C161" s="98">
        <v>43907</v>
      </c>
      <c r="D161" s="125">
        <v>790</v>
      </c>
      <c r="E161" s="125" t="s">
        <v>324</v>
      </c>
      <c r="F161" s="128" t="s">
        <v>311</v>
      </c>
      <c r="G161" s="125" t="s">
        <v>402</v>
      </c>
      <c r="H161" s="125">
        <v>910836</v>
      </c>
      <c r="I161" s="128" t="s">
        <v>314</v>
      </c>
      <c r="J161" s="128" t="s">
        <v>218</v>
      </c>
      <c r="K161" s="193">
        <v>85</v>
      </c>
      <c r="L161" s="141">
        <v>120.788</v>
      </c>
      <c r="M161" s="136">
        <f t="shared" si="14"/>
        <v>-35.787999999999997</v>
      </c>
      <c r="N161" s="130">
        <f t="shared" si="15"/>
        <v>1.421035294117647</v>
      </c>
    </row>
    <row r="162" spans="1:14" ht="15" hidden="1" customHeight="1">
      <c r="A162" s="125" t="s">
        <v>393</v>
      </c>
      <c r="B162" s="128" t="s">
        <v>323</v>
      </c>
      <c r="C162" s="98">
        <v>43907</v>
      </c>
      <c r="D162" s="125">
        <v>790</v>
      </c>
      <c r="E162" s="125" t="s">
        <v>324</v>
      </c>
      <c r="F162" s="128" t="s">
        <v>311</v>
      </c>
      <c r="G162" s="116" t="s">
        <v>403</v>
      </c>
      <c r="H162" s="116">
        <v>964409</v>
      </c>
      <c r="I162" s="128" t="s">
        <v>314</v>
      </c>
      <c r="J162" s="128" t="s">
        <v>217</v>
      </c>
      <c r="K162" s="193">
        <v>215</v>
      </c>
      <c r="L162" s="141">
        <v>131.51400000000001</v>
      </c>
      <c r="M162" s="136">
        <f t="shared" si="14"/>
        <v>83.48599999999999</v>
      </c>
      <c r="N162" s="130">
        <f t="shared" si="15"/>
        <v>0.61169302325581398</v>
      </c>
    </row>
    <row r="163" spans="1:14" ht="15" hidden="1" customHeight="1">
      <c r="A163" s="125" t="s">
        <v>393</v>
      </c>
      <c r="B163" s="128" t="s">
        <v>323</v>
      </c>
      <c r="C163" s="98">
        <v>43907</v>
      </c>
      <c r="D163" s="125">
        <v>790</v>
      </c>
      <c r="E163" s="125" t="s">
        <v>324</v>
      </c>
      <c r="F163" s="128" t="s">
        <v>311</v>
      </c>
      <c r="G163" s="125" t="s">
        <v>403</v>
      </c>
      <c r="H163" s="125">
        <v>964409</v>
      </c>
      <c r="I163" s="128" t="s">
        <v>314</v>
      </c>
      <c r="J163" s="128" t="s">
        <v>218</v>
      </c>
      <c r="K163" s="193">
        <v>85</v>
      </c>
      <c r="L163" s="141">
        <v>290.71199999999999</v>
      </c>
      <c r="M163" s="136">
        <f t="shared" si="14"/>
        <v>-205.71199999999999</v>
      </c>
      <c r="N163" s="130">
        <f t="shared" si="15"/>
        <v>3.420141176470588</v>
      </c>
    </row>
    <row r="164" spans="1:14" ht="15" hidden="1" customHeight="1">
      <c r="A164" s="125" t="s">
        <v>393</v>
      </c>
      <c r="B164" s="128" t="s">
        <v>323</v>
      </c>
      <c r="C164" s="98">
        <v>43907</v>
      </c>
      <c r="D164" s="125">
        <v>790</v>
      </c>
      <c r="E164" s="125" t="s">
        <v>324</v>
      </c>
      <c r="F164" s="128" t="s">
        <v>311</v>
      </c>
      <c r="G164" s="116" t="s">
        <v>404</v>
      </c>
      <c r="H164" s="116">
        <v>966403</v>
      </c>
      <c r="I164" s="128" t="s">
        <v>314</v>
      </c>
      <c r="J164" s="128" t="s">
        <v>217</v>
      </c>
      <c r="K164" s="193">
        <v>215</v>
      </c>
      <c r="L164" s="116"/>
      <c r="M164" s="136">
        <f t="shared" si="14"/>
        <v>215</v>
      </c>
      <c r="N164" s="130">
        <f t="shared" si="15"/>
        <v>0</v>
      </c>
    </row>
    <row r="165" spans="1:14" ht="15" hidden="1" customHeight="1">
      <c r="A165" s="125" t="s">
        <v>393</v>
      </c>
      <c r="B165" s="128" t="s">
        <v>323</v>
      </c>
      <c r="C165" s="98">
        <v>43907</v>
      </c>
      <c r="D165" s="125">
        <v>790</v>
      </c>
      <c r="E165" s="125" t="s">
        <v>324</v>
      </c>
      <c r="F165" s="128" t="s">
        <v>311</v>
      </c>
      <c r="G165" s="125" t="s">
        <v>404</v>
      </c>
      <c r="H165" s="125">
        <v>966403</v>
      </c>
      <c r="I165" s="128" t="s">
        <v>314</v>
      </c>
      <c r="J165" s="128" t="s">
        <v>218</v>
      </c>
      <c r="K165" s="193">
        <v>85</v>
      </c>
      <c r="L165" s="116"/>
      <c r="M165" s="136">
        <f t="shared" si="14"/>
        <v>85</v>
      </c>
      <c r="N165" s="130">
        <f t="shared" si="15"/>
        <v>0</v>
      </c>
    </row>
    <row r="166" spans="1:14" ht="15" hidden="1" customHeight="1">
      <c r="A166" s="125" t="s">
        <v>393</v>
      </c>
      <c r="B166" s="128" t="s">
        <v>323</v>
      </c>
      <c r="C166" s="98">
        <v>43907</v>
      </c>
      <c r="D166" s="125">
        <v>790</v>
      </c>
      <c r="E166" s="125" t="s">
        <v>324</v>
      </c>
      <c r="F166" s="128" t="s">
        <v>311</v>
      </c>
      <c r="G166" s="116" t="s">
        <v>405</v>
      </c>
      <c r="H166" s="116">
        <v>965002</v>
      </c>
      <c r="I166" s="128" t="s">
        <v>314</v>
      </c>
      <c r="J166" s="128" t="s">
        <v>217</v>
      </c>
      <c r="K166" s="193">
        <v>215</v>
      </c>
      <c r="L166" s="141">
        <v>41.043999999999997</v>
      </c>
      <c r="M166" s="136">
        <f t="shared" si="14"/>
        <v>173.95600000000002</v>
      </c>
      <c r="N166" s="130">
        <f t="shared" si="15"/>
        <v>0.19090232558139533</v>
      </c>
    </row>
    <row r="167" spans="1:14" ht="15" hidden="1" customHeight="1">
      <c r="A167" s="125" t="s">
        <v>393</v>
      </c>
      <c r="B167" s="128" t="s">
        <v>323</v>
      </c>
      <c r="C167" s="98">
        <v>43907</v>
      </c>
      <c r="D167" s="125">
        <v>790</v>
      </c>
      <c r="E167" s="125" t="s">
        <v>324</v>
      </c>
      <c r="F167" s="128" t="s">
        <v>311</v>
      </c>
      <c r="G167" s="125" t="s">
        <v>405</v>
      </c>
      <c r="H167" s="125">
        <v>965002</v>
      </c>
      <c r="I167" s="128" t="s">
        <v>314</v>
      </c>
      <c r="J167" s="128" t="s">
        <v>218</v>
      </c>
      <c r="K167" s="193">
        <v>85</v>
      </c>
      <c r="L167" s="141">
        <v>258.95600000000002</v>
      </c>
      <c r="M167" s="136">
        <f t="shared" si="14"/>
        <v>-173.95600000000002</v>
      </c>
      <c r="N167" s="130">
        <f t="shared" si="15"/>
        <v>3.0465411764705883</v>
      </c>
    </row>
    <row r="168" spans="1:14" ht="15" hidden="1" customHeight="1">
      <c r="A168" s="125" t="s">
        <v>393</v>
      </c>
      <c r="B168" s="128" t="s">
        <v>323</v>
      </c>
      <c r="C168" s="98">
        <v>43907</v>
      </c>
      <c r="D168" s="125">
        <v>790</v>
      </c>
      <c r="E168" s="125" t="s">
        <v>324</v>
      </c>
      <c r="F168" s="128" t="s">
        <v>311</v>
      </c>
      <c r="G168" s="116" t="s">
        <v>406</v>
      </c>
      <c r="H168" s="116">
        <v>967174</v>
      </c>
      <c r="I168" s="128" t="s">
        <v>314</v>
      </c>
      <c r="J168" s="128" t="s">
        <v>217</v>
      </c>
      <c r="K168" s="193">
        <v>215</v>
      </c>
      <c r="L168" s="141">
        <v>16.776</v>
      </c>
      <c r="M168" s="136">
        <f t="shared" si="14"/>
        <v>198.22399999999999</v>
      </c>
      <c r="N168" s="130">
        <f t="shared" si="15"/>
        <v>7.802790697674418E-2</v>
      </c>
    </row>
    <row r="169" spans="1:14" ht="15" hidden="1" customHeight="1">
      <c r="A169" s="125" t="s">
        <v>393</v>
      </c>
      <c r="B169" s="128" t="s">
        <v>323</v>
      </c>
      <c r="C169" s="98">
        <v>43907</v>
      </c>
      <c r="D169" s="125">
        <v>790</v>
      </c>
      <c r="E169" s="125" t="s">
        <v>324</v>
      </c>
      <c r="F169" s="128" t="s">
        <v>311</v>
      </c>
      <c r="G169" s="125" t="s">
        <v>406</v>
      </c>
      <c r="H169" s="125">
        <v>967174</v>
      </c>
      <c r="I169" s="128" t="s">
        <v>314</v>
      </c>
      <c r="J169" s="128" t="s">
        <v>218</v>
      </c>
      <c r="K169" s="193">
        <v>85</v>
      </c>
      <c r="L169" s="141">
        <v>271.51400000000001</v>
      </c>
      <c r="M169" s="136">
        <f t="shared" si="14"/>
        <v>-186.51400000000001</v>
      </c>
      <c r="N169" s="130">
        <f t="shared" si="15"/>
        <v>3.1942823529411766</v>
      </c>
    </row>
    <row r="170" spans="1:14" ht="15" hidden="1" customHeight="1">
      <c r="A170" s="125" t="s">
        <v>393</v>
      </c>
      <c r="B170" s="128" t="s">
        <v>323</v>
      </c>
      <c r="C170" s="98">
        <v>43907</v>
      </c>
      <c r="D170" s="125">
        <v>790</v>
      </c>
      <c r="E170" s="125" t="s">
        <v>324</v>
      </c>
      <c r="F170" s="128" t="s">
        <v>311</v>
      </c>
      <c r="G170" s="116" t="s">
        <v>407</v>
      </c>
      <c r="H170" s="116">
        <v>963197</v>
      </c>
      <c r="I170" s="128" t="s">
        <v>314</v>
      </c>
      <c r="J170" s="128" t="s">
        <v>217</v>
      </c>
      <c r="K170" s="193">
        <v>315</v>
      </c>
      <c r="L170" s="141">
        <v>315</v>
      </c>
      <c r="M170" s="136">
        <f t="shared" si="14"/>
        <v>0</v>
      </c>
      <c r="N170" s="130">
        <f t="shared" si="15"/>
        <v>1</v>
      </c>
    </row>
    <row r="171" spans="1:14" ht="15" hidden="1" customHeight="1">
      <c r="A171" s="125" t="s">
        <v>393</v>
      </c>
      <c r="B171" s="128" t="s">
        <v>323</v>
      </c>
      <c r="C171" s="98">
        <v>43907</v>
      </c>
      <c r="D171" s="125">
        <v>790</v>
      </c>
      <c r="E171" s="125" t="s">
        <v>324</v>
      </c>
      <c r="F171" s="128" t="s">
        <v>311</v>
      </c>
      <c r="G171" s="125" t="s">
        <v>407</v>
      </c>
      <c r="H171" s="125">
        <v>963197</v>
      </c>
      <c r="I171" s="128" t="s">
        <v>314</v>
      </c>
      <c r="J171" s="128" t="s">
        <v>218</v>
      </c>
      <c r="K171" s="193">
        <v>85</v>
      </c>
      <c r="L171" s="141">
        <v>85</v>
      </c>
      <c r="M171" s="136">
        <f t="shared" si="14"/>
        <v>0</v>
      </c>
      <c r="N171" s="130">
        <f t="shared" si="15"/>
        <v>1</v>
      </c>
    </row>
    <row r="172" spans="1:14" ht="15" hidden="1" customHeight="1">
      <c r="A172" s="125" t="s">
        <v>393</v>
      </c>
      <c r="B172" s="128" t="s">
        <v>323</v>
      </c>
      <c r="C172" s="98">
        <v>43907</v>
      </c>
      <c r="D172" s="125">
        <v>790</v>
      </c>
      <c r="E172" s="125" t="s">
        <v>324</v>
      </c>
      <c r="F172" s="128" t="s">
        <v>311</v>
      </c>
      <c r="G172" s="116" t="s">
        <v>408</v>
      </c>
      <c r="H172" s="116">
        <v>965677</v>
      </c>
      <c r="I172" s="128" t="s">
        <v>314</v>
      </c>
      <c r="J172" s="128" t="s">
        <v>217</v>
      </c>
      <c r="K172" s="193">
        <v>315</v>
      </c>
      <c r="L172" s="141">
        <v>315</v>
      </c>
      <c r="M172" s="136">
        <f t="shared" si="14"/>
        <v>0</v>
      </c>
      <c r="N172" s="130">
        <f t="shared" si="15"/>
        <v>1</v>
      </c>
    </row>
    <row r="173" spans="1:14" ht="15" hidden="1" customHeight="1">
      <c r="A173" s="125" t="s">
        <v>393</v>
      </c>
      <c r="B173" s="128" t="s">
        <v>323</v>
      </c>
      <c r="C173" s="98">
        <v>43907</v>
      </c>
      <c r="D173" s="125">
        <v>790</v>
      </c>
      <c r="E173" s="125" t="s">
        <v>324</v>
      </c>
      <c r="F173" s="128" t="s">
        <v>311</v>
      </c>
      <c r="G173" s="125" t="s">
        <v>408</v>
      </c>
      <c r="H173" s="125">
        <v>965677</v>
      </c>
      <c r="I173" s="128" t="s">
        <v>314</v>
      </c>
      <c r="J173" s="128" t="s">
        <v>218</v>
      </c>
      <c r="K173" s="193">
        <v>85</v>
      </c>
      <c r="L173" s="141">
        <v>85</v>
      </c>
      <c r="M173" s="136">
        <f t="shared" si="14"/>
        <v>0</v>
      </c>
      <c r="N173" s="130">
        <f t="shared" si="15"/>
        <v>1</v>
      </c>
    </row>
    <row r="174" spans="1:14" ht="15" hidden="1" customHeight="1">
      <c r="A174" s="125" t="s">
        <v>393</v>
      </c>
      <c r="B174" s="128" t="s">
        <v>323</v>
      </c>
      <c r="C174" s="98">
        <v>43907</v>
      </c>
      <c r="D174" s="125">
        <v>790</v>
      </c>
      <c r="E174" s="125" t="s">
        <v>324</v>
      </c>
      <c r="F174" s="128" t="s">
        <v>311</v>
      </c>
      <c r="G174" s="116" t="s">
        <v>409</v>
      </c>
      <c r="H174" s="116">
        <v>966146</v>
      </c>
      <c r="I174" s="128" t="s">
        <v>314</v>
      </c>
      <c r="J174" s="128" t="s">
        <v>217</v>
      </c>
      <c r="K174" s="193">
        <v>240</v>
      </c>
      <c r="L174" s="141">
        <v>149.702</v>
      </c>
      <c r="M174" s="136">
        <f t="shared" si="14"/>
        <v>90.298000000000002</v>
      </c>
      <c r="N174" s="130">
        <f t="shared" si="15"/>
        <v>0.6237583333333333</v>
      </c>
    </row>
    <row r="175" spans="1:14" ht="15" hidden="1" customHeight="1">
      <c r="A175" s="125" t="s">
        <v>393</v>
      </c>
      <c r="B175" s="128" t="s">
        <v>323</v>
      </c>
      <c r="C175" s="98">
        <v>43907</v>
      </c>
      <c r="D175" s="125">
        <v>790</v>
      </c>
      <c r="E175" s="125" t="s">
        <v>324</v>
      </c>
      <c r="F175" s="128" t="s">
        <v>311</v>
      </c>
      <c r="G175" s="125" t="s">
        <v>409</v>
      </c>
      <c r="H175" s="125">
        <v>966146</v>
      </c>
      <c r="I175" s="128" t="s">
        <v>314</v>
      </c>
      <c r="J175" s="128" t="s">
        <v>218</v>
      </c>
      <c r="K175" s="193">
        <v>60</v>
      </c>
      <c r="L175" s="141">
        <v>150.298</v>
      </c>
      <c r="M175" s="136">
        <f t="shared" si="14"/>
        <v>-90.298000000000002</v>
      </c>
      <c r="N175" s="130">
        <f t="shared" si="15"/>
        <v>2.5049666666666668</v>
      </c>
    </row>
    <row r="176" spans="1:14" ht="15" hidden="1" customHeight="1">
      <c r="A176" s="125" t="s">
        <v>393</v>
      </c>
      <c r="B176" s="128" t="s">
        <v>323</v>
      </c>
      <c r="C176" s="98">
        <v>43907</v>
      </c>
      <c r="D176" s="125">
        <v>790</v>
      </c>
      <c r="E176" s="125" t="s">
        <v>324</v>
      </c>
      <c r="F176" s="128" t="s">
        <v>311</v>
      </c>
      <c r="G176" s="125" t="s">
        <v>410</v>
      </c>
      <c r="H176" s="125">
        <v>959370</v>
      </c>
      <c r="I176" s="128" t="s">
        <v>314</v>
      </c>
      <c r="J176" s="128" t="s">
        <v>217</v>
      </c>
      <c r="K176" s="193">
        <v>220</v>
      </c>
      <c r="L176" s="141">
        <v>117.849</v>
      </c>
      <c r="M176" s="136">
        <f t="shared" si="14"/>
        <v>102.151</v>
      </c>
      <c r="N176" s="130">
        <f t="shared" si="15"/>
        <v>0.53567727272727272</v>
      </c>
    </row>
    <row r="177" spans="1:14" ht="15" hidden="1" customHeight="1">
      <c r="A177" s="125" t="s">
        <v>393</v>
      </c>
      <c r="B177" s="128" t="s">
        <v>323</v>
      </c>
      <c r="C177" s="98">
        <v>43907</v>
      </c>
      <c r="D177" s="125">
        <v>790</v>
      </c>
      <c r="E177" s="125" t="s">
        <v>324</v>
      </c>
      <c r="F177" s="128" t="s">
        <v>311</v>
      </c>
      <c r="G177" s="125" t="s">
        <v>410</v>
      </c>
      <c r="H177" s="125">
        <v>959370</v>
      </c>
      <c r="I177" s="128" t="s">
        <v>314</v>
      </c>
      <c r="J177" s="128" t="s">
        <v>218</v>
      </c>
      <c r="K177" s="193">
        <v>80</v>
      </c>
      <c r="L177" s="141">
        <v>182.15100000000001</v>
      </c>
      <c r="M177" s="136">
        <f t="shared" si="14"/>
        <v>-102.15100000000001</v>
      </c>
      <c r="N177" s="130">
        <f t="shared" si="15"/>
        <v>2.2768875</v>
      </c>
    </row>
    <row r="178" spans="1:14" ht="15" hidden="1" customHeight="1">
      <c r="A178" s="125" t="s">
        <v>331</v>
      </c>
      <c r="B178" s="128" t="s">
        <v>323</v>
      </c>
      <c r="C178" s="129">
        <v>43907</v>
      </c>
      <c r="D178" s="128">
        <v>795</v>
      </c>
      <c r="E178" s="128" t="s">
        <v>310</v>
      </c>
      <c r="F178" s="128" t="s">
        <v>311</v>
      </c>
      <c r="G178" s="128" t="s">
        <v>399</v>
      </c>
      <c r="H178" s="128">
        <v>962795</v>
      </c>
      <c r="I178" s="128" t="s">
        <v>314</v>
      </c>
      <c r="J178" s="128" t="s">
        <v>217</v>
      </c>
      <c r="K178" s="136">
        <v>50</v>
      </c>
      <c r="L178" s="140">
        <v>65.67</v>
      </c>
      <c r="M178" s="136">
        <f t="shared" si="14"/>
        <v>-15.670000000000002</v>
      </c>
      <c r="N178" s="130">
        <f t="shared" si="15"/>
        <v>1.3134000000000001</v>
      </c>
    </row>
    <row r="179" spans="1:14" ht="15" hidden="1" customHeight="1">
      <c r="A179" s="125" t="s">
        <v>331</v>
      </c>
      <c r="B179" s="128" t="s">
        <v>323</v>
      </c>
      <c r="C179" s="129">
        <v>43907</v>
      </c>
      <c r="D179" s="128">
        <v>795</v>
      </c>
      <c r="E179" s="128" t="s">
        <v>310</v>
      </c>
      <c r="F179" s="128" t="s">
        <v>311</v>
      </c>
      <c r="G179" s="128" t="s">
        <v>399</v>
      </c>
      <c r="H179" s="128">
        <v>962795</v>
      </c>
      <c r="I179" s="128" t="s">
        <v>314</v>
      </c>
      <c r="J179" s="128" t="s">
        <v>218</v>
      </c>
      <c r="K179" s="136">
        <v>50</v>
      </c>
      <c r="L179" s="140">
        <v>34.33</v>
      </c>
      <c r="M179" s="136">
        <f t="shared" si="14"/>
        <v>15.670000000000002</v>
      </c>
      <c r="N179" s="130">
        <f t="shared" si="15"/>
        <v>0.68659999999999999</v>
      </c>
    </row>
    <row r="180" spans="1:14" ht="15" hidden="1" customHeight="1">
      <c r="A180" s="125" t="s">
        <v>411</v>
      </c>
      <c r="B180" s="128" t="s">
        <v>323</v>
      </c>
      <c r="C180" s="129">
        <v>43907</v>
      </c>
      <c r="D180" s="128">
        <v>33</v>
      </c>
      <c r="E180" s="128" t="s">
        <v>310</v>
      </c>
      <c r="F180" s="128" t="s">
        <v>311</v>
      </c>
      <c r="G180" s="128" t="s">
        <v>412</v>
      </c>
      <c r="H180" s="128">
        <v>968722</v>
      </c>
      <c r="I180" s="128" t="s">
        <v>314</v>
      </c>
      <c r="J180" s="128" t="s">
        <v>217</v>
      </c>
      <c r="K180" s="136">
        <v>110</v>
      </c>
      <c r="L180" s="140">
        <v>110</v>
      </c>
      <c r="M180" s="136">
        <f t="shared" si="14"/>
        <v>0</v>
      </c>
      <c r="N180" s="130">
        <f t="shared" si="15"/>
        <v>1</v>
      </c>
    </row>
    <row r="181" spans="1:14" ht="15" hidden="1" customHeight="1">
      <c r="A181" s="125" t="s">
        <v>411</v>
      </c>
      <c r="B181" s="128" t="s">
        <v>323</v>
      </c>
      <c r="C181" s="129">
        <v>43907</v>
      </c>
      <c r="D181" s="128">
        <v>33</v>
      </c>
      <c r="E181" s="128" t="s">
        <v>310</v>
      </c>
      <c r="F181" s="128" t="s">
        <v>311</v>
      </c>
      <c r="G181" s="128" t="s">
        <v>412</v>
      </c>
      <c r="H181" s="128">
        <v>968722</v>
      </c>
      <c r="I181" s="128" t="s">
        <v>314</v>
      </c>
      <c r="J181" s="128" t="s">
        <v>218</v>
      </c>
      <c r="K181" s="136">
        <v>90</v>
      </c>
      <c r="L181" s="140">
        <v>90</v>
      </c>
      <c r="M181" s="136">
        <f t="shared" si="14"/>
        <v>0</v>
      </c>
      <c r="N181" s="130">
        <f t="shared" si="15"/>
        <v>1</v>
      </c>
    </row>
    <row r="182" spans="1:14" ht="15" hidden="1" customHeight="1">
      <c r="A182" s="125" t="s">
        <v>362</v>
      </c>
      <c r="B182" s="128" t="s">
        <v>323</v>
      </c>
      <c r="C182" s="129">
        <v>43908</v>
      </c>
      <c r="D182" s="128">
        <v>34</v>
      </c>
      <c r="E182" s="128" t="s">
        <v>310</v>
      </c>
      <c r="F182" s="128" t="s">
        <v>311</v>
      </c>
      <c r="G182" s="128" t="s">
        <v>413</v>
      </c>
      <c r="H182" s="128">
        <v>963982</v>
      </c>
      <c r="I182" s="128" t="s">
        <v>314</v>
      </c>
      <c r="J182" s="128" t="s">
        <v>218</v>
      </c>
      <c r="K182" s="136">
        <v>70</v>
      </c>
      <c r="L182" s="140">
        <v>70</v>
      </c>
      <c r="M182" s="136">
        <f t="shared" si="14"/>
        <v>0</v>
      </c>
      <c r="N182" s="130">
        <f t="shared" si="15"/>
        <v>1</v>
      </c>
    </row>
    <row r="183" spans="1:14" ht="15" hidden="1" customHeight="1">
      <c r="A183" s="125" t="s">
        <v>414</v>
      </c>
      <c r="B183" s="128" t="s">
        <v>323</v>
      </c>
      <c r="C183" s="98">
        <v>43914</v>
      </c>
      <c r="D183" s="125">
        <v>852</v>
      </c>
      <c r="E183" s="125" t="s">
        <v>324</v>
      </c>
      <c r="F183" s="125" t="s">
        <v>325</v>
      </c>
      <c r="G183" s="125" t="s">
        <v>363</v>
      </c>
      <c r="H183" s="132">
        <v>955511</v>
      </c>
      <c r="I183" s="128" t="s">
        <v>314</v>
      </c>
      <c r="J183" s="128" t="s">
        <v>217</v>
      </c>
      <c r="K183" s="193">
        <v>27</v>
      </c>
      <c r="L183" s="141">
        <v>8.2479999999999993</v>
      </c>
      <c r="M183" s="124">
        <f t="shared" si="14"/>
        <v>18.752000000000002</v>
      </c>
      <c r="N183" s="113">
        <f t="shared" si="15"/>
        <v>0.30548148148148146</v>
      </c>
    </row>
    <row r="184" spans="1:14" ht="15" hidden="1" customHeight="1">
      <c r="A184" s="132" t="s">
        <v>414</v>
      </c>
      <c r="B184" s="128" t="s">
        <v>323</v>
      </c>
      <c r="C184" s="98">
        <v>43914</v>
      </c>
      <c r="D184" s="132">
        <v>852</v>
      </c>
      <c r="E184" s="132" t="s">
        <v>324</v>
      </c>
      <c r="F184" s="132" t="s">
        <v>325</v>
      </c>
      <c r="G184" s="132" t="s">
        <v>363</v>
      </c>
      <c r="H184" s="132">
        <v>955511</v>
      </c>
      <c r="I184" s="128" t="s">
        <v>314</v>
      </c>
      <c r="J184" s="128" t="s">
        <v>218</v>
      </c>
      <c r="K184" s="193">
        <v>160</v>
      </c>
      <c r="L184" s="141">
        <v>171.75200000000001</v>
      </c>
      <c r="M184" s="124">
        <f t="shared" si="14"/>
        <v>-11.75200000000001</v>
      </c>
      <c r="N184" s="113">
        <f t="shared" si="15"/>
        <v>1.07345</v>
      </c>
    </row>
    <row r="185" spans="1:14" ht="15" hidden="1" customHeight="1">
      <c r="A185" s="132" t="s">
        <v>414</v>
      </c>
      <c r="B185" s="128" t="s">
        <v>323</v>
      </c>
      <c r="C185" s="98">
        <v>43914</v>
      </c>
      <c r="D185" s="132">
        <v>852</v>
      </c>
      <c r="E185" s="132" t="s">
        <v>324</v>
      </c>
      <c r="F185" s="132" t="s">
        <v>325</v>
      </c>
      <c r="G185" s="125" t="s">
        <v>415</v>
      </c>
      <c r="H185" s="125">
        <v>962103</v>
      </c>
      <c r="I185" s="128" t="s">
        <v>314</v>
      </c>
      <c r="J185" s="128" t="s">
        <v>217</v>
      </c>
      <c r="K185" s="193">
        <v>20</v>
      </c>
      <c r="L185" s="141">
        <v>3.7709999999999999</v>
      </c>
      <c r="M185" s="124">
        <f t="shared" si="14"/>
        <v>16.228999999999999</v>
      </c>
      <c r="N185" s="113">
        <f t="shared" si="15"/>
        <v>0.18855</v>
      </c>
    </row>
    <row r="186" spans="1:14" ht="15" hidden="1" customHeight="1">
      <c r="A186" s="132" t="s">
        <v>414</v>
      </c>
      <c r="B186" s="128" t="s">
        <v>323</v>
      </c>
      <c r="C186" s="98">
        <v>43914</v>
      </c>
      <c r="D186" s="132">
        <v>852</v>
      </c>
      <c r="E186" s="132" t="s">
        <v>324</v>
      </c>
      <c r="F186" s="132" t="s">
        <v>325</v>
      </c>
      <c r="G186" s="132" t="s">
        <v>415</v>
      </c>
      <c r="H186" s="132">
        <v>962103</v>
      </c>
      <c r="I186" s="128" t="s">
        <v>314</v>
      </c>
      <c r="J186" s="128" t="s">
        <v>218</v>
      </c>
      <c r="K186" s="193">
        <v>80</v>
      </c>
      <c r="L186" s="141">
        <v>76.781000000000006</v>
      </c>
      <c r="M186" s="124">
        <f t="shared" ref="M186:M212" si="16">K186-L186</f>
        <v>3.2189999999999941</v>
      </c>
      <c r="N186" s="113">
        <f t="shared" ref="N186:N212" si="17">L186/K186</f>
        <v>0.95976250000000007</v>
      </c>
    </row>
    <row r="187" spans="1:14" ht="15" hidden="1" customHeight="1">
      <c r="A187" s="132" t="s">
        <v>414</v>
      </c>
      <c r="B187" s="128" t="s">
        <v>323</v>
      </c>
      <c r="C187" s="98">
        <v>43914</v>
      </c>
      <c r="D187" s="132">
        <v>852</v>
      </c>
      <c r="E187" s="132" t="s">
        <v>324</v>
      </c>
      <c r="F187" s="132" t="s">
        <v>325</v>
      </c>
      <c r="G187" s="125" t="s">
        <v>416</v>
      </c>
      <c r="H187" s="125">
        <v>963562</v>
      </c>
      <c r="I187" s="128" t="s">
        <v>314</v>
      </c>
      <c r="J187" s="128" t="s">
        <v>217</v>
      </c>
      <c r="K187" s="193">
        <v>30</v>
      </c>
      <c r="L187" s="141">
        <v>30</v>
      </c>
      <c r="M187" s="124">
        <f t="shared" si="16"/>
        <v>0</v>
      </c>
      <c r="N187" s="113">
        <f t="shared" si="17"/>
        <v>1</v>
      </c>
    </row>
    <row r="188" spans="1:14" ht="15" hidden="1" customHeight="1">
      <c r="A188" s="132" t="s">
        <v>414</v>
      </c>
      <c r="B188" s="128" t="s">
        <v>323</v>
      </c>
      <c r="C188" s="98">
        <v>43914</v>
      </c>
      <c r="D188" s="132">
        <v>852</v>
      </c>
      <c r="E188" s="132" t="s">
        <v>324</v>
      </c>
      <c r="F188" s="132" t="s">
        <v>325</v>
      </c>
      <c r="G188" s="132" t="s">
        <v>416</v>
      </c>
      <c r="H188" s="132">
        <v>963562</v>
      </c>
      <c r="I188" s="128" t="s">
        <v>314</v>
      </c>
      <c r="J188" s="128" t="s">
        <v>218</v>
      </c>
      <c r="K188" s="193">
        <v>140</v>
      </c>
      <c r="L188" s="141">
        <v>140</v>
      </c>
      <c r="M188" s="124">
        <f t="shared" si="16"/>
        <v>0</v>
      </c>
      <c r="N188" s="113">
        <f t="shared" si="17"/>
        <v>1</v>
      </c>
    </row>
    <row r="189" spans="1:14" ht="15" hidden="1" customHeight="1">
      <c r="A189" s="132" t="s">
        <v>414</v>
      </c>
      <c r="B189" s="128" t="s">
        <v>323</v>
      </c>
      <c r="C189" s="98">
        <v>43914</v>
      </c>
      <c r="D189" s="132">
        <v>852</v>
      </c>
      <c r="E189" s="132" t="s">
        <v>324</v>
      </c>
      <c r="F189" s="132" t="s">
        <v>325</v>
      </c>
      <c r="G189" s="125" t="s">
        <v>417</v>
      </c>
      <c r="H189" s="125">
        <v>952345</v>
      </c>
      <c r="I189" s="128" t="s">
        <v>314</v>
      </c>
      <c r="J189" s="128" t="s">
        <v>217</v>
      </c>
      <c r="K189" s="193">
        <v>20</v>
      </c>
      <c r="L189" s="141">
        <v>8.61</v>
      </c>
      <c r="M189" s="124">
        <f t="shared" si="16"/>
        <v>11.39</v>
      </c>
      <c r="N189" s="113">
        <f t="shared" si="17"/>
        <v>0.43049999999999999</v>
      </c>
    </row>
    <row r="190" spans="1:14" ht="15" hidden="1" customHeight="1">
      <c r="A190" s="132" t="s">
        <v>414</v>
      </c>
      <c r="B190" s="128" t="s">
        <v>323</v>
      </c>
      <c r="C190" s="98">
        <v>43914</v>
      </c>
      <c r="D190" s="132">
        <v>852</v>
      </c>
      <c r="E190" s="132" t="s">
        <v>324</v>
      </c>
      <c r="F190" s="132" t="s">
        <v>325</v>
      </c>
      <c r="G190" s="132" t="s">
        <v>417</v>
      </c>
      <c r="H190" s="132">
        <v>952345</v>
      </c>
      <c r="I190" s="128" t="s">
        <v>314</v>
      </c>
      <c r="J190" s="128" t="s">
        <v>218</v>
      </c>
      <c r="K190" s="193">
        <v>100</v>
      </c>
      <c r="L190" s="141">
        <v>111.39</v>
      </c>
      <c r="M190" s="124">
        <f t="shared" si="16"/>
        <v>-11.39</v>
      </c>
      <c r="N190" s="113">
        <f t="shared" si="17"/>
        <v>1.1139000000000001</v>
      </c>
    </row>
    <row r="191" spans="1:14" ht="15" hidden="1" customHeight="1">
      <c r="A191" s="132" t="s">
        <v>414</v>
      </c>
      <c r="B191" s="128" t="s">
        <v>323</v>
      </c>
      <c r="C191" s="98">
        <v>43914</v>
      </c>
      <c r="D191" s="132">
        <v>852</v>
      </c>
      <c r="E191" s="132" t="s">
        <v>324</v>
      </c>
      <c r="F191" s="132" t="s">
        <v>325</v>
      </c>
      <c r="G191" s="125" t="s">
        <v>418</v>
      </c>
      <c r="H191" s="125">
        <v>955440</v>
      </c>
      <c r="I191" s="128" t="s">
        <v>314</v>
      </c>
      <c r="J191" s="128" t="s">
        <v>217</v>
      </c>
      <c r="K191" s="193">
        <v>40</v>
      </c>
      <c r="L191" s="141">
        <v>100.03</v>
      </c>
      <c r="M191" s="124">
        <f t="shared" si="16"/>
        <v>-60.03</v>
      </c>
      <c r="N191" s="113">
        <f t="shared" si="17"/>
        <v>2.50075</v>
      </c>
    </row>
    <row r="192" spans="1:14" ht="15" hidden="1" customHeight="1">
      <c r="A192" s="132" t="s">
        <v>414</v>
      </c>
      <c r="B192" s="128" t="s">
        <v>323</v>
      </c>
      <c r="C192" s="98">
        <v>43914</v>
      </c>
      <c r="D192" s="132">
        <v>852</v>
      </c>
      <c r="E192" s="132" t="s">
        <v>324</v>
      </c>
      <c r="F192" s="132" t="s">
        <v>325</v>
      </c>
      <c r="G192" s="132" t="s">
        <v>418</v>
      </c>
      <c r="H192" s="132">
        <v>955440</v>
      </c>
      <c r="I192" s="128" t="s">
        <v>314</v>
      </c>
      <c r="J192" s="128" t="s">
        <v>218</v>
      </c>
      <c r="K192" s="193">
        <v>160</v>
      </c>
      <c r="L192" s="141">
        <v>96.569000000000003</v>
      </c>
      <c r="M192" s="124">
        <f t="shared" si="16"/>
        <v>63.430999999999997</v>
      </c>
      <c r="N192" s="113">
        <f t="shared" si="17"/>
        <v>0.60355625000000002</v>
      </c>
    </row>
    <row r="193" spans="1:14" ht="15" hidden="1" customHeight="1">
      <c r="A193" s="132" t="s">
        <v>414</v>
      </c>
      <c r="B193" s="128" t="s">
        <v>323</v>
      </c>
      <c r="C193" s="98">
        <v>43914</v>
      </c>
      <c r="D193" s="132">
        <v>852</v>
      </c>
      <c r="E193" s="132" t="s">
        <v>324</v>
      </c>
      <c r="F193" s="132" t="s">
        <v>325</v>
      </c>
      <c r="G193" s="125" t="s">
        <v>419</v>
      </c>
      <c r="H193" s="125">
        <v>967906</v>
      </c>
      <c r="I193" s="128" t="s">
        <v>314</v>
      </c>
      <c r="J193" s="128" t="s">
        <v>217</v>
      </c>
      <c r="K193" s="193">
        <v>20</v>
      </c>
      <c r="L193" s="141">
        <v>2.97</v>
      </c>
      <c r="M193" s="124">
        <f t="shared" si="16"/>
        <v>17.03</v>
      </c>
      <c r="N193" s="113">
        <f t="shared" si="17"/>
        <v>0.14850000000000002</v>
      </c>
    </row>
    <row r="194" spans="1:14" ht="15" hidden="1" customHeight="1">
      <c r="A194" s="132" t="s">
        <v>414</v>
      </c>
      <c r="B194" s="128" t="s">
        <v>323</v>
      </c>
      <c r="C194" s="98">
        <v>43914</v>
      </c>
      <c r="D194" s="132">
        <v>852</v>
      </c>
      <c r="E194" s="132" t="s">
        <v>324</v>
      </c>
      <c r="F194" s="132" t="s">
        <v>325</v>
      </c>
      <c r="G194" s="132" t="s">
        <v>419</v>
      </c>
      <c r="H194" s="132">
        <v>967906</v>
      </c>
      <c r="I194" s="128" t="s">
        <v>314</v>
      </c>
      <c r="J194" s="128" t="s">
        <v>218</v>
      </c>
      <c r="K194" s="193">
        <v>90</v>
      </c>
      <c r="L194" s="141">
        <v>107.029</v>
      </c>
      <c r="M194" s="124">
        <f t="shared" si="16"/>
        <v>-17.028999999999996</v>
      </c>
      <c r="N194" s="113">
        <f t="shared" si="17"/>
        <v>1.189211111111111</v>
      </c>
    </row>
    <row r="195" spans="1:14" ht="15" hidden="1" customHeight="1">
      <c r="A195" s="132" t="s">
        <v>414</v>
      </c>
      <c r="B195" s="128" t="s">
        <v>323</v>
      </c>
      <c r="C195" s="98">
        <v>43914</v>
      </c>
      <c r="D195" s="132">
        <v>852</v>
      </c>
      <c r="E195" s="132" t="s">
        <v>324</v>
      </c>
      <c r="F195" s="132" t="s">
        <v>325</v>
      </c>
      <c r="G195" s="125" t="s">
        <v>420</v>
      </c>
      <c r="H195" s="125">
        <v>952321</v>
      </c>
      <c r="I195" s="128" t="s">
        <v>314</v>
      </c>
      <c r="J195" s="128" t="s">
        <v>217</v>
      </c>
      <c r="K195" s="193">
        <v>237</v>
      </c>
      <c r="L195" s="141">
        <v>195.75700000000001</v>
      </c>
      <c r="M195" s="124">
        <f t="shared" si="16"/>
        <v>41.242999999999995</v>
      </c>
      <c r="N195" s="113">
        <f t="shared" si="17"/>
        <v>0.82597890295358656</v>
      </c>
    </row>
    <row r="196" spans="1:14" ht="15" hidden="1" customHeight="1">
      <c r="A196" s="132" t="s">
        <v>414</v>
      </c>
      <c r="B196" s="128" t="s">
        <v>323</v>
      </c>
      <c r="C196" s="98">
        <v>43914</v>
      </c>
      <c r="D196" s="132">
        <v>852</v>
      </c>
      <c r="E196" s="132" t="s">
        <v>324</v>
      </c>
      <c r="F196" s="132" t="s">
        <v>325</v>
      </c>
      <c r="G196" s="132" t="s">
        <v>420</v>
      </c>
      <c r="H196" s="132">
        <v>952321</v>
      </c>
      <c r="I196" s="128" t="s">
        <v>314</v>
      </c>
      <c r="J196" s="128" t="s">
        <v>218</v>
      </c>
      <c r="K196" s="193">
        <v>130</v>
      </c>
      <c r="L196" s="141">
        <v>130.00700000000001</v>
      </c>
      <c r="M196" s="124">
        <f t="shared" si="16"/>
        <v>-7.0000000000050022E-3</v>
      </c>
      <c r="N196" s="113">
        <f t="shared" si="17"/>
        <v>1.0000538461538462</v>
      </c>
    </row>
    <row r="197" spans="1:14" ht="15" hidden="1" customHeight="1">
      <c r="A197" s="132" t="s">
        <v>414</v>
      </c>
      <c r="B197" s="128" t="s">
        <v>323</v>
      </c>
      <c r="C197" s="98">
        <v>43914</v>
      </c>
      <c r="D197" s="132">
        <v>852</v>
      </c>
      <c r="E197" s="132" t="s">
        <v>324</v>
      </c>
      <c r="F197" s="132" t="s">
        <v>325</v>
      </c>
      <c r="G197" s="125" t="s">
        <v>421</v>
      </c>
      <c r="H197" s="125">
        <v>958069</v>
      </c>
      <c r="I197" s="128" t="s">
        <v>314</v>
      </c>
      <c r="J197" s="128" t="s">
        <v>217</v>
      </c>
      <c r="K197" s="193">
        <v>80</v>
      </c>
      <c r="L197" s="141">
        <v>47.460999999999999</v>
      </c>
      <c r="M197" s="124">
        <f t="shared" si="16"/>
        <v>32.539000000000001</v>
      </c>
      <c r="N197" s="113">
        <f t="shared" si="17"/>
        <v>0.59326250000000003</v>
      </c>
    </row>
    <row r="198" spans="1:14" ht="15" hidden="1" customHeight="1">
      <c r="A198" s="132" t="s">
        <v>414</v>
      </c>
      <c r="B198" s="128" t="s">
        <v>323</v>
      </c>
      <c r="C198" s="98">
        <v>43914</v>
      </c>
      <c r="D198" s="132">
        <v>852</v>
      </c>
      <c r="E198" s="132" t="s">
        <v>324</v>
      </c>
      <c r="F198" s="132" t="s">
        <v>325</v>
      </c>
      <c r="G198" s="132" t="s">
        <v>421</v>
      </c>
      <c r="H198" s="132">
        <v>958069</v>
      </c>
      <c r="I198" s="128" t="s">
        <v>314</v>
      </c>
      <c r="J198" s="128" t="s">
        <v>218</v>
      </c>
      <c r="K198" s="193">
        <v>180</v>
      </c>
      <c r="L198" s="141">
        <v>212.03899999999999</v>
      </c>
      <c r="M198" s="124">
        <f t="shared" si="16"/>
        <v>-32.038999999999987</v>
      </c>
      <c r="N198" s="113">
        <f t="shared" si="17"/>
        <v>1.1779944444444443</v>
      </c>
    </row>
    <row r="199" spans="1:14" ht="15" hidden="1" customHeight="1">
      <c r="A199" s="132" t="s">
        <v>414</v>
      </c>
      <c r="B199" s="128" t="s">
        <v>323</v>
      </c>
      <c r="C199" s="98">
        <v>43914</v>
      </c>
      <c r="D199" s="132">
        <v>852</v>
      </c>
      <c r="E199" s="132" t="s">
        <v>324</v>
      </c>
      <c r="F199" s="132" t="s">
        <v>325</v>
      </c>
      <c r="G199" s="125" t="s">
        <v>422</v>
      </c>
      <c r="H199" s="125">
        <v>963982</v>
      </c>
      <c r="I199" s="128" t="s">
        <v>314</v>
      </c>
      <c r="J199" s="128" t="s">
        <v>217</v>
      </c>
      <c r="K199" s="193">
        <v>20</v>
      </c>
      <c r="L199" s="141">
        <v>20</v>
      </c>
      <c r="M199" s="124">
        <f t="shared" si="16"/>
        <v>0</v>
      </c>
      <c r="N199" s="113">
        <f t="shared" si="17"/>
        <v>1</v>
      </c>
    </row>
    <row r="200" spans="1:14" ht="15" hidden="1" customHeight="1">
      <c r="A200" s="132" t="s">
        <v>414</v>
      </c>
      <c r="B200" s="128" t="s">
        <v>323</v>
      </c>
      <c r="C200" s="98">
        <v>43914</v>
      </c>
      <c r="D200" s="132">
        <v>852</v>
      </c>
      <c r="E200" s="132" t="s">
        <v>324</v>
      </c>
      <c r="F200" s="132" t="s">
        <v>325</v>
      </c>
      <c r="G200" s="132" t="s">
        <v>422</v>
      </c>
      <c r="H200" s="184">
        <v>963982</v>
      </c>
      <c r="I200" s="128" t="s">
        <v>314</v>
      </c>
      <c r="J200" s="128" t="s">
        <v>218</v>
      </c>
      <c r="K200" s="193">
        <v>90</v>
      </c>
      <c r="L200" s="141">
        <v>90</v>
      </c>
      <c r="M200" s="124">
        <f t="shared" si="16"/>
        <v>0</v>
      </c>
      <c r="N200" s="113">
        <f t="shared" si="17"/>
        <v>1</v>
      </c>
    </row>
    <row r="201" spans="1:14" ht="15" hidden="1" customHeight="1">
      <c r="A201" s="132" t="s">
        <v>414</v>
      </c>
      <c r="B201" s="128" t="s">
        <v>323</v>
      </c>
      <c r="C201" s="98">
        <v>43914</v>
      </c>
      <c r="D201" s="132">
        <v>852</v>
      </c>
      <c r="E201" s="132" t="s">
        <v>324</v>
      </c>
      <c r="F201" s="132" t="s">
        <v>325</v>
      </c>
      <c r="G201" s="125" t="s">
        <v>423</v>
      </c>
      <c r="H201" s="125">
        <v>962295</v>
      </c>
      <c r="I201" s="128" t="s">
        <v>314</v>
      </c>
      <c r="J201" s="128" t="s">
        <v>217</v>
      </c>
      <c r="K201" s="193">
        <v>20</v>
      </c>
      <c r="L201" s="141">
        <v>20.221</v>
      </c>
      <c r="M201" s="124">
        <f t="shared" si="16"/>
        <v>-0.22100000000000009</v>
      </c>
      <c r="N201" s="113">
        <f t="shared" si="17"/>
        <v>1.01105</v>
      </c>
    </row>
    <row r="202" spans="1:14" ht="15" hidden="1" customHeight="1">
      <c r="A202" s="132" t="s">
        <v>414</v>
      </c>
      <c r="B202" s="128" t="s">
        <v>323</v>
      </c>
      <c r="C202" s="98">
        <v>43914</v>
      </c>
      <c r="D202" s="132">
        <v>852</v>
      </c>
      <c r="E202" s="132" t="s">
        <v>324</v>
      </c>
      <c r="F202" s="132" t="s">
        <v>325</v>
      </c>
      <c r="G202" s="132" t="s">
        <v>423</v>
      </c>
      <c r="H202" s="132">
        <v>962295</v>
      </c>
      <c r="I202" s="128" t="s">
        <v>314</v>
      </c>
      <c r="J202" s="128" t="s">
        <v>218</v>
      </c>
      <c r="K202" s="193">
        <v>80</v>
      </c>
      <c r="L202" s="141">
        <v>79.778999999999996</v>
      </c>
      <c r="M202" s="124">
        <f t="shared" si="16"/>
        <v>0.22100000000000364</v>
      </c>
      <c r="N202" s="113">
        <f t="shared" si="17"/>
        <v>0.9972375</v>
      </c>
    </row>
    <row r="203" spans="1:14" ht="15" hidden="1" customHeight="1">
      <c r="A203" s="132" t="s">
        <v>414</v>
      </c>
      <c r="B203" s="128" t="s">
        <v>323</v>
      </c>
      <c r="C203" s="98">
        <v>43914</v>
      </c>
      <c r="D203" s="132">
        <v>852</v>
      </c>
      <c r="E203" s="132" t="s">
        <v>324</v>
      </c>
      <c r="F203" s="132" t="s">
        <v>325</v>
      </c>
      <c r="G203" s="125" t="s">
        <v>424</v>
      </c>
      <c r="H203" s="125">
        <v>960106</v>
      </c>
      <c r="I203" s="128" t="s">
        <v>314</v>
      </c>
      <c r="J203" s="128" t="s">
        <v>217</v>
      </c>
      <c r="K203" s="193">
        <v>20</v>
      </c>
      <c r="L203" s="141">
        <v>19.939</v>
      </c>
      <c r="M203" s="124">
        <f t="shared" si="16"/>
        <v>6.0999999999999943E-2</v>
      </c>
      <c r="N203" s="113">
        <f t="shared" si="17"/>
        <v>0.99695</v>
      </c>
    </row>
    <row r="204" spans="1:14" ht="15" hidden="1" customHeight="1">
      <c r="A204" s="132" t="s">
        <v>414</v>
      </c>
      <c r="B204" s="128" t="s">
        <v>323</v>
      </c>
      <c r="C204" s="98">
        <v>43914</v>
      </c>
      <c r="D204" s="132">
        <v>852</v>
      </c>
      <c r="E204" s="132" t="s">
        <v>324</v>
      </c>
      <c r="F204" s="132" t="s">
        <v>325</v>
      </c>
      <c r="G204" s="132" t="s">
        <v>424</v>
      </c>
      <c r="H204" s="132">
        <v>960106</v>
      </c>
      <c r="I204" s="128" t="s">
        <v>314</v>
      </c>
      <c r="J204" s="128" t="s">
        <v>218</v>
      </c>
      <c r="K204" s="193">
        <v>80</v>
      </c>
      <c r="L204" s="141">
        <v>80</v>
      </c>
      <c r="M204" s="124">
        <f t="shared" si="16"/>
        <v>0</v>
      </c>
      <c r="N204" s="113">
        <f t="shared" si="17"/>
        <v>1</v>
      </c>
    </row>
    <row r="205" spans="1:14" ht="15" hidden="1" customHeight="1">
      <c r="A205" s="132" t="s">
        <v>414</v>
      </c>
      <c r="B205" s="128" t="s">
        <v>323</v>
      </c>
      <c r="C205" s="98">
        <v>43914</v>
      </c>
      <c r="D205" s="132">
        <v>852</v>
      </c>
      <c r="E205" s="132" t="s">
        <v>324</v>
      </c>
      <c r="F205" s="132" t="s">
        <v>325</v>
      </c>
      <c r="G205" s="125" t="s">
        <v>425</v>
      </c>
      <c r="H205" s="125">
        <v>965263</v>
      </c>
      <c r="I205" s="128" t="s">
        <v>314</v>
      </c>
      <c r="J205" s="128" t="s">
        <v>217</v>
      </c>
      <c r="K205" s="193">
        <v>20</v>
      </c>
      <c r="L205" s="141">
        <v>20</v>
      </c>
      <c r="M205" s="124">
        <f t="shared" si="16"/>
        <v>0</v>
      </c>
      <c r="N205" s="113">
        <f t="shared" si="17"/>
        <v>1</v>
      </c>
    </row>
    <row r="206" spans="1:14" ht="15" hidden="1" customHeight="1">
      <c r="A206" s="132" t="s">
        <v>414</v>
      </c>
      <c r="B206" s="128" t="s">
        <v>323</v>
      </c>
      <c r="C206" s="98">
        <v>43914</v>
      </c>
      <c r="D206" s="132">
        <v>852</v>
      </c>
      <c r="E206" s="132" t="s">
        <v>324</v>
      </c>
      <c r="F206" s="132" t="s">
        <v>325</v>
      </c>
      <c r="G206" s="132" t="s">
        <v>425</v>
      </c>
      <c r="H206" s="132">
        <v>965263</v>
      </c>
      <c r="I206" s="128" t="s">
        <v>314</v>
      </c>
      <c r="J206" s="128" t="s">
        <v>218</v>
      </c>
      <c r="K206" s="193">
        <v>80</v>
      </c>
      <c r="L206" s="141">
        <v>80</v>
      </c>
      <c r="M206" s="124">
        <f t="shared" si="16"/>
        <v>0</v>
      </c>
      <c r="N206" s="113">
        <f t="shared" si="17"/>
        <v>1</v>
      </c>
    </row>
    <row r="207" spans="1:14" ht="15" hidden="1" customHeight="1">
      <c r="A207" s="132" t="s">
        <v>414</v>
      </c>
      <c r="B207" s="128" t="s">
        <v>323</v>
      </c>
      <c r="C207" s="98">
        <v>43914</v>
      </c>
      <c r="D207" s="132">
        <v>852</v>
      </c>
      <c r="E207" s="132" t="s">
        <v>324</v>
      </c>
      <c r="F207" s="132" t="s">
        <v>325</v>
      </c>
      <c r="G207" s="125" t="s">
        <v>426</v>
      </c>
      <c r="H207" s="125">
        <v>955079</v>
      </c>
      <c r="I207" s="128" t="s">
        <v>314</v>
      </c>
      <c r="J207" s="128" t="s">
        <v>217</v>
      </c>
      <c r="K207" s="193">
        <v>20</v>
      </c>
      <c r="L207" s="141">
        <v>20</v>
      </c>
      <c r="M207" s="124">
        <f t="shared" si="16"/>
        <v>0</v>
      </c>
      <c r="N207" s="113">
        <f t="shared" si="17"/>
        <v>1</v>
      </c>
    </row>
    <row r="208" spans="1:14" ht="15" hidden="1" customHeight="1">
      <c r="A208" s="132" t="s">
        <v>414</v>
      </c>
      <c r="B208" s="128" t="s">
        <v>323</v>
      </c>
      <c r="C208" s="98">
        <v>43914</v>
      </c>
      <c r="D208" s="132">
        <v>852</v>
      </c>
      <c r="E208" s="132" t="s">
        <v>324</v>
      </c>
      <c r="F208" s="132" t="s">
        <v>325</v>
      </c>
      <c r="G208" s="132" t="s">
        <v>426</v>
      </c>
      <c r="H208" s="132">
        <v>955079</v>
      </c>
      <c r="I208" s="128" t="s">
        <v>314</v>
      </c>
      <c r="J208" s="128" t="s">
        <v>218</v>
      </c>
      <c r="K208" s="193">
        <v>80</v>
      </c>
      <c r="L208" s="141">
        <v>79.965999999999994</v>
      </c>
      <c r="M208" s="124">
        <f t="shared" si="16"/>
        <v>3.4000000000006025E-2</v>
      </c>
      <c r="N208" s="113">
        <f t="shared" si="17"/>
        <v>0.99957499999999988</v>
      </c>
    </row>
    <row r="209" spans="1:14" ht="15" hidden="1" customHeight="1">
      <c r="A209" s="132" t="s">
        <v>414</v>
      </c>
      <c r="B209" s="128" t="s">
        <v>323</v>
      </c>
      <c r="C209" s="98">
        <v>43914</v>
      </c>
      <c r="D209" s="132">
        <v>852</v>
      </c>
      <c r="E209" s="132" t="s">
        <v>324</v>
      </c>
      <c r="F209" s="132" t="s">
        <v>325</v>
      </c>
      <c r="G209" s="125" t="s">
        <v>427</v>
      </c>
      <c r="H209" s="125">
        <v>953555</v>
      </c>
      <c r="I209" s="128" t="s">
        <v>314</v>
      </c>
      <c r="J209" s="128" t="s">
        <v>217</v>
      </c>
      <c r="K209" s="193">
        <v>50</v>
      </c>
      <c r="L209" s="141">
        <v>49.682000000000002</v>
      </c>
      <c r="M209" s="124">
        <f t="shared" si="16"/>
        <v>0.31799999999999784</v>
      </c>
      <c r="N209" s="113">
        <f t="shared" si="17"/>
        <v>0.99364000000000008</v>
      </c>
    </row>
    <row r="210" spans="1:14" ht="15" hidden="1" customHeight="1">
      <c r="A210" s="132" t="s">
        <v>414</v>
      </c>
      <c r="B210" s="128" t="s">
        <v>323</v>
      </c>
      <c r="C210" s="98">
        <v>43914</v>
      </c>
      <c r="D210" s="132">
        <v>852</v>
      </c>
      <c r="E210" s="132" t="s">
        <v>324</v>
      </c>
      <c r="F210" s="132" t="s">
        <v>325</v>
      </c>
      <c r="G210" s="132" t="s">
        <v>427</v>
      </c>
      <c r="H210" s="132">
        <v>953555</v>
      </c>
      <c r="I210" s="128" t="s">
        <v>314</v>
      </c>
      <c r="J210" s="128" t="s">
        <v>218</v>
      </c>
      <c r="K210" s="193">
        <v>100</v>
      </c>
      <c r="L210" s="141">
        <v>99.768000000000001</v>
      </c>
      <c r="M210" s="124">
        <f t="shared" si="16"/>
        <v>0.23199999999999932</v>
      </c>
      <c r="N210" s="113">
        <f t="shared" si="17"/>
        <v>0.99768000000000001</v>
      </c>
    </row>
    <row r="211" spans="1:14" ht="15" hidden="1" customHeight="1">
      <c r="A211" s="134" t="s">
        <v>333</v>
      </c>
      <c r="B211" s="128" t="s">
        <v>323</v>
      </c>
      <c r="C211" s="129">
        <v>43914</v>
      </c>
      <c r="D211" s="128">
        <v>854</v>
      </c>
      <c r="E211" s="128" t="s">
        <v>324</v>
      </c>
      <c r="F211" s="128" t="s">
        <v>325</v>
      </c>
      <c r="G211" s="128" t="s">
        <v>430</v>
      </c>
      <c r="H211" s="128">
        <v>962853</v>
      </c>
      <c r="I211" s="128" t="s">
        <v>314</v>
      </c>
      <c r="J211" s="128" t="s">
        <v>217</v>
      </c>
      <c r="K211" s="136">
        <v>108</v>
      </c>
      <c r="L211" s="140">
        <v>64.263000000000005</v>
      </c>
      <c r="M211" s="136">
        <f t="shared" si="16"/>
        <v>43.736999999999995</v>
      </c>
      <c r="N211" s="130">
        <f t="shared" si="17"/>
        <v>0.59502777777777782</v>
      </c>
    </row>
    <row r="212" spans="1:14" ht="15" hidden="1" customHeight="1">
      <c r="A212" s="134" t="s">
        <v>333</v>
      </c>
      <c r="B212" s="128" t="s">
        <v>323</v>
      </c>
      <c r="C212" s="129">
        <v>43914</v>
      </c>
      <c r="D212" s="128">
        <v>854</v>
      </c>
      <c r="E212" s="128" t="s">
        <v>324</v>
      </c>
      <c r="F212" s="128" t="s">
        <v>325</v>
      </c>
      <c r="G212" s="128" t="s">
        <v>430</v>
      </c>
      <c r="H212" s="128">
        <v>962853</v>
      </c>
      <c r="I212" s="128" t="s">
        <v>314</v>
      </c>
      <c r="J212" s="128" t="s">
        <v>218</v>
      </c>
      <c r="K212" s="136">
        <v>142</v>
      </c>
      <c r="L212" s="140">
        <v>185.73699999999999</v>
      </c>
      <c r="M212" s="136">
        <f t="shared" si="16"/>
        <v>-43.736999999999995</v>
      </c>
      <c r="N212" s="130">
        <f t="shared" si="17"/>
        <v>1.308007042253521</v>
      </c>
    </row>
    <row r="213" spans="1:14" ht="15" hidden="1" customHeight="1">
      <c r="A213" s="137" t="s">
        <v>431</v>
      </c>
      <c r="B213" s="128" t="s">
        <v>309</v>
      </c>
      <c r="C213" s="138">
        <v>43914</v>
      </c>
      <c r="D213" s="137">
        <v>855</v>
      </c>
      <c r="E213" s="128" t="s">
        <v>324</v>
      </c>
      <c r="F213" s="137" t="s">
        <v>325</v>
      </c>
      <c r="G213" s="137" t="s">
        <v>432</v>
      </c>
      <c r="H213" s="137">
        <v>959987</v>
      </c>
      <c r="I213" s="128" t="s">
        <v>314</v>
      </c>
      <c r="J213" s="137" t="s">
        <v>217</v>
      </c>
      <c r="K213" s="266">
        <v>350.8</v>
      </c>
      <c r="L213" s="140">
        <v>91.710999999999999</v>
      </c>
      <c r="M213" s="267">
        <f>K213-(L213+L214+L215+L216)</f>
        <v>-2.9999999999972715E-2</v>
      </c>
      <c r="N213" s="270">
        <f>(L213+L214+L215+L216)/K213</f>
        <v>1.0000855188141391</v>
      </c>
    </row>
    <row r="214" spans="1:14" ht="15" hidden="1" customHeight="1">
      <c r="A214" s="137" t="s">
        <v>431</v>
      </c>
      <c r="B214" s="128" t="s">
        <v>309</v>
      </c>
      <c r="C214" s="138">
        <v>43914</v>
      </c>
      <c r="D214" s="137">
        <v>855</v>
      </c>
      <c r="E214" s="128" t="s">
        <v>324</v>
      </c>
      <c r="F214" s="137" t="s">
        <v>325</v>
      </c>
      <c r="G214" s="137" t="s">
        <v>433</v>
      </c>
      <c r="H214" s="137">
        <v>967393</v>
      </c>
      <c r="I214" s="128" t="s">
        <v>314</v>
      </c>
      <c r="J214" s="137" t="s">
        <v>217</v>
      </c>
      <c r="K214" s="266"/>
      <c r="L214" s="140">
        <v>116.667</v>
      </c>
      <c r="M214" s="268"/>
      <c r="N214" s="271"/>
    </row>
    <row r="215" spans="1:14" ht="15" hidden="1" customHeight="1">
      <c r="A215" s="137" t="s">
        <v>431</v>
      </c>
      <c r="B215" s="128" t="s">
        <v>309</v>
      </c>
      <c r="C215" s="138">
        <v>43914</v>
      </c>
      <c r="D215" s="137">
        <v>855</v>
      </c>
      <c r="E215" s="128" t="s">
        <v>324</v>
      </c>
      <c r="F215" s="137" t="s">
        <v>325</v>
      </c>
      <c r="G215" s="137" t="s">
        <v>434</v>
      </c>
      <c r="H215" s="137">
        <v>924718</v>
      </c>
      <c r="I215" s="128" t="s">
        <v>314</v>
      </c>
      <c r="J215" s="137" t="s">
        <v>217</v>
      </c>
      <c r="K215" s="266"/>
      <c r="L215" s="140">
        <v>142.452</v>
      </c>
      <c r="M215" s="268"/>
      <c r="N215" s="271"/>
    </row>
    <row r="216" spans="1:14" ht="15" hidden="1" customHeight="1">
      <c r="A216" s="137" t="s">
        <v>431</v>
      </c>
      <c r="B216" s="128" t="s">
        <v>309</v>
      </c>
      <c r="C216" s="138">
        <v>43914</v>
      </c>
      <c r="D216" s="137">
        <v>855</v>
      </c>
      <c r="E216" s="128" t="s">
        <v>324</v>
      </c>
      <c r="F216" s="137" t="s">
        <v>325</v>
      </c>
      <c r="G216" s="137" t="s">
        <v>430</v>
      </c>
      <c r="H216" s="137">
        <v>962853</v>
      </c>
      <c r="I216" s="128" t="s">
        <v>314</v>
      </c>
      <c r="J216" s="137" t="s">
        <v>217</v>
      </c>
      <c r="K216" s="266"/>
      <c r="L216" s="128"/>
      <c r="M216" s="269"/>
      <c r="N216" s="272"/>
    </row>
    <row r="217" spans="1:14" ht="15" hidden="1" customHeight="1">
      <c r="A217" s="135" t="s">
        <v>435</v>
      </c>
      <c r="B217" s="128" t="s">
        <v>323</v>
      </c>
      <c r="C217" s="138">
        <v>43914</v>
      </c>
      <c r="D217" s="128">
        <v>857</v>
      </c>
      <c r="E217" s="128" t="s">
        <v>324</v>
      </c>
      <c r="F217" s="137" t="s">
        <v>311</v>
      </c>
      <c r="G217" s="128" t="s">
        <v>436</v>
      </c>
      <c r="H217" s="128">
        <v>968281</v>
      </c>
      <c r="I217" s="128" t="s">
        <v>314</v>
      </c>
      <c r="J217" s="128" t="s">
        <v>217</v>
      </c>
      <c r="K217" s="136">
        <v>20</v>
      </c>
      <c r="L217" s="140">
        <v>4.9980000000000002</v>
      </c>
      <c r="M217" s="136">
        <f t="shared" ref="M217:M223" si="18">K217-L217</f>
        <v>15.001999999999999</v>
      </c>
      <c r="N217" s="130">
        <f t="shared" ref="N217:N223" si="19">L217/K217</f>
        <v>0.24990000000000001</v>
      </c>
    </row>
    <row r="218" spans="1:14" ht="15" hidden="1" customHeight="1">
      <c r="A218" s="135" t="s">
        <v>435</v>
      </c>
      <c r="B218" s="128" t="s">
        <v>323</v>
      </c>
      <c r="C218" s="138">
        <v>43914</v>
      </c>
      <c r="D218" s="128">
        <v>857</v>
      </c>
      <c r="E218" s="128" t="s">
        <v>324</v>
      </c>
      <c r="F218" s="137" t="s">
        <v>311</v>
      </c>
      <c r="G218" s="128" t="s">
        <v>436</v>
      </c>
      <c r="H218" s="128">
        <v>968281</v>
      </c>
      <c r="I218" s="128" t="s">
        <v>314</v>
      </c>
      <c r="J218" s="128" t="s">
        <v>218</v>
      </c>
      <c r="K218" s="136">
        <v>180</v>
      </c>
      <c r="L218" s="140">
        <v>196.87799999999999</v>
      </c>
      <c r="M218" s="136">
        <f t="shared" si="18"/>
        <v>-16.877999999999986</v>
      </c>
      <c r="N218" s="130">
        <f t="shared" si="19"/>
        <v>1.0937666666666666</v>
      </c>
    </row>
    <row r="219" spans="1:14" ht="15" hidden="1" customHeight="1">
      <c r="A219" s="135" t="s">
        <v>437</v>
      </c>
      <c r="B219" s="128" t="s">
        <v>323</v>
      </c>
      <c r="C219" s="138">
        <v>43914</v>
      </c>
      <c r="D219" s="128">
        <v>43</v>
      </c>
      <c r="E219" s="128" t="s">
        <v>310</v>
      </c>
      <c r="F219" s="137" t="s">
        <v>311</v>
      </c>
      <c r="G219" s="128" t="s">
        <v>438</v>
      </c>
      <c r="H219" s="128">
        <v>968436</v>
      </c>
      <c r="I219" s="128" t="s">
        <v>314</v>
      </c>
      <c r="J219" s="128" t="s">
        <v>217</v>
      </c>
      <c r="K219" s="136">
        <v>120</v>
      </c>
      <c r="L219" s="140">
        <v>120</v>
      </c>
      <c r="M219" s="136">
        <f t="shared" si="18"/>
        <v>0</v>
      </c>
      <c r="N219" s="130">
        <f t="shared" si="19"/>
        <v>1</v>
      </c>
    </row>
    <row r="220" spans="1:14" ht="15" hidden="1" customHeight="1">
      <c r="A220" s="135" t="s">
        <v>437</v>
      </c>
      <c r="B220" s="128" t="s">
        <v>323</v>
      </c>
      <c r="C220" s="138">
        <v>43914</v>
      </c>
      <c r="D220" s="128">
        <v>43</v>
      </c>
      <c r="E220" s="128" t="s">
        <v>310</v>
      </c>
      <c r="F220" s="137" t="s">
        <v>311</v>
      </c>
      <c r="G220" s="128" t="s">
        <v>438</v>
      </c>
      <c r="H220" s="128">
        <v>968436</v>
      </c>
      <c r="I220" s="128" t="s">
        <v>314</v>
      </c>
      <c r="J220" s="128" t="s">
        <v>218</v>
      </c>
      <c r="K220" s="136">
        <v>250</v>
      </c>
      <c r="L220" s="140">
        <v>250</v>
      </c>
      <c r="M220" s="136">
        <f t="shared" si="18"/>
        <v>0</v>
      </c>
      <c r="N220" s="130">
        <f t="shared" si="19"/>
        <v>1</v>
      </c>
    </row>
    <row r="221" spans="1:14" ht="15" hidden="1" customHeight="1">
      <c r="A221" s="135" t="s">
        <v>437</v>
      </c>
      <c r="B221" s="128" t="s">
        <v>323</v>
      </c>
      <c r="C221" s="98">
        <v>43921</v>
      </c>
      <c r="D221" s="125">
        <v>47</v>
      </c>
      <c r="E221" s="128" t="s">
        <v>310</v>
      </c>
      <c r="F221" s="137" t="s">
        <v>311</v>
      </c>
      <c r="G221" s="125" t="s">
        <v>399</v>
      </c>
      <c r="H221" s="125">
        <v>962795</v>
      </c>
      <c r="I221" s="128" t="s">
        <v>314</v>
      </c>
      <c r="J221" s="128" t="s">
        <v>217</v>
      </c>
      <c r="K221" s="193">
        <v>123</v>
      </c>
      <c r="L221" s="141">
        <v>84.131</v>
      </c>
      <c r="M221" s="124">
        <f t="shared" si="18"/>
        <v>38.869</v>
      </c>
      <c r="N221" s="113">
        <f t="shared" si="19"/>
        <v>0.6839918699186992</v>
      </c>
    </row>
    <row r="222" spans="1:14" ht="15" hidden="1" customHeight="1">
      <c r="A222" s="135" t="s">
        <v>437</v>
      </c>
      <c r="B222" s="128" t="s">
        <v>323</v>
      </c>
      <c r="C222" s="98">
        <v>43921</v>
      </c>
      <c r="D222" s="125">
        <v>47</v>
      </c>
      <c r="E222" s="128" t="s">
        <v>310</v>
      </c>
      <c r="F222" s="137" t="s">
        <v>311</v>
      </c>
      <c r="G222" s="134" t="s">
        <v>399</v>
      </c>
      <c r="H222" s="134">
        <v>962795</v>
      </c>
      <c r="I222" s="128" t="s">
        <v>314</v>
      </c>
      <c r="J222" s="128" t="s">
        <v>218</v>
      </c>
      <c r="K222" s="193">
        <v>247</v>
      </c>
      <c r="L222" s="141">
        <v>285.86900000000003</v>
      </c>
      <c r="M222" s="124">
        <f t="shared" si="18"/>
        <v>-38.869000000000028</v>
      </c>
      <c r="N222" s="113">
        <f t="shared" si="19"/>
        <v>1.1573643724696356</v>
      </c>
    </row>
    <row r="223" spans="1:14" ht="15" hidden="1" customHeight="1">
      <c r="A223" s="125" t="s">
        <v>439</v>
      </c>
      <c r="B223" s="128" t="s">
        <v>323</v>
      </c>
      <c r="C223" s="98">
        <v>43921</v>
      </c>
      <c r="D223" s="125">
        <v>48</v>
      </c>
      <c r="E223" s="128" t="s">
        <v>310</v>
      </c>
      <c r="F223" s="137" t="s">
        <v>311</v>
      </c>
      <c r="G223" s="134" t="s">
        <v>399</v>
      </c>
      <c r="H223" s="134">
        <v>962795</v>
      </c>
      <c r="I223" s="128" t="s">
        <v>314</v>
      </c>
      <c r="J223" s="128" t="s">
        <v>217</v>
      </c>
      <c r="K223" s="193">
        <v>10</v>
      </c>
      <c r="L223" s="125"/>
      <c r="M223" s="124">
        <f t="shared" si="18"/>
        <v>10</v>
      </c>
      <c r="N223" s="113">
        <f t="shared" si="19"/>
        <v>0</v>
      </c>
    </row>
    <row r="224" spans="1:14" ht="15" hidden="1" customHeight="1">
      <c r="A224" s="134" t="s">
        <v>439</v>
      </c>
      <c r="B224" s="128" t="s">
        <v>323</v>
      </c>
      <c r="C224" s="98">
        <v>43921</v>
      </c>
      <c r="D224" s="125">
        <v>48</v>
      </c>
      <c r="E224" s="128" t="s">
        <v>310</v>
      </c>
      <c r="F224" s="137" t="s">
        <v>311</v>
      </c>
      <c r="G224" s="134" t="s">
        <v>399</v>
      </c>
      <c r="H224" s="134">
        <v>962795</v>
      </c>
      <c r="I224" s="128" t="s">
        <v>314</v>
      </c>
      <c r="J224" s="128" t="s">
        <v>218</v>
      </c>
      <c r="K224" s="193">
        <v>20</v>
      </c>
      <c r="L224" s="141">
        <v>29.484000000000002</v>
      </c>
      <c r="M224" s="124">
        <f t="shared" ref="M224:M257" si="20">K224-L224</f>
        <v>-9.4840000000000018</v>
      </c>
      <c r="N224" s="113">
        <f t="shared" ref="N224:N257" si="21">L224/K224</f>
        <v>1.4742000000000002</v>
      </c>
    </row>
    <row r="225" spans="1:14" ht="15" hidden="1" customHeight="1">
      <c r="A225" s="125" t="s">
        <v>440</v>
      </c>
      <c r="B225" s="128" t="s">
        <v>323</v>
      </c>
      <c r="C225" s="98">
        <v>43921</v>
      </c>
      <c r="D225" s="125">
        <v>916</v>
      </c>
      <c r="E225" s="125" t="s">
        <v>324</v>
      </c>
      <c r="F225" s="137" t="s">
        <v>311</v>
      </c>
      <c r="G225" s="125" t="s">
        <v>363</v>
      </c>
      <c r="H225" s="125">
        <v>955511</v>
      </c>
      <c r="I225" s="128" t="s">
        <v>314</v>
      </c>
      <c r="J225" s="128" t="s">
        <v>218</v>
      </c>
      <c r="K225" s="193">
        <v>53</v>
      </c>
      <c r="L225" s="125"/>
      <c r="M225" s="124">
        <f t="shared" si="20"/>
        <v>53</v>
      </c>
      <c r="N225" s="113">
        <f t="shared" si="21"/>
        <v>0</v>
      </c>
    </row>
    <row r="226" spans="1:14" ht="15" hidden="1" customHeight="1">
      <c r="A226" s="125" t="s">
        <v>441</v>
      </c>
      <c r="B226" s="128" t="s">
        <v>323</v>
      </c>
      <c r="C226" s="98">
        <v>43927</v>
      </c>
      <c r="D226" s="125">
        <v>935</v>
      </c>
      <c r="E226" s="134" t="s">
        <v>324</v>
      </c>
      <c r="F226" s="125" t="s">
        <v>325</v>
      </c>
      <c r="G226" s="125" t="s">
        <v>442</v>
      </c>
      <c r="H226" s="125">
        <v>952004</v>
      </c>
      <c r="I226" s="128" t="s">
        <v>314</v>
      </c>
      <c r="J226" s="128" t="s">
        <v>217</v>
      </c>
      <c r="K226" s="193">
        <v>116</v>
      </c>
      <c r="L226" s="141">
        <v>116</v>
      </c>
      <c r="M226" s="124">
        <f t="shared" si="20"/>
        <v>0</v>
      </c>
      <c r="N226" s="113">
        <f t="shared" si="21"/>
        <v>1</v>
      </c>
    </row>
    <row r="227" spans="1:14" ht="15" hidden="1" customHeight="1">
      <c r="A227" s="134" t="s">
        <v>441</v>
      </c>
      <c r="B227" s="128" t="s">
        <v>323</v>
      </c>
      <c r="C227" s="98">
        <v>43927</v>
      </c>
      <c r="D227" s="134">
        <v>935</v>
      </c>
      <c r="E227" s="134" t="s">
        <v>324</v>
      </c>
      <c r="F227" s="134" t="s">
        <v>325</v>
      </c>
      <c r="G227" s="134" t="s">
        <v>442</v>
      </c>
      <c r="H227" s="134">
        <v>952004</v>
      </c>
      <c r="I227" s="128" t="s">
        <v>314</v>
      </c>
      <c r="J227" s="128" t="s">
        <v>218</v>
      </c>
      <c r="K227" s="193">
        <v>84</v>
      </c>
      <c r="L227" s="141">
        <v>62.720999999999997</v>
      </c>
      <c r="M227" s="124">
        <f t="shared" si="20"/>
        <v>21.279000000000003</v>
      </c>
      <c r="N227" s="113">
        <f t="shared" si="21"/>
        <v>0.74667857142857141</v>
      </c>
    </row>
    <row r="228" spans="1:14" ht="15" hidden="1" customHeight="1">
      <c r="A228" s="134" t="s">
        <v>441</v>
      </c>
      <c r="B228" s="128" t="s">
        <v>323</v>
      </c>
      <c r="C228" s="98">
        <v>43927</v>
      </c>
      <c r="D228" s="134">
        <v>935</v>
      </c>
      <c r="E228" s="134" t="s">
        <v>324</v>
      </c>
      <c r="F228" s="134" t="s">
        <v>325</v>
      </c>
      <c r="G228" s="125" t="s">
        <v>443</v>
      </c>
      <c r="H228" s="125">
        <v>963875</v>
      </c>
      <c r="I228" s="128" t="s">
        <v>314</v>
      </c>
      <c r="J228" s="128" t="s">
        <v>217</v>
      </c>
      <c r="K228" s="193">
        <v>358</v>
      </c>
      <c r="L228" s="141">
        <v>360</v>
      </c>
      <c r="M228" s="124">
        <f t="shared" si="20"/>
        <v>-2</v>
      </c>
      <c r="N228" s="113">
        <f t="shared" si="21"/>
        <v>1.005586592178771</v>
      </c>
    </row>
    <row r="229" spans="1:14" ht="15" hidden="1" customHeight="1">
      <c r="A229" s="134" t="s">
        <v>441</v>
      </c>
      <c r="B229" s="128" t="s">
        <v>323</v>
      </c>
      <c r="C229" s="98">
        <v>43927</v>
      </c>
      <c r="D229" s="134">
        <v>935</v>
      </c>
      <c r="E229" s="134" t="s">
        <v>324</v>
      </c>
      <c r="F229" s="134" t="s">
        <v>325</v>
      </c>
      <c r="G229" s="134" t="s">
        <v>443</v>
      </c>
      <c r="H229" s="134">
        <v>963875</v>
      </c>
      <c r="I229" s="128" t="s">
        <v>314</v>
      </c>
      <c r="J229" s="128" t="s">
        <v>218</v>
      </c>
      <c r="K229" s="193">
        <v>242</v>
      </c>
      <c r="L229" s="141">
        <v>240</v>
      </c>
      <c r="M229" s="124">
        <f t="shared" si="20"/>
        <v>2</v>
      </c>
      <c r="N229" s="113">
        <f t="shared" si="21"/>
        <v>0.99173553719008267</v>
      </c>
    </row>
    <row r="230" spans="1:14" ht="15" hidden="1" customHeight="1">
      <c r="A230" s="134" t="s">
        <v>441</v>
      </c>
      <c r="B230" s="128" t="s">
        <v>323</v>
      </c>
      <c r="C230" s="98">
        <v>43927</v>
      </c>
      <c r="D230" s="134">
        <v>935</v>
      </c>
      <c r="E230" s="134" t="s">
        <v>324</v>
      </c>
      <c r="F230" s="134" t="s">
        <v>325</v>
      </c>
      <c r="G230" s="125" t="s">
        <v>444</v>
      </c>
      <c r="H230" s="125">
        <v>968281</v>
      </c>
      <c r="I230" s="128" t="s">
        <v>314</v>
      </c>
      <c r="J230" s="128" t="s">
        <v>217</v>
      </c>
      <c r="K230" s="193">
        <v>116</v>
      </c>
      <c r="L230" s="141">
        <v>78.44</v>
      </c>
      <c r="M230" s="124">
        <f t="shared" si="20"/>
        <v>37.56</v>
      </c>
      <c r="N230" s="113">
        <f t="shared" si="21"/>
        <v>0.67620689655172417</v>
      </c>
    </row>
    <row r="231" spans="1:14" ht="15" hidden="1" customHeight="1">
      <c r="A231" s="134" t="s">
        <v>441</v>
      </c>
      <c r="B231" s="128" t="s">
        <v>323</v>
      </c>
      <c r="C231" s="98">
        <v>43927</v>
      </c>
      <c r="D231" s="134">
        <v>935</v>
      </c>
      <c r="E231" s="134" t="s">
        <v>324</v>
      </c>
      <c r="F231" s="134" t="s">
        <v>325</v>
      </c>
      <c r="G231" s="134" t="s">
        <v>444</v>
      </c>
      <c r="H231" s="134">
        <v>968281</v>
      </c>
      <c r="I231" s="128" t="s">
        <v>314</v>
      </c>
      <c r="J231" s="128" t="s">
        <v>218</v>
      </c>
      <c r="K231" s="193">
        <v>84</v>
      </c>
      <c r="L231" s="141">
        <v>117.48</v>
      </c>
      <c r="M231" s="124">
        <f t="shared" si="20"/>
        <v>-33.480000000000004</v>
      </c>
      <c r="N231" s="113">
        <f t="shared" si="21"/>
        <v>1.3985714285714286</v>
      </c>
    </row>
    <row r="232" spans="1:14" ht="15" hidden="1" customHeight="1">
      <c r="A232" s="134" t="s">
        <v>441</v>
      </c>
      <c r="B232" s="128" t="s">
        <v>323</v>
      </c>
      <c r="C232" s="98">
        <v>43927</v>
      </c>
      <c r="D232" s="134">
        <v>935</v>
      </c>
      <c r="E232" s="134" t="s">
        <v>324</v>
      </c>
      <c r="F232" s="134" t="s">
        <v>325</v>
      </c>
      <c r="G232" s="125" t="s">
        <v>445</v>
      </c>
      <c r="H232" s="125">
        <v>952055</v>
      </c>
      <c r="I232" s="128" t="s">
        <v>314</v>
      </c>
      <c r="J232" s="128" t="s">
        <v>217</v>
      </c>
      <c r="K232" s="193">
        <v>174</v>
      </c>
      <c r="L232" s="141">
        <v>174</v>
      </c>
      <c r="M232" s="124">
        <f t="shared" si="20"/>
        <v>0</v>
      </c>
      <c r="N232" s="113">
        <f t="shared" si="21"/>
        <v>1</v>
      </c>
    </row>
    <row r="233" spans="1:14" ht="15" hidden="1" customHeight="1">
      <c r="A233" s="134" t="s">
        <v>441</v>
      </c>
      <c r="B233" s="128" t="s">
        <v>323</v>
      </c>
      <c r="C233" s="98">
        <v>43927</v>
      </c>
      <c r="D233" s="134">
        <v>935</v>
      </c>
      <c r="E233" s="134" t="s">
        <v>324</v>
      </c>
      <c r="F233" s="134" t="s">
        <v>325</v>
      </c>
      <c r="G233" s="134" t="s">
        <v>445</v>
      </c>
      <c r="H233" s="134">
        <v>952055</v>
      </c>
      <c r="I233" s="128" t="s">
        <v>314</v>
      </c>
      <c r="J233" s="128" t="s">
        <v>218</v>
      </c>
      <c r="K233" s="193">
        <v>126</v>
      </c>
      <c r="L233" s="141">
        <v>131.08199999999999</v>
      </c>
      <c r="M233" s="124">
        <f t="shared" si="20"/>
        <v>-5.0819999999999936</v>
      </c>
      <c r="N233" s="113">
        <f t="shared" si="21"/>
        <v>1.0403333333333333</v>
      </c>
    </row>
    <row r="234" spans="1:14" ht="15" hidden="1" customHeight="1">
      <c r="A234" s="134" t="s">
        <v>441</v>
      </c>
      <c r="B234" s="128" t="s">
        <v>323</v>
      </c>
      <c r="C234" s="98">
        <v>43927</v>
      </c>
      <c r="D234" s="134">
        <v>935</v>
      </c>
      <c r="E234" s="134" t="s">
        <v>324</v>
      </c>
      <c r="F234" s="134" t="s">
        <v>325</v>
      </c>
      <c r="G234" s="125" t="s">
        <v>446</v>
      </c>
      <c r="H234" s="125">
        <v>955516</v>
      </c>
      <c r="I234" s="128" t="s">
        <v>314</v>
      </c>
      <c r="J234" s="128" t="s">
        <v>217</v>
      </c>
      <c r="K234" s="193">
        <v>174</v>
      </c>
      <c r="L234" s="141">
        <v>174</v>
      </c>
      <c r="M234" s="124">
        <f t="shared" si="20"/>
        <v>0</v>
      </c>
      <c r="N234" s="113">
        <f t="shared" si="21"/>
        <v>1</v>
      </c>
    </row>
    <row r="235" spans="1:14" ht="15" hidden="1" customHeight="1">
      <c r="A235" s="134" t="s">
        <v>441</v>
      </c>
      <c r="B235" s="128" t="s">
        <v>323</v>
      </c>
      <c r="C235" s="98">
        <v>43927</v>
      </c>
      <c r="D235" s="134">
        <v>935</v>
      </c>
      <c r="E235" s="134" t="s">
        <v>324</v>
      </c>
      <c r="F235" s="134" t="s">
        <v>325</v>
      </c>
      <c r="G235" s="134" t="s">
        <v>446</v>
      </c>
      <c r="H235" s="134">
        <v>955516</v>
      </c>
      <c r="I235" s="128" t="s">
        <v>314</v>
      </c>
      <c r="J235" s="128" t="s">
        <v>218</v>
      </c>
      <c r="K235" s="193">
        <v>126</v>
      </c>
      <c r="L235" s="141">
        <v>126.003</v>
      </c>
      <c r="M235" s="124">
        <f t="shared" si="20"/>
        <v>-3.0000000000001137E-3</v>
      </c>
      <c r="N235" s="113">
        <f t="shared" si="21"/>
        <v>1.0000238095238094</v>
      </c>
    </row>
    <row r="236" spans="1:14" ht="15" hidden="1" customHeight="1">
      <c r="A236" s="134" t="s">
        <v>441</v>
      </c>
      <c r="B236" s="128" t="s">
        <v>323</v>
      </c>
      <c r="C236" s="98">
        <v>43927</v>
      </c>
      <c r="D236" s="134">
        <v>935</v>
      </c>
      <c r="E236" s="134" t="s">
        <v>324</v>
      </c>
      <c r="F236" s="134" t="s">
        <v>325</v>
      </c>
      <c r="G236" s="125" t="s">
        <v>447</v>
      </c>
      <c r="H236" s="125">
        <v>964948</v>
      </c>
      <c r="I236" s="128" t="s">
        <v>314</v>
      </c>
      <c r="J236" s="128" t="s">
        <v>217</v>
      </c>
      <c r="K236" s="193">
        <v>358</v>
      </c>
      <c r="L236" s="141">
        <v>362</v>
      </c>
      <c r="M236" s="124">
        <f t="shared" si="20"/>
        <v>-4</v>
      </c>
      <c r="N236" s="113">
        <f t="shared" si="21"/>
        <v>1.011173184357542</v>
      </c>
    </row>
    <row r="237" spans="1:14" ht="15" hidden="1" customHeight="1">
      <c r="A237" s="134" t="s">
        <v>441</v>
      </c>
      <c r="B237" s="128" t="s">
        <v>323</v>
      </c>
      <c r="C237" s="98">
        <v>43927</v>
      </c>
      <c r="D237" s="134">
        <v>935</v>
      </c>
      <c r="E237" s="134" t="s">
        <v>324</v>
      </c>
      <c r="F237" s="134" t="s">
        <v>325</v>
      </c>
      <c r="G237" s="134" t="s">
        <v>447</v>
      </c>
      <c r="H237" s="134">
        <v>964948</v>
      </c>
      <c r="I237" s="128" t="s">
        <v>314</v>
      </c>
      <c r="J237" s="128" t="s">
        <v>218</v>
      </c>
      <c r="K237" s="193">
        <v>242</v>
      </c>
      <c r="L237" s="141">
        <v>152.012</v>
      </c>
      <c r="M237" s="124">
        <f t="shared" si="20"/>
        <v>89.988</v>
      </c>
      <c r="N237" s="113">
        <f t="shared" si="21"/>
        <v>0.62814876033057854</v>
      </c>
    </row>
    <row r="238" spans="1:14" ht="15" hidden="1" customHeight="1">
      <c r="A238" s="134" t="s">
        <v>441</v>
      </c>
      <c r="B238" s="128" t="s">
        <v>323</v>
      </c>
      <c r="C238" s="98">
        <v>43927</v>
      </c>
      <c r="D238" s="134">
        <v>935</v>
      </c>
      <c r="E238" s="134" t="s">
        <v>324</v>
      </c>
      <c r="F238" s="134" t="s">
        <v>325</v>
      </c>
      <c r="G238" s="125" t="s">
        <v>448</v>
      </c>
      <c r="H238" s="125">
        <v>31292</v>
      </c>
      <c r="I238" s="128" t="s">
        <v>314</v>
      </c>
      <c r="J238" s="128" t="s">
        <v>217</v>
      </c>
      <c r="K238" s="193">
        <v>174</v>
      </c>
      <c r="L238" s="141">
        <v>174</v>
      </c>
      <c r="M238" s="124">
        <f t="shared" si="20"/>
        <v>0</v>
      </c>
      <c r="N238" s="113">
        <f t="shared" si="21"/>
        <v>1</v>
      </c>
    </row>
    <row r="239" spans="1:14" ht="15" hidden="1" customHeight="1">
      <c r="A239" s="134" t="s">
        <v>441</v>
      </c>
      <c r="B239" s="128" t="s">
        <v>323</v>
      </c>
      <c r="C239" s="98">
        <v>43927</v>
      </c>
      <c r="D239" s="134">
        <v>935</v>
      </c>
      <c r="E239" s="134" t="s">
        <v>324</v>
      </c>
      <c r="F239" s="134" t="s">
        <v>325</v>
      </c>
      <c r="G239" s="134" t="s">
        <v>448</v>
      </c>
      <c r="H239" s="134">
        <v>31292</v>
      </c>
      <c r="I239" s="128" t="s">
        <v>314</v>
      </c>
      <c r="J239" s="128" t="s">
        <v>218</v>
      </c>
      <c r="K239" s="193">
        <v>126</v>
      </c>
      <c r="L239" s="141">
        <v>126</v>
      </c>
      <c r="M239" s="124">
        <f t="shared" si="20"/>
        <v>0</v>
      </c>
      <c r="N239" s="113">
        <f t="shared" si="21"/>
        <v>1</v>
      </c>
    </row>
    <row r="240" spans="1:14" ht="15" hidden="1" customHeight="1">
      <c r="A240" s="134" t="s">
        <v>441</v>
      </c>
      <c r="B240" s="128" t="s">
        <v>323</v>
      </c>
      <c r="C240" s="98">
        <v>43927</v>
      </c>
      <c r="D240" s="134">
        <v>935</v>
      </c>
      <c r="E240" s="134" t="s">
        <v>324</v>
      </c>
      <c r="F240" s="134" t="s">
        <v>325</v>
      </c>
      <c r="G240" s="125" t="s">
        <v>449</v>
      </c>
      <c r="H240" s="125">
        <v>959036</v>
      </c>
      <c r="I240" s="128" t="s">
        <v>314</v>
      </c>
      <c r="J240" s="128" t="s">
        <v>217</v>
      </c>
      <c r="K240" s="193">
        <v>358</v>
      </c>
      <c r="L240" s="141">
        <v>360</v>
      </c>
      <c r="M240" s="124">
        <f t="shared" si="20"/>
        <v>-2</v>
      </c>
      <c r="N240" s="113">
        <f t="shared" si="21"/>
        <v>1.005586592178771</v>
      </c>
    </row>
    <row r="241" spans="1:14" ht="15" hidden="1" customHeight="1">
      <c r="A241" s="134" t="s">
        <v>441</v>
      </c>
      <c r="B241" s="128" t="s">
        <v>323</v>
      </c>
      <c r="C241" s="98">
        <v>43927</v>
      </c>
      <c r="D241" s="134">
        <v>935</v>
      </c>
      <c r="E241" s="134" t="s">
        <v>324</v>
      </c>
      <c r="F241" s="134" t="s">
        <v>325</v>
      </c>
      <c r="G241" s="134" t="s">
        <v>449</v>
      </c>
      <c r="H241" s="134">
        <v>959036</v>
      </c>
      <c r="I241" s="128" t="s">
        <v>314</v>
      </c>
      <c r="J241" s="128" t="s">
        <v>218</v>
      </c>
      <c r="K241" s="193">
        <v>242</v>
      </c>
      <c r="L241" s="141">
        <v>240</v>
      </c>
      <c r="M241" s="124">
        <f t="shared" si="20"/>
        <v>2</v>
      </c>
      <c r="N241" s="113">
        <f t="shared" si="21"/>
        <v>0.99173553719008267</v>
      </c>
    </row>
    <row r="242" spans="1:14" ht="15" hidden="1" customHeight="1">
      <c r="A242" s="134" t="s">
        <v>441</v>
      </c>
      <c r="B242" s="128" t="s">
        <v>323</v>
      </c>
      <c r="C242" s="98">
        <v>43927</v>
      </c>
      <c r="D242" s="134">
        <v>935</v>
      </c>
      <c r="E242" s="134" t="s">
        <v>324</v>
      </c>
      <c r="F242" s="134" t="s">
        <v>325</v>
      </c>
      <c r="G242" s="125" t="s">
        <v>450</v>
      </c>
      <c r="H242" s="125">
        <v>962641</v>
      </c>
      <c r="I242" s="128" t="s">
        <v>314</v>
      </c>
      <c r="J242" s="128" t="s">
        <v>217</v>
      </c>
      <c r="K242" s="193">
        <v>174</v>
      </c>
      <c r="L242" s="141">
        <v>45.938000000000002</v>
      </c>
      <c r="M242" s="124">
        <f t="shared" si="20"/>
        <v>128.06200000000001</v>
      </c>
      <c r="N242" s="113">
        <f t="shared" si="21"/>
        <v>0.26401149425287357</v>
      </c>
    </row>
    <row r="243" spans="1:14" ht="15" hidden="1" customHeight="1">
      <c r="A243" s="134" t="s">
        <v>441</v>
      </c>
      <c r="B243" s="128" t="s">
        <v>323</v>
      </c>
      <c r="C243" s="98">
        <v>43927</v>
      </c>
      <c r="D243" s="134">
        <v>935</v>
      </c>
      <c r="E243" s="134" t="s">
        <v>324</v>
      </c>
      <c r="F243" s="134" t="s">
        <v>325</v>
      </c>
      <c r="G243" s="134" t="s">
        <v>450</v>
      </c>
      <c r="H243" s="134">
        <v>962641</v>
      </c>
      <c r="I243" s="128" t="s">
        <v>314</v>
      </c>
      <c r="J243" s="128" t="s">
        <v>218</v>
      </c>
      <c r="K243" s="193">
        <v>126</v>
      </c>
      <c r="L243" s="141">
        <v>254.06200000000001</v>
      </c>
      <c r="M243" s="124">
        <f t="shared" si="20"/>
        <v>-128.06200000000001</v>
      </c>
      <c r="N243" s="113">
        <f t="shared" si="21"/>
        <v>2.0163650793650794</v>
      </c>
    </row>
    <row r="244" spans="1:14" ht="15" hidden="1" customHeight="1">
      <c r="A244" s="134" t="s">
        <v>441</v>
      </c>
      <c r="B244" s="128" t="s">
        <v>323</v>
      </c>
      <c r="C244" s="98">
        <v>43927</v>
      </c>
      <c r="D244" s="134">
        <v>935</v>
      </c>
      <c r="E244" s="134" t="s">
        <v>324</v>
      </c>
      <c r="F244" s="134" t="s">
        <v>325</v>
      </c>
      <c r="G244" s="125" t="s">
        <v>451</v>
      </c>
      <c r="H244" s="125">
        <v>962102</v>
      </c>
      <c r="I244" s="128" t="s">
        <v>314</v>
      </c>
      <c r="J244" s="128" t="s">
        <v>217</v>
      </c>
      <c r="K244" s="193">
        <v>358</v>
      </c>
      <c r="L244" s="141">
        <v>360</v>
      </c>
      <c r="M244" s="124">
        <f t="shared" si="20"/>
        <v>-2</v>
      </c>
      <c r="N244" s="113">
        <f t="shared" si="21"/>
        <v>1.005586592178771</v>
      </c>
    </row>
    <row r="245" spans="1:14" ht="15" hidden="1" customHeight="1">
      <c r="A245" s="134" t="s">
        <v>441</v>
      </c>
      <c r="B245" s="128" t="s">
        <v>323</v>
      </c>
      <c r="C245" s="98">
        <v>43927</v>
      </c>
      <c r="D245" s="134">
        <v>935</v>
      </c>
      <c r="E245" s="134" t="s">
        <v>324</v>
      </c>
      <c r="F245" s="134" t="s">
        <v>325</v>
      </c>
      <c r="G245" s="134" t="s">
        <v>451</v>
      </c>
      <c r="H245" s="134">
        <v>962102</v>
      </c>
      <c r="I245" s="128" t="s">
        <v>314</v>
      </c>
      <c r="J245" s="128" t="s">
        <v>218</v>
      </c>
      <c r="K245" s="193">
        <v>242</v>
      </c>
      <c r="L245" s="141">
        <v>238.267</v>
      </c>
      <c r="M245" s="124">
        <f t="shared" si="20"/>
        <v>3.7330000000000041</v>
      </c>
      <c r="N245" s="113">
        <f t="shared" si="21"/>
        <v>0.9845743801652892</v>
      </c>
    </row>
    <row r="246" spans="1:14" ht="15" hidden="1" customHeight="1">
      <c r="A246" s="134" t="s">
        <v>441</v>
      </c>
      <c r="B246" s="128" t="s">
        <v>323</v>
      </c>
      <c r="C246" s="98">
        <v>43927</v>
      </c>
      <c r="D246" s="134">
        <v>935</v>
      </c>
      <c r="E246" s="134" t="s">
        <v>324</v>
      </c>
      <c r="F246" s="134" t="s">
        <v>325</v>
      </c>
      <c r="G246" s="125" t="s">
        <v>452</v>
      </c>
      <c r="H246" s="125">
        <v>924717</v>
      </c>
      <c r="I246" s="128" t="s">
        <v>314</v>
      </c>
      <c r="J246" s="128" t="s">
        <v>217</v>
      </c>
      <c r="K246" s="193">
        <v>116</v>
      </c>
      <c r="L246" s="141">
        <v>34.435000000000002</v>
      </c>
      <c r="M246" s="124">
        <f t="shared" si="20"/>
        <v>81.564999999999998</v>
      </c>
      <c r="N246" s="113">
        <f t="shared" si="21"/>
        <v>0.29685344827586208</v>
      </c>
    </row>
    <row r="247" spans="1:14" ht="15" hidden="1" customHeight="1">
      <c r="A247" s="134" t="s">
        <v>441</v>
      </c>
      <c r="B247" s="128" t="s">
        <v>323</v>
      </c>
      <c r="C247" s="98">
        <v>43927</v>
      </c>
      <c r="D247" s="134">
        <v>935</v>
      </c>
      <c r="E247" s="134" t="s">
        <v>324</v>
      </c>
      <c r="F247" s="134" t="s">
        <v>325</v>
      </c>
      <c r="G247" s="134" t="s">
        <v>452</v>
      </c>
      <c r="H247" s="134">
        <v>924717</v>
      </c>
      <c r="I247" s="128" t="s">
        <v>314</v>
      </c>
      <c r="J247" s="128" t="s">
        <v>218</v>
      </c>
      <c r="K247" s="193">
        <v>84</v>
      </c>
      <c r="L247" s="141">
        <v>23.265999999999998</v>
      </c>
      <c r="M247" s="124">
        <f t="shared" si="20"/>
        <v>60.734000000000002</v>
      </c>
      <c r="N247" s="113">
        <f t="shared" si="21"/>
        <v>0.27697619047619043</v>
      </c>
    </row>
    <row r="248" spans="1:14" ht="15" hidden="1" customHeight="1">
      <c r="A248" s="125" t="s">
        <v>453</v>
      </c>
      <c r="B248" s="128" t="s">
        <v>323</v>
      </c>
      <c r="C248" s="98">
        <v>43930</v>
      </c>
      <c r="D248" s="125">
        <v>49</v>
      </c>
      <c r="E248" s="125" t="s">
        <v>310</v>
      </c>
      <c r="F248" s="125" t="s">
        <v>311</v>
      </c>
      <c r="G248" s="125" t="s">
        <v>438</v>
      </c>
      <c r="H248" s="125">
        <v>968436</v>
      </c>
      <c r="I248" s="125" t="s">
        <v>314</v>
      </c>
      <c r="J248" s="128" t="s">
        <v>217</v>
      </c>
      <c r="K248" s="193">
        <v>100</v>
      </c>
      <c r="L248" s="141">
        <v>100</v>
      </c>
      <c r="M248" s="124">
        <f t="shared" si="20"/>
        <v>0</v>
      </c>
      <c r="N248" s="113">
        <f t="shared" si="21"/>
        <v>1</v>
      </c>
    </row>
    <row r="249" spans="1:14" ht="15" hidden="1" customHeight="1">
      <c r="A249" s="139" t="s">
        <v>453</v>
      </c>
      <c r="B249" s="128" t="s">
        <v>323</v>
      </c>
      <c r="C249" s="98">
        <v>43930</v>
      </c>
      <c r="D249" s="139">
        <v>49</v>
      </c>
      <c r="E249" s="139" t="s">
        <v>310</v>
      </c>
      <c r="F249" s="139" t="s">
        <v>311</v>
      </c>
      <c r="G249" s="139" t="s">
        <v>438</v>
      </c>
      <c r="H249" s="139">
        <v>968436</v>
      </c>
      <c r="I249" s="139" t="s">
        <v>314</v>
      </c>
      <c r="J249" s="128" t="s">
        <v>218</v>
      </c>
      <c r="K249" s="193">
        <v>233</v>
      </c>
      <c r="L249" s="141">
        <v>233</v>
      </c>
      <c r="M249" s="124">
        <f t="shared" si="20"/>
        <v>0</v>
      </c>
      <c r="N249" s="113">
        <f t="shared" si="21"/>
        <v>1</v>
      </c>
    </row>
    <row r="250" spans="1:14" ht="15" hidden="1" customHeight="1">
      <c r="A250" s="139" t="s">
        <v>441</v>
      </c>
      <c r="B250" s="128" t="s">
        <v>323</v>
      </c>
      <c r="C250" s="98">
        <v>43929</v>
      </c>
      <c r="D250" s="125">
        <v>958</v>
      </c>
      <c r="E250" s="125" t="s">
        <v>324</v>
      </c>
      <c r="F250" s="125" t="s">
        <v>325</v>
      </c>
      <c r="G250" s="125" t="s">
        <v>454</v>
      </c>
      <c r="H250" s="125">
        <v>910617</v>
      </c>
      <c r="I250" s="139" t="s">
        <v>314</v>
      </c>
      <c r="J250" s="128" t="s">
        <v>217</v>
      </c>
      <c r="K250" s="193">
        <v>195</v>
      </c>
      <c r="L250" s="141">
        <v>195.52600000000001</v>
      </c>
      <c r="M250" s="124">
        <f t="shared" si="20"/>
        <v>-0.52600000000001046</v>
      </c>
      <c r="N250" s="113">
        <f t="shared" si="21"/>
        <v>1.0026974358974359</v>
      </c>
    </row>
    <row r="251" spans="1:14" ht="15" hidden="1" customHeight="1">
      <c r="A251" s="139" t="s">
        <v>441</v>
      </c>
      <c r="B251" s="128" t="s">
        <v>323</v>
      </c>
      <c r="C251" s="98">
        <v>43929</v>
      </c>
      <c r="D251" s="139">
        <v>958</v>
      </c>
      <c r="E251" s="139" t="s">
        <v>324</v>
      </c>
      <c r="F251" s="139" t="s">
        <v>325</v>
      </c>
      <c r="G251" s="139" t="s">
        <v>454</v>
      </c>
      <c r="H251" s="139">
        <v>910617</v>
      </c>
      <c r="I251" s="139" t="s">
        <v>314</v>
      </c>
      <c r="J251" s="128" t="s">
        <v>218</v>
      </c>
      <c r="K251" s="193">
        <v>140</v>
      </c>
      <c r="L251" s="141">
        <v>56.042999999999999</v>
      </c>
      <c r="M251" s="124">
        <f t="shared" si="20"/>
        <v>83.956999999999994</v>
      </c>
      <c r="N251" s="113">
        <f t="shared" si="21"/>
        <v>0.40030714285714286</v>
      </c>
    </row>
    <row r="252" spans="1:14" ht="15" hidden="1" customHeight="1">
      <c r="A252" s="139" t="s">
        <v>441</v>
      </c>
      <c r="B252" s="128" t="s">
        <v>323</v>
      </c>
      <c r="C252" s="98">
        <v>43929</v>
      </c>
      <c r="D252" s="139">
        <v>958</v>
      </c>
      <c r="E252" s="139" t="s">
        <v>324</v>
      </c>
      <c r="F252" s="139" t="s">
        <v>325</v>
      </c>
      <c r="G252" s="125" t="s">
        <v>455</v>
      </c>
      <c r="H252" s="125">
        <v>31015</v>
      </c>
      <c r="I252" s="139" t="s">
        <v>314</v>
      </c>
      <c r="J252" s="128" t="s">
        <v>217</v>
      </c>
      <c r="K252" s="193">
        <v>195</v>
      </c>
      <c r="L252" s="141">
        <v>88.302999999999997</v>
      </c>
      <c r="M252" s="124">
        <f t="shared" si="20"/>
        <v>106.697</v>
      </c>
      <c r="N252" s="113">
        <f t="shared" si="21"/>
        <v>0.45283589743589742</v>
      </c>
    </row>
    <row r="253" spans="1:14" ht="15" hidden="1" customHeight="1">
      <c r="A253" s="139" t="s">
        <v>441</v>
      </c>
      <c r="B253" s="128" t="s">
        <v>323</v>
      </c>
      <c r="C253" s="98">
        <v>43929</v>
      </c>
      <c r="D253" s="139">
        <v>958</v>
      </c>
      <c r="E253" s="139" t="s">
        <v>324</v>
      </c>
      <c r="F253" s="139" t="s">
        <v>325</v>
      </c>
      <c r="G253" s="139" t="s">
        <v>455</v>
      </c>
      <c r="H253" s="139">
        <v>31015</v>
      </c>
      <c r="I253" s="139" t="s">
        <v>314</v>
      </c>
      <c r="J253" s="128" t="s">
        <v>218</v>
      </c>
      <c r="K253" s="193">
        <v>140</v>
      </c>
      <c r="L253" s="141">
        <v>85.475999999999999</v>
      </c>
      <c r="M253" s="124">
        <f t="shared" si="20"/>
        <v>54.524000000000001</v>
      </c>
      <c r="N253" s="113">
        <f t="shared" si="21"/>
        <v>0.61054285714285716</v>
      </c>
    </row>
    <row r="254" spans="1:14" ht="15" hidden="1" customHeight="1">
      <c r="A254" s="139" t="s">
        <v>441</v>
      </c>
      <c r="B254" s="128" t="s">
        <v>323</v>
      </c>
      <c r="C254" s="98">
        <v>43929</v>
      </c>
      <c r="D254" s="139">
        <v>958</v>
      </c>
      <c r="E254" s="139" t="s">
        <v>324</v>
      </c>
      <c r="F254" s="139" t="s">
        <v>325</v>
      </c>
      <c r="G254" s="125" t="s">
        <v>456</v>
      </c>
      <c r="H254" s="125">
        <v>964054</v>
      </c>
      <c r="I254" s="139" t="s">
        <v>314</v>
      </c>
      <c r="J254" s="128" t="s">
        <v>217</v>
      </c>
      <c r="K254" s="193">
        <v>174</v>
      </c>
      <c r="L254" s="141">
        <v>174</v>
      </c>
      <c r="M254" s="124">
        <f t="shared" si="20"/>
        <v>0</v>
      </c>
      <c r="N254" s="113">
        <f t="shared" si="21"/>
        <v>1</v>
      </c>
    </row>
    <row r="255" spans="1:14" ht="15" hidden="1" customHeight="1">
      <c r="A255" s="139" t="s">
        <v>441</v>
      </c>
      <c r="B255" s="128" t="s">
        <v>323</v>
      </c>
      <c r="C255" s="98">
        <v>43929</v>
      </c>
      <c r="D255" s="139">
        <v>958</v>
      </c>
      <c r="E255" s="139" t="s">
        <v>324</v>
      </c>
      <c r="F255" s="139" t="s">
        <v>325</v>
      </c>
      <c r="G255" s="139" t="s">
        <v>456</v>
      </c>
      <c r="H255" s="139">
        <v>964054</v>
      </c>
      <c r="I255" s="139" t="s">
        <v>314</v>
      </c>
      <c r="J255" s="128" t="s">
        <v>218</v>
      </c>
      <c r="K255" s="193">
        <v>126</v>
      </c>
      <c r="L255" s="141">
        <v>126</v>
      </c>
      <c r="M255" s="124">
        <f t="shared" si="20"/>
        <v>0</v>
      </c>
      <c r="N255" s="113">
        <f t="shared" si="21"/>
        <v>1</v>
      </c>
    </row>
    <row r="256" spans="1:14" ht="15" hidden="1" customHeight="1">
      <c r="A256" s="139" t="s">
        <v>441</v>
      </c>
      <c r="B256" s="128" t="s">
        <v>323</v>
      </c>
      <c r="C256" s="98">
        <v>43929</v>
      </c>
      <c r="D256" s="139">
        <v>958</v>
      </c>
      <c r="E256" s="139" t="s">
        <v>324</v>
      </c>
      <c r="F256" s="139" t="s">
        <v>325</v>
      </c>
      <c r="G256" s="125" t="s">
        <v>457</v>
      </c>
      <c r="H256" s="125">
        <v>966410</v>
      </c>
      <c r="I256" s="139" t="s">
        <v>314</v>
      </c>
      <c r="J256" s="128" t="s">
        <v>217</v>
      </c>
      <c r="K256" s="193">
        <v>192</v>
      </c>
      <c r="L256" s="141">
        <v>136.893</v>
      </c>
      <c r="M256" s="124">
        <f t="shared" si="20"/>
        <v>55.106999999999999</v>
      </c>
      <c r="N256" s="113">
        <f t="shared" si="21"/>
        <v>0.712984375</v>
      </c>
    </row>
    <row r="257" spans="1:14" ht="15" hidden="1" customHeight="1">
      <c r="A257" s="139" t="s">
        <v>441</v>
      </c>
      <c r="B257" s="128" t="s">
        <v>323</v>
      </c>
      <c r="C257" s="98">
        <v>43929</v>
      </c>
      <c r="D257" s="139">
        <v>958</v>
      </c>
      <c r="E257" s="139" t="s">
        <v>324</v>
      </c>
      <c r="F257" s="139" t="s">
        <v>325</v>
      </c>
      <c r="G257" s="139" t="s">
        <v>457</v>
      </c>
      <c r="H257" s="139">
        <v>966410</v>
      </c>
      <c r="I257" s="139" t="s">
        <v>314</v>
      </c>
      <c r="J257" s="128" t="s">
        <v>218</v>
      </c>
      <c r="K257" s="193">
        <v>138</v>
      </c>
      <c r="L257" s="141">
        <v>193.453</v>
      </c>
      <c r="M257" s="124">
        <f t="shared" si="20"/>
        <v>-55.453000000000003</v>
      </c>
      <c r="N257" s="113">
        <f t="shared" si="21"/>
        <v>1.4018333333333333</v>
      </c>
    </row>
    <row r="258" spans="1:14" ht="15" hidden="1" customHeight="1">
      <c r="A258" s="125" t="s">
        <v>458</v>
      </c>
      <c r="B258" s="125" t="s">
        <v>309</v>
      </c>
      <c r="C258" s="98">
        <v>43934</v>
      </c>
      <c r="D258" s="125">
        <v>52</v>
      </c>
      <c r="E258" s="125" t="s">
        <v>310</v>
      </c>
      <c r="F258" s="125" t="s">
        <v>311</v>
      </c>
      <c r="G258" s="125" t="s">
        <v>312</v>
      </c>
      <c r="H258" s="125">
        <v>968165</v>
      </c>
      <c r="I258" s="143" t="s">
        <v>314</v>
      </c>
      <c r="J258" s="128" t="s">
        <v>217</v>
      </c>
      <c r="K258" s="257">
        <v>4</v>
      </c>
      <c r="L258" s="141">
        <v>22.949000000000002</v>
      </c>
      <c r="M258" s="259">
        <f>K258-(L258+L259)</f>
        <v>-53.323999999999998</v>
      </c>
      <c r="N258" s="261">
        <f>(L258+L259)/K258</f>
        <v>14.331</v>
      </c>
    </row>
    <row r="259" spans="1:14" ht="15" hidden="1" customHeight="1">
      <c r="A259" s="143" t="s">
        <v>458</v>
      </c>
      <c r="B259" s="143" t="s">
        <v>309</v>
      </c>
      <c r="C259" s="98">
        <v>43934</v>
      </c>
      <c r="D259" s="143">
        <v>52</v>
      </c>
      <c r="E259" s="143" t="s">
        <v>310</v>
      </c>
      <c r="F259" s="143" t="s">
        <v>311</v>
      </c>
      <c r="G259" s="125" t="s">
        <v>313</v>
      </c>
      <c r="H259" s="125">
        <v>968160</v>
      </c>
      <c r="I259" s="143" t="s">
        <v>314</v>
      </c>
      <c r="J259" s="128" t="s">
        <v>217</v>
      </c>
      <c r="K259" s="258"/>
      <c r="L259" s="141">
        <v>34.375</v>
      </c>
      <c r="M259" s="260"/>
      <c r="N259" s="262"/>
    </row>
    <row r="260" spans="1:14" ht="15" hidden="1" customHeight="1">
      <c r="A260" s="143" t="s">
        <v>458</v>
      </c>
      <c r="B260" s="143" t="s">
        <v>309</v>
      </c>
      <c r="C260" s="98">
        <v>43934</v>
      </c>
      <c r="D260" s="143">
        <v>52</v>
      </c>
      <c r="E260" s="143" t="s">
        <v>310</v>
      </c>
      <c r="F260" s="143" t="s">
        <v>311</v>
      </c>
      <c r="G260" s="143" t="s">
        <v>312</v>
      </c>
      <c r="H260" s="143">
        <v>968165</v>
      </c>
      <c r="I260" s="143" t="s">
        <v>314</v>
      </c>
      <c r="J260" s="128" t="s">
        <v>218</v>
      </c>
      <c r="K260" s="257">
        <v>66</v>
      </c>
      <c r="L260" s="141">
        <v>2.4740000000000002</v>
      </c>
      <c r="M260" s="259">
        <f>K260-(L260+L261)</f>
        <v>58.561</v>
      </c>
      <c r="N260" s="261">
        <f>(L260+L261)/K260</f>
        <v>0.11271212121212121</v>
      </c>
    </row>
    <row r="261" spans="1:14" ht="15" hidden="1" customHeight="1">
      <c r="A261" s="143" t="s">
        <v>458</v>
      </c>
      <c r="B261" s="143" t="s">
        <v>309</v>
      </c>
      <c r="C261" s="98">
        <v>43934</v>
      </c>
      <c r="D261" s="143">
        <v>52</v>
      </c>
      <c r="E261" s="143" t="s">
        <v>310</v>
      </c>
      <c r="F261" s="143" t="s">
        <v>311</v>
      </c>
      <c r="G261" s="143" t="s">
        <v>313</v>
      </c>
      <c r="H261" s="143">
        <v>968160</v>
      </c>
      <c r="I261" s="143" t="s">
        <v>314</v>
      </c>
      <c r="J261" s="128" t="s">
        <v>218</v>
      </c>
      <c r="K261" s="258"/>
      <c r="L261" s="141">
        <v>4.9649999999999999</v>
      </c>
      <c r="M261" s="260"/>
      <c r="N261" s="262"/>
    </row>
    <row r="262" spans="1:14" ht="15" hidden="1" customHeight="1">
      <c r="A262" s="125" t="s">
        <v>437</v>
      </c>
      <c r="B262" s="125" t="s">
        <v>323</v>
      </c>
      <c r="C262" s="98">
        <v>43934</v>
      </c>
      <c r="D262" s="125">
        <v>53</v>
      </c>
      <c r="E262" s="143" t="s">
        <v>310</v>
      </c>
      <c r="F262" s="143" t="s">
        <v>311</v>
      </c>
      <c r="G262" s="125" t="s">
        <v>459</v>
      </c>
      <c r="H262" s="125">
        <v>968799</v>
      </c>
      <c r="I262" s="125" t="s">
        <v>314</v>
      </c>
      <c r="J262" s="128" t="s">
        <v>217</v>
      </c>
      <c r="K262" s="193">
        <v>100</v>
      </c>
      <c r="L262" s="141">
        <v>260</v>
      </c>
      <c r="M262" s="124">
        <f>K262-L262</f>
        <v>-160</v>
      </c>
      <c r="N262" s="113">
        <f>L262/K262</f>
        <v>2.6</v>
      </c>
    </row>
    <row r="263" spans="1:14" ht="15" hidden="1" customHeight="1">
      <c r="A263" s="143" t="s">
        <v>437</v>
      </c>
      <c r="B263" s="143" t="s">
        <v>323</v>
      </c>
      <c r="C263" s="98">
        <v>43934</v>
      </c>
      <c r="D263" s="143">
        <v>53</v>
      </c>
      <c r="E263" s="143" t="s">
        <v>310</v>
      </c>
      <c r="F263" s="143" t="s">
        <v>311</v>
      </c>
      <c r="G263" s="143" t="s">
        <v>459</v>
      </c>
      <c r="H263" s="143">
        <v>968799</v>
      </c>
      <c r="I263" s="143" t="s">
        <v>314</v>
      </c>
      <c r="J263" s="128" t="s">
        <v>218</v>
      </c>
      <c r="K263" s="193">
        <v>300</v>
      </c>
      <c r="L263" s="141">
        <v>140</v>
      </c>
      <c r="M263" s="124">
        <f>K263-L263</f>
        <v>160</v>
      </c>
      <c r="N263" s="113">
        <f>L263/K263</f>
        <v>0.46666666666666667</v>
      </c>
    </row>
    <row r="264" spans="1:14" ht="15" hidden="1" customHeight="1">
      <c r="A264" s="125" t="s">
        <v>460</v>
      </c>
      <c r="B264" s="125" t="s">
        <v>309</v>
      </c>
      <c r="C264" s="98">
        <v>43935</v>
      </c>
      <c r="D264" s="125">
        <v>55</v>
      </c>
      <c r="E264" s="125" t="s">
        <v>310</v>
      </c>
      <c r="F264" s="125" t="s">
        <v>311</v>
      </c>
      <c r="G264" s="125" t="s">
        <v>316</v>
      </c>
      <c r="H264" s="125">
        <v>967145</v>
      </c>
      <c r="I264" s="146" t="s">
        <v>314</v>
      </c>
      <c r="J264" s="148" t="s">
        <v>217</v>
      </c>
      <c r="K264" s="257">
        <v>2</v>
      </c>
      <c r="L264" s="125"/>
      <c r="M264" s="259">
        <f>K264-(L264+L265+L266+L267)</f>
        <v>2</v>
      </c>
      <c r="N264" s="261">
        <f>(L264+L265+L266+L267)/K264</f>
        <v>0</v>
      </c>
    </row>
    <row r="265" spans="1:14" ht="15" hidden="1" customHeight="1">
      <c r="A265" s="146" t="s">
        <v>460</v>
      </c>
      <c r="B265" s="146" t="s">
        <v>309</v>
      </c>
      <c r="C265" s="98">
        <v>43935</v>
      </c>
      <c r="D265" s="146">
        <v>55</v>
      </c>
      <c r="E265" s="146" t="s">
        <v>310</v>
      </c>
      <c r="F265" s="146" t="s">
        <v>311</v>
      </c>
      <c r="G265" s="125" t="s">
        <v>317</v>
      </c>
      <c r="H265" s="125">
        <v>967342</v>
      </c>
      <c r="I265" s="146" t="s">
        <v>314</v>
      </c>
      <c r="J265" s="148" t="s">
        <v>217</v>
      </c>
      <c r="K265" s="263"/>
      <c r="L265" s="125"/>
      <c r="M265" s="264"/>
      <c r="N265" s="265"/>
    </row>
    <row r="266" spans="1:14" ht="15" hidden="1" customHeight="1">
      <c r="A266" s="146" t="s">
        <v>460</v>
      </c>
      <c r="B266" s="146" t="s">
        <v>309</v>
      </c>
      <c r="C266" s="98">
        <v>43935</v>
      </c>
      <c r="D266" s="146">
        <v>55</v>
      </c>
      <c r="E266" s="146" t="s">
        <v>310</v>
      </c>
      <c r="F266" s="146" t="s">
        <v>311</v>
      </c>
      <c r="G266" s="125" t="s">
        <v>318</v>
      </c>
      <c r="H266" s="125">
        <v>967281</v>
      </c>
      <c r="I266" s="146" t="s">
        <v>314</v>
      </c>
      <c r="J266" s="148" t="s">
        <v>217</v>
      </c>
      <c r="K266" s="263"/>
      <c r="L266" s="125"/>
      <c r="M266" s="264"/>
      <c r="N266" s="265"/>
    </row>
    <row r="267" spans="1:14" ht="15" hidden="1" customHeight="1">
      <c r="A267" s="146" t="s">
        <v>460</v>
      </c>
      <c r="B267" s="146" t="s">
        <v>309</v>
      </c>
      <c r="C267" s="98">
        <v>43935</v>
      </c>
      <c r="D267" s="146">
        <v>55</v>
      </c>
      <c r="E267" s="146" t="s">
        <v>310</v>
      </c>
      <c r="F267" s="146" t="s">
        <v>311</v>
      </c>
      <c r="G267" s="125" t="s">
        <v>461</v>
      </c>
      <c r="H267" s="125">
        <v>967484</v>
      </c>
      <c r="I267" s="146" t="s">
        <v>314</v>
      </c>
      <c r="J267" s="148" t="s">
        <v>217</v>
      </c>
      <c r="K267" s="258"/>
      <c r="L267" s="125"/>
      <c r="M267" s="260"/>
      <c r="N267" s="262"/>
    </row>
    <row r="268" spans="1:14" ht="15" hidden="1" customHeight="1">
      <c r="A268" s="146" t="s">
        <v>460</v>
      </c>
      <c r="B268" s="146" t="s">
        <v>309</v>
      </c>
      <c r="C268" s="98">
        <v>43935</v>
      </c>
      <c r="D268" s="146">
        <v>55</v>
      </c>
      <c r="E268" s="146" t="s">
        <v>310</v>
      </c>
      <c r="F268" s="146" t="s">
        <v>311</v>
      </c>
      <c r="G268" s="146" t="s">
        <v>316</v>
      </c>
      <c r="H268" s="146">
        <v>967145</v>
      </c>
      <c r="I268" s="146" t="s">
        <v>314</v>
      </c>
      <c r="J268" s="148" t="s">
        <v>218</v>
      </c>
      <c r="K268" s="257">
        <v>70</v>
      </c>
      <c r="L268" s="125"/>
      <c r="M268" s="259">
        <f>K268-(L268+L269+L270+L271)</f>
        <v>70</v>
      </c>
      <c r="N268" s="261">
        <f>(L268+L269+L270+L271)/K268</f>
        <v>0</v>
      </c>
    </row>
    <row r="269" spans="1:14" ht="15" hidden="1" customHeight="1">
      <c r="A269" s="146" t="s">
        <v>460</v>
      </c>
      <c r="B269" s="146" t="s">
        <v>309</v>
      </c>
      <c r="C269" s="98">
        <v>43935</v>
      </c>
      <c r="D269" s="146">
        <v>55</v>
      </c>
      <c r="E269" s="146" t="s">
        <v>310</v>
      </c>
      <c r="F269" s="146" t="s">
        <v>311</v>
      </c>
      <c r="G269" s="146" t="s">
        <v>317</v>
      </c>
      <c r="H269" s="146">
        <v>967342</v>
      </c>
      <c r="I269" s="146" t="s">
        <v>314</v>
      </c>
      <c r="J269" s="148" t="s">
        <v>218</v>
      </c>
      <c r="K269" s="263"/>
      <c r="L269" s="125"/>
      <c r="M269" s="264"/>
      <c r="N269" s="265"/>
    </row>
    <row r="270" spans="1:14" ht="15" hidden="1" customHeight="1">
      <c r="A270" s="146" t="s">
        <v>460</v>
      </c>
      <c r="B270" s="146" t="s">
        <v>309</v>
      </c>
      <c r="C270" s="98">
        <v>43935</v>
      </c>
      <c r="D270" s="146">
        <v>55</v>
      </c>
      <c r="E270" s="146" t="s">
        <v>310</v>
      </c>
      <c r="F270" s="146" t="s">
        <v>311</v>
      </c>
      <c r="G270" s="146" t="s">
        <v>318</v>
      </c>
      <c r="H270" s="146">
        <v>967281</v>
      </c>
      <c r="I270" s="146" t="s">
        <v>314</v>
      </c>
      <c r="J270" s="148" t="s">
        <v>218</v>
      </c>
      <c r="K270" s="263"/>
      <c r="L270" s="125"/>
      <c r="M270" s="264"/>
      <c r="N270" s="265"/>
    </row>
    <row r="271" spans="1:14" ht="15" hidden="1" customHeight="1">
      <c r="A271" s="146" t="s">
        <v>460</v>
      </c>
      <c r="B271" s="146" t="s">
        <v>309</v>
      </c>
      <c r="C271" s="98">
        <v>43935</v>
      </c>
      <c r="D271" s="146">
        <v>55</v>
      </c>
      <c r="E271" s="146" t="s">
        <v>310</v>
      </c>
      <c r="F271" s="146" t="s">
        <v>311</v>
      </c>
      <c r="G271" s="146" t="s">
        <v>461</v>
      </c>
      <c r="H271" s="146">
        <v>967484</v>
      </c>
      <c r="I271" s="146" t="s">
        <v>314</v>
      </c>
      <c r="J271" s="148" t="s">
        <v>218</v>
      </c>
      <c r="K271" s="258"/>
      <c r="L271" s="125"/>
      <c r="M271" s="260"/>
      <c r="N271" s="262"/>
    </row>
    <row r="272" spans="1:14" ht="15" hidden="1" customHeight="1">
      <c r="A272" s="125" t="s">
        <v>462</v>
      </c>
      <c r="B272" s="125" t="s">
        <v>323</v>
      </c>
      <c r="C272" s="98">
        <v>43921</v>
      </c>
      <c r="D272" s="125">
        <v>920</v>
      </c>
      <c r="E272" s="125" t="s">
        <v>324</v>
      </c>
      <c r="F272" s="125" t="s">
        <v>325</v>
      </c>
      <c r="G272" s="125" t="s">
        <v>463</v>
      </c>
      <c r="H272" s="125">
        <v>923960</v>
      </c>
      <c r="I272" s="147" t="s">
        <v>314</v>
      </c>
      <c r="J272" s="128" t="s">
        <v>217</v>
      </c>
      <c r="K272" s="193">
        <v>11</v>
      </c>
      <c r="L272" s="141">
        <v>11</v>
      </c>
      <c r="M272" s="124">
        <f>K272-L272</f>
        <v>0</v>
      </c>
      <c r="N272" s="113">
        <f>L272/K272</f>
        <v>1</v>
      </c>
    </row>
    <row r="273" spans="1:14" ht="15" hidden="1" customHeight="1">
      <c r="A273" s="147" t="s">
        <v>462</v>
      </c>
      <c r="B273" s="147" t="s">
        <v>323</v>
      </c>
      <c r="C273" s="98">
        <v>43921</v>
      </c>
      <c r="D273" s="147">
        <v>920</v>
      </c>
      <c r="E273" s="147" t="s">
        <v>324</v>
      </c>
      <c r="F273" s="147" t="s">
        <v>325</v>
      </c>
      <c r="G273" s="147" t="s">
        <v>463</v>
      </c>
      <c r="H273" s="147">
        <v>923960</v>
      </c>
      <c r="I273" s="147" t="s">
        <v>314</v>
      </c>
      <c r="J273" s="128" t="s">
        <v>218</v>
      </c>
      <c r="K273" s="193">
        <v>27</v>
      </c>
      <c r="L273" s="141">
        <v>27</v>
      </c>
      <c r="M273" s="124">
        <f t="shared" ref="M273:M299" si="22">K273-L273</f>
        <v>0</v>
      </c>
      <c r="N273" s="113">
        <f t="shared" ref="N273:N299" si="23">L273/K273</f>
        <v>1</v>
      </c>
    </row>
    <row r="274" spans="1:14" ht="15" hidden="1" customHeight="1">
      <c r="A274" s="147" t="s">
        <v>462</v>
      </c>
      <c r="B274" s="147" t="s">
        <v>323</v>
      </c>
      <c r="C274" s="98">
        <v>43921</v>
      </c>
      <c r="D274" s="147">
        <v>920</v>
      </c>
      <c r="E274" s="147" t="s">
        <v>324</v>
      </c>
      <c r="F274" s="147" t="s">
        <v>325</v>
      </c>
      <c r="G274" s="125" t="s">
        <v>349</v>
      </c>
      <c r="H274" s="125">
        <v>955486</v>
      </c>
      <c r="I274" s="147" t="s">
        <v>314</v>
      </c>
      <c r="J274" s="128" t="s">
        <v>217</v>
      </c>
      <c r="K274" s="193">
        <v>145</v>
      </c>
      <c r="L274" s="141">
        <v>234.715</v>
      </c>
      <c r="M274" s="124">
        <f t="shared" si="22"/>
        <v>-89.715000000000003</v>
      </c>
      <c r="N274" s="113">
        <f t="shared" si="23"/>
        <v>1.6187241379310344</v>
      </c>
    </row>
    <row r="275" spans="1:14" ht="15" hidden="1" customHeight="1">
      <c r="A275" s="147" t="s">
        <v>462</v>
      </c>
      <c r="B275" s="147" t="s">
        <v>323</v>
      </c>
      <c r="C275" s="98">
        <v>43921</v>
      </c>
      <c r="D275" s="147">
        <v>920</v>
      </c>
      <c r="E275" s="147" t="s">
        <v>324</v>
      </c>
      <c r="F275" s="147" t="s">
        <v>325</v>
      </c>
      <c r="G275" s="147" t="s">
        <v>349</v>
      </c>
      <c r="H275" s="147">
        <v>955486</v>
      </c>
      <c r="I275" s="147" t="s">
        <v>314</v>
      </c>
      <c r="J275" s="128" t="s">
        <v>218</v>
      </c>
      <c r="K275" s="193">
        <v>355</v>
      </c>
      <c r="L275" s="141">
        <v>162.21100000000001</v>
      </c>
      <c r="M275" s="124">
        <f t="shared" si="22"/>
        <v>192.78899999999999</v>
      </c>
      <c r="N275" s="113">
        <f t="shared" si="23"/>
        <v>0.4569323943661972</v>
      </c>
    </row>
    <row r="276" spans="1:14" ht="15" hidden="1" customHeight="1">
      <c r="A276" s="147" t="s">
        <v>462</v>
      </c>
      <c r="B276" s="147" t="s">
        <v>323</v>
      </c>
      <c r="C276" s="98">
        <v>43921</v>
      </c>
      <c r="D276" s="147">
        <v>920</v>
      </c>
      <c r="E276" s="147" t="s">
        <v>324</v>
      </c>
      <c r="F276" s="147" t="s">
        <v>325</v>
      </c>
      <c r="G276" s="125" t="s">
        <v>464</v>
      </c>
      <c r="H276" s="125">
        <v>967820</v>
      </c>
      <c r="I276" s="147" t="s">
        <v>314</v>
      </c>
      <c r="J276" s="128" t="s">
        <v>217</v>
      </c>
      <c r="K276" s="193">
        <v>58</v>
      </c>
      <c r="L276" s="141">
        <v>64.763000000000005</v>
      </c>
      <c r="M276" s="124">
        <f t="shared" si="22"/>
        <v>-6.7630000000000052</v>
      </c>
      <c r="N276" s="113">
        <f t="shared" si="23"/>
        <v>1.1166034482758622</v>
      </c>
    </row>
    <row r="277" spans="1:14" ht="15" hidden="1" customHeight="1">
      <c r="A277" s="147" t="s">
        <v>462</v>
      </c>
      <c r="B277" s="147" t="s">
        <v>323</v>
      </c>
      <c r="C277" s="98">
        <v>43921</v>
      </c>
      <c r="D277" s="147">
        <v>920</v>
      </c>
      <c r="E277" s="147" t="s">
        <v>324</v>
      </c>
      <c r="F277" s="147" t="s">
        <v>325</v>
      </c>
      <c r="G277" s="147" t="s">
        <v>464</v>
      </c>
      <c r="H277" s="147">
        <v>967820</v>
      </c>
      <c r="I277" s="147" t="s">
        <v>314</v>
      </c>
      <c r="J277" s="128" t="s">
        <v>218</v>
      </c>
      <c r="K277" s="193">
        <v>142</v>
      </c>
      <c r="L277" s="141">
        <v>135.23599999999999</v>
      </c>
      <c r="M277" s="124">
        <f t="shared" si="22"/>
        <v>6.76400000000001</v>
      </c>
      <c r="N277" s="113">
        <f t="shared" si="23"/>
        <v>0.95236619718309856</v>
      </c>
    </row>
    <row r="278" spans="1:14" ht="15" hidden="1" customHeight="1">
      <c r="A278" s="147" t="s">
        <v>462</v>
      </c>
      <c r="B278" s="147" t="s">
        <v>323</v>
      </c>
      <c r="C278" s="98">
        <v>43921</v>
      </c>
      <c r="D278" s="147">
        <v>920</v>
      </c>
      <c r="E278" s="147" t="s">
        <v>324</v>
      </c>
      <c r="F278" s="147" t="s">
        <v>325</v>
      </c>
      <c r="G278" s="125" t="s">
        <v>465</v>
      </c>
      <c r="H278" s="125">
        <v>953832</v>
      </c>
      <c r="I278" s="147" t="s">
        <v>314</v>
      </c>
      <c r="J278" s="128" t="s">
        <v>217</v>
      </c>
      <c r="K278" s="193">
        <v>58</v>
      </c>
      <c r="L278" s="141">
        <v>102.265</v>
      </c>
      <c r="M278" s="124">
        <f t="shared" si="22"/>
        <v>-44.265000000000001</v>
      </c>
      <c r="N278" s="113">
        <f t="shared" si="23"/>
        <v>1.7631896551724138</v>
      </c>
    </row>
    <row r="279" spans="1:14" ht="15" hidden="1" customHeight="1">
      <c r="A279" s="147" t="s">
        <v>462</v>
      </c>
      <c r="B279" s="147" t="s">
        <v>323</v>
      </c>
      <c r="C279" s="98">
        <v>43921</v>
      </c>
      <c r="D279" s="147">
        <v>920</v>
      </c>
      <c r="E279" s="147" t="s">
        <v>324</v>
      </c>
      <c r="F279" s="147" t="s">
        <v>325</v>
      </c>
      <c r="G279" s="147" t="s">
        <v>465</v>
      </c>
      <c r="H279" s="147">
        <v>953832</v>
      </c>
      <c r="I279" s="147" t="s">
        <v>314</v>
      </c>
      <c r="J279" s="128" t="s">
        <v>218</v>
      </c>
      <c r="K279" s="193">
        <v>142</v>
      </c>
      <c r="L279" s="141">
        <v>97.734999999999999</v>
      </c>
      <c r="M279" s="124">
        <f t="shared" si="22"/>
        <v>44.265000000000001</v>
      </c>
      <c r="N279" s="113">
        <f t="shared" si="23"/>
        <v>0.68827464788732395</v>
      </c>
    </row>
    <row r="280" spans="1:14" ht="15" hidden="1" customHeight="1">
      <c r="A280" s="147" t="s">
        <v>462</v>
      </c>
      <c r="B280" s="147" t="s">
        <v>323</v>
      </c>
      <c r="C280" s="98">
        <v>43921</v>
      </c>
      <c r="D280" s="147">
        <v>920</v>
      </c>
      <c r="E280" s="147" t="s">
        <v>324</v>
      </c>
      <c r="F280" s="147" t="s">
        <v>325</v>
      </c>
      <c r="G280" s="125" t="s">
        <v>342</v>
      </c>
      <c r="H280" s="125">
        <v>966342</v>
      </c>
      <c r="I280" s="147" t="s">
        <v>314</v>
      </c>
      <c r="J280" s="128" t="s">
        <v>217</v>
      </c>
      <c r="K280" s="193">
        <v>87</v>
      </c>
      <c r="L280" s="125"/>
      <c r="M280" s="124">
        <f t="shared" si="22"/>
        <v>87</v>
      </c>
      <c r="N280" s="113">
        <f t="shared" si="23"/>
        <v>0</v>
      </c>
    </row>
    <row r="281" spans="1:14" ht="15" hidden="1" customHeight="1">
      <c r="A281" s="147" t="s">
        <v>462</v>
      </c>
      <c r="B281" s="147" t="s">
        <v>323</v>
      </c>
      <c r="C281" s="98">
        <v>43921</v>
      </c>
      <c r="D281" s="147">
        <v>920</v>
      </c>
      <c r="E281" s="147" t="s">
        <v>324</v>
      </c>
      <c r="F281" s="147" t="s">
        <v>325</v>
      </c>
      <c r="G281" s="147" t="s">
        <v>342</v>
      </c>
      <c r="H281" s="147">
        <v>966342</v>
      </c>
      <c r="I281" s="147" t="s">
        <v>314</v>
      </c>
      <c r="J281" s="128" t="s">
        <v>218</v>
      </c>
      <c r="K281" s="193">
        <v>213</v>
      </c>
      <c r="L281" s="125"/>
      <c r="M281" s="124">
        <f t="shared" si="22"/>
        <v>213</v>
      </c>
      <c r="N281" s="113">
        <f t="shared" si="23"/>
        <v>0</v>
      </c>
    </row>
    <row r="282" spans="1:14" ht="15" hidden="1" customHeight="1">
      <c r="A282" s="147" t="s">
        <v>462</v>
      </c>
      <c r="B282" s="147" t="s">
        <v>323</v>
      </c>
      <c r="C282" s="98">
        <v>43921</v>
      </c>
      <c r="D282" s="147">
        <v>920</v>
      </c>
      <c r="E282" s="147" t="s">
        <v>324</v>
      </c>
      <c r="F282" s="147" t="s">
        <v>325</v>
      </c>
      <c r="G282" s="125" t="s">
        <v>466</v>
      </c>
      <c r="H282" s="125">
        <v>961133</v>
      </c>
      <c r="I282" s="147" t="s">
        <v>314</v>
      </c>
      <c r="J282" s="128" t="s">
        <v>217</v>
      </c>
      <c r="K282" s="193">
        <v>116</v>
      </c>
      <c r="L282" s="141">
        <v>155.11699999999999</v>
      </c>
      <c r="M282" s="124">
        <f t="shared" si="22"/>
        <v>-39.11699999999999</v>
      </c>
      <c r="N282" s="113">
        <f t="shared" si="23"/>
        <v>1.3372155172413793</v>
      </c>
    </row>
    <row r="283" spans="1:14" ht="15" hidden="1" customHeight="1">
      <c r="A283" s="147" t="s">
        <v>462</v>
      </c>
      <c r="B283" s="147" t="s">
        <v>323</v>
      </c>
      <c r="C283" s="98">
        <v>43921</v>
      </c>
      <c r="D283" s="147">
        <v>920</v>
      </c>
      <c r="E283" s="147" t="s">
        <v>324</v>
      </c>
      <c r="F283" s="147" t="s">
        <v>325</v>
      </c>
      <c r="G283" s="147" t="s">
        <v>466</v>
      </c>
      <c r="H283" s="147">
        <v>961133</v>
      </c>
      <c r="I283" s="147" t="s">
        <v>314</v>
      </c>
      <c r="J283" s="128" t="s">
        <v>218</v>
      </c>
      <c r="K283" s="193">
        <v>284</v>
      </c>
      <c r="L283" s="141">
        <v>239.28200000000001</v>
      </c>
      <c r="M283" s="124">
        <f t="shared" si="22"/>
        <v>44.717999999999989</v>
      </c>
      <c r="N283" s="113">
        <f t="shared" si="23"/>
        <v>0.84254225352112677</v>
      </c>
    </row>
    <row r="284" spans="1:14" ht="15" hidden="1" customHeight="1">
      <c r="A284" s="147" t="s">
        <v>462</v>
      </c>
      <c r="B284" s="147" t="s">
        <v>323</v>
      </c>
      <c r="C284" s="98">
        <v>43921</v>
      </c>
      <c r="D284" s="147">
        <v>920</v>
      </c>
      <c r="E284" s="147" t="s">
        <v>324</v>
      </c>
      <c r="F284" s="147" t="s">
        <v>325</v>
      </c>
      <c r="G284" s="125" t="s">
        <v>467</v>
      </c>
      <c r="H284" s="125">
        <v>958563</v>
      </c>
      <c r="I284" s="147" t="s">
        <v>314</v>
      </c>
      <c r="J284" s="128" t="s">
        <v>217</v>
      </c>
      <c r="K284" s="193">
        <v>49</v>
      </c>
      <c r="L284" s="141">
        <v>37.682000000000002</v>
      </c>
      <c r="M284" s="124">
        <f t="shared" si="22"/>
        <v>11.317999999999998</v>
      </c>
      <c r="N284" s="113">
        <f t="shared" si="23"/>
        <v>0.76902040816326533</v>
      </c>
    </row>
    <row r="285" spans="1:14" ht="15" hidden="1" customHeight="1">
      <c r="A285" s="147" t="s">
        <v>462</v>
      </c>
      <c r="B285" s="147" t="s">
        <v>323</v>
      </c>
      <c r="C285" s="98">
        <v>43921</v>
      </c>
      <c r="D285" s="147">
        <v>920</v>
      </c>
      <c r="E285" s="147" t="s">
        <v>324</v>
      </c>
      <c r="F285" s="147" t="s">
        <v>325</v>
      </c>
      <c r="G285" s="147" t="s">
        <v>467</v>
      </c>
      <c r="H285" s="147">
        <v>958563</v>
      </c>
      <c r="I285" s="147" t="s">
        <v>314</v>
      </c>
      <c r="J285" s="128" t="s">
        <v>218</v>
      </c>
      <c r="K285" s="193">
        <v>121</v>
      </c>
      <c r="L285" s="141">
        <v>130.44300000000001</v>
      </c>
      <c r="M285" s="124">
        <f t="shared" si="22"/>
        <v>-9.4430000000000121</v>
      </c>
      <c r="N285" s="113">
        <f t="shared" si="23"/>
        <v>1.0780413223140497</v>
      </c>
    </row>
    <row r="286" spans="1:14" ht="15" hidden="1" customHeight="1">
      <c r="A286" s="147" t="s">
        <v>462</v>
      </c>
      <c r="B286" s="147" t="s">
        <v>323</v>
      </c>
      <c r="C286" s="98">
        <v>43921</v>
      </c>
      <c r="D286" s="147">
        <v>920</v>
      </c>
      <c r="E286" s="147" t="s">
        <v>324</v>
      </c>
      <c r="F286" s="147" t="s">
        <v>325</v>
      </c>
      <c r="G286" s="125" t="s">
        <v>409</v>
      </c>
      <c r="H286" s="125">
        <v>966146</v>
      </c>
      <c r="I286" s="147" t="s">
        <v>314</v>
      </c>
      <c r="J286" s="128" t="s">
        <v>217</v>
      </c>
      <c r="K286" s="193">
        <v>109</v>
      </c>
      <c r="L286" s="141">
        <v>162.72800000000001</v>
      </c>
      <c r="M286" s="124">
        <f t="shared" si="22"/>
        <v>-53.728000000000009</v>
      </c>
      <c r="N286" s="113">
        <f t="shared" si="23"/>
        <v>1.4929174311926607</v>
      </c>
    </row>
    <row r="287" spans="1:14" ht="15" hidden="1" customHeight="1">
      <c r="A287" s="147" t="s">
        <v>462</v>
      </c>
      <c r="B287" s="147" t="s">
        <v>323</v>
      </c>
      <c r="C287" s="98">
        <v>43921</v>
      </c>
      <c r="D287" s="147">
        <v>920</v>
      </c>
      <c r="E287" s="147" t="s">
        <v>324</v>
      </c>
      <c r="F287" s="147" t="s">
        <v>325</v>
      </c>
      <c r="G287" s="147" t="s">
        <v>409</v>
      </c>
      <c r="H287" s="147">
        <v>966146</v>
      </c>
      <c r="I287" s="147" t="s">
        <v>314</v>
      </c>
      <c r="J287" s="128" t="s">
        <v>218</v>
      </c>
      <c r="K287" s="193">
        <v>266.5</v>
      </c>
      <c r="L287" s="141">
        <v>212.77199999999999</v>
      </c>
      <c r="M287" s="124">
        <f t="shared" si="22"/>
        <v>53.728000000000009</v>
      </c>
      <c r="N287" s="113">
        <f t="shared" si="23"/>
        <v>0.79839399624765472</v>
      </c>
    </row>
    <row r="288" spans="1:14" ht="15" hidden="1" customHeight="1">
      <c r="A288" s="147" t="s">
        <v>462</v>
      </c>
      <c r="B288" s="147" t="s">
        <v>323</v>
      </c>
      <c r="C288" s="98">
        <v>43921</v>
      </c>
      <c r="D288" s="147">
        <v>920</v>
      </c>
      <c r="E288" s="147" t="s">
        <v>324</v>
      </c>
      <c r="F288" s="147" t="s">
        <v>325</v>
      </c>
      <c r="G288" s="125" t="s">
        <v>410</v>
      </c>
      <c r="H288" s="125">
        <v>959370</v>
      </c>
      <c r="I288" s="147" t="s">
        <v>314</v>
      </c>
      <c r="J288" s="128" t="s">
        <v>217</v>
      </c>
      <c r="K288" s="193">
        <v>109</v>
      </c>
      <c r="L288" s="141">
        <v>156.90299999999999</v>
      </c>
      <c r="M288" s="124">
        <f t="shared" si="22"/>
        <v>-47.902999999999992</v>
      </c>
      <c r="N288" s="113">
        <f t="shared" si="23"/>
        <v>1.4394770642201835</v>
      </c>
    </row>
    <row r="289" spans="1:14" ht="15" hidden="1" customHeight="1">
      <c r="A289" s="147" t="s">
        <v>462</v>
      </c>
      <c r="B289" s="147" t="s">
        <v>323</v>
      </c>
      <c r="C289" s="98">
        <v>43921</v>
      </c>
      <c r="D289" s="147">
        <v>920</v>
      </c>
      <c r="E289" s="147" t="s">
        <v>324</v>
      </c>
      <c r="F289" s="147" t="s">
        <v>325</v>
      </c>
      <c r="G289" s="147" t="s">
        <v>410</v>
      </c>
      <c r="H289" s="147">
        <v>959370</v>
      </c>
      <c r="I289" s="147" t="s">
        <v>314</v>
      </c>
      <c r="J289" s="128" t="s">
        <v>218</v>
      </c>
      <c r="K289" s="193">
        <v>266.5</v>
      </c>
      <c r="L289" s="141">
        <v>218.59700000000001</v>
      </c>
      <c r="M289" s="124">
        <f t="shared" si="22"/>
        <v>47.902999999999992</v>
      </c>
      <c r="N289" s="113">
        <f t="shared" si="23"/>
        <v>0.82025140712945599</v>
      </c>
    </row>
    <row r="290" spans="1:14" ht="15" hidden="1" customHeight="1">
      <c r="A290" s="147" t="s">
        <v>462</v>
      </c>
      <c r="B290" s="147" t="s">
        <v>323</v>
      </c>
      <c r="C290" s="98">
        <v>43921</v>
      </c>
      <c r="D290" s="147">
        <v>920</v>
      </c>
      <c r="E290" s="147" t="s">
        <v>324</v>
      </c>
      <c r="F290" s="147" t="s">
        <v>325</v>
      </c>
      <c r="G290" s="125" t="s">
        <v>468</v>
      </c>
      <c r="H290" s="125">
        <v>953964</v>
      </c>
      <c r="I290" s="147" t="s">
        <v>314</v>
      </c>
      <c r="J290" s="128" t="s">
        <v>217</v>
      </c>
      <c r="K290" s="193">
        <v>139</v>
      </c>
      <c r="L290" s="141">
        <v>139</v>
      </c>
      <c r="M290" s="124">
        <f t="shared" si="22"/>
        <v>0</v>
      </c>
      <c r="N290" s="113">
        <f t="shared" si="23"/>
        <v>1</v>
      </c>
    </row>
    <row r="291" spans="1:14" ht="15" hidden="1" customHeight="1">
      <c r="A291" s="147" t="s">
        <v>462</v>
      </c>
      <c r="B291" s="147" t="s">
        <v>323</v>
      </c>
      <c r="C291" s="98">
        <v>43921</v>
      </c>
      <c r="D291" s="147">
        <v>920</v>
      </c>
      <c r="E291" s="147" t="s">
        <v>324</v>
      </c>
      <c r="F291" s="147" t="s">
        <v>325</v>
      </c>
      <c r="G291" s="147" t="s">
        <v>468</v>
      </c>
      <c r="H291" s="147">
        <v>953964</v>
      </c>
      <c r="I291" s="147" t="s">
        <v>314</v>
      </c>
      <c r="J291" s="128" t="s">
        <v>218</v>
      </c>
      <c r="K291" s="193">
        <v>341</v>
      </c>
      <c r="L291" s="141">
        <v>310.34500000000003</v>
      </c>
      <c r="M291" s="124">
        <f t="shared" si="22"/>
        <v>30.654999999999973</v>
      </c>
      <c r="N291" s="113">
        <f t="shared" si="23"/>
        <v>0.91010263929618773</v>
      </c>
    </row>
    <row r="292" spans="1:14" ht="15" hidden="1" customHeight="1">
      <c r="A292" s="147" t="s">
        <v>462</v>
      </c>
      <c r="B292" s="147" t="s">
        <v>323</v>
      </c>
      <c r="C292" s="98">
        <v>43921</v>
      </c>
      <c r="D292" s="147">
        <v>920</v>
      </c>
      <c r="E292" s="147" t="s">
        <v>324</v>
      </c>
      <c r="F292" s="147" t="s">
        <v>325</v>
      </c>
      <c r="G292" s="125" t="s">
        <v>469</v>
      </c>
      <c r="H292" s="125">
        <v>968716</v>
      </c>
      <c r="I292" s="147" t="s">
        <v>314</v>
      </c>
      <c r="J292" s="128" t="s">
        <v>217</v>
      </c>
      <c r="K292" s="193">
        <v>87</v>
      </c>
      <c r="L292" s="141">
        <v>87</v>
      </c>
      <c r="M292" s="124">
        <f t="shared" si="22"/>
        <v>0</v>
      </c>
      <c r="N292" s="113">
        <f t="shared" si="23"/>
        <v>1</v>
      </c>
    </row>
    <row r="293" spans="1:14" ht="15" hidden="1" customHeight="1">
      <c r="A293" s="147" t="s">
        <v>462</v>
      </c>
      <c r="B293" s="147" t="s">
        <v>323</v>
      </c>
      <c r="C293" s="98">
        <v>43921</v>
      </c>
      <c r="D293" s="147">
        <v>920</v>
      </c>
      <c r="E293" s="147" t="s">
        <v>324</v>
      </c>
      <c r="F293" s="147" t="s">
        <v>325</v>
      </c>
      <c r="G293" s="147" t="s">
        <v>469</v>
      </c>
      <c r="H293" s="147">
        <v>968716</v>
      </c>
      <c r="I293" s="147" t="s">
        <v>314</v>
      </c>
      <c r="J293" s="128" t="s">
        <v>218</v>
      </c>
      <c r="K293" s="193">
        <v>213</v>
      </c>
      <c r="L293" s="141">
        <v>213</v>
      </c>
      <c r="M293" s="124">
        <f t="shared" si="22"/>
        <v>0</v>
      </c>
      <c r="N293" s="113">
        <f t="shared" si="23"/>
        <v>1</v>
      </c>
    </row>
    <row r="294" spans="1:14" ht="15" hidden="1" customHeight="1">
      <c r="A294" s="147" t="s">
        <v>462</v>
      </c>
      <c r="B294" s="147" t="s">
        <v>323</v>
      </c>
      <c r="C294" s="98">
        <v>43921</v>
      </c>
      <c r="D294" s="147">
        <v>920</v>
      </c>
      <c r="E294" s="147" t="s">
        <v>324</v>
      </c>
      <c r="F294" s="147" t="s">
        <v>325</v>
      </c>
      <c r="G294" s="125" t="s">
        <v>470</v>
      </c>
      <c r="H294" s="125">
        <v>951259</v>
      </c>
      <c r="I294" s="147" t="s">
        <v>314</v>
      </c>
      <c r="J294" s="128" t="s">
        <v>217</v>
      </c>
      <c r="K294" s="193">
        <v>116</v>
      </c>
      <c r="L294" s="141">
        <v>87.352999999999994</v>
      </c>
      <c r="M294" s="124">
        <f t="shared" si="22"/>
        <v>28.647000000000006</v>
      </c>
      <c r="N294" s="113">
        <f t="shared" si="23"/>
        <v>0.75304310344827585</v>
      </c>
    </row>
    <row r="295" spans="1:14" ht="15" hidden="1" customHeight="1">
      <c r="A295" s="147" t="s">
        <v>462</v>
      </c>
      <c r="B295" s="147" t="s">
        <v>323</v>
      </c>
      <c r="C295" s="98">
        <v>43921</v>
      </c>
      <c r="D295" s="147">
        <v>920</v>
      </c>
      <c r="E295" s="147" t="s">
        <v>324</v>
      </c>
      <c r="F295" s="147" t="s">
        <v>325</v>
      </c>
      <c r="G295" s="147" t="s">
        <v>470</v>
      </c>
      <c r="H295" s="147">
        <v>951259</v>
      </c>
      <c r="I295" s="147" t="s">
        <v>314</v>
      </c>
      <c r="J295" s="128" t="s">
        <v>218</v>
      </c>
      <c r="K295" s="193">
        <v>284</v>
      </c>
      <c r="L295" s="141">
        <v>22.088000000000001</v>
      </c>
      <c r="M295" s="124">
        <f t="shared" si="22"/>
        <v>261.91199999999998</v>
      </c>
      <c r="N295" s="113">
        <f t="shared" si="23"/>
        <v>7.7774647887323953E-2</v>
      </c>
    </row>
    <row r="296" spans="1:14" ht="15" hidden="1" customHeight="1">
      <c r="A296" s="147" t="s">
        <v>462</v>
      </c>
      <c r="B296" s="147" t="s">
        <v>323</v>
      </c>
      <c r="C296" s="98">
        <v>43921</v>
      </c>
      <c r="D296" s="147">
        <v>920</v>
      </c>
      <c r="E296" s="147" t="s">
        <v>324</v>
      </c>
      <c r="F296" s="147" t="s">
        <v>325</v>
      </c>
      <c r="G296" s="125" t="s">
        <v>471</v>
      </c>
      <c r="H296" s="125">
        <v>966089</v>
      </c>
      <c r="I296" s="147" t="s">
        <v>314</v>
      </c>
      <c r="J296" s="128" t="s">
        <v>217</v>
      </c>
      <c r="K296" s="193">
        <v>87</v>
      </c>
      <c r="L296" s="141">
        <v>159.84200000000001</v>
      </c>
      <c r="M296" s="124">
        <f t="shared" si="22"/>
        <v>-72.842000000000013</v>
      </c>
      <c r="N296" s="113">
        <f t="shared" si="23"/>
        <v>1.837264367816092</v>
      </c>
    </row>
    <row r="297" spans="1:14" ht="15" hidden="1" customHeight="1">
      <c r="A297" s="147" t="s">
        <v>462</v>
      </c>
      <c r="B297" s="147" t="s">
        <v>323</v>
      </c>
      <c r="C297" s="98">
        <v>43921</v>
      </c>
      <c r="D297" s="147">
        <v>920</v>
      </c>
      <c r="E297" s="147" t="s">
        <v>324</v>
      </c>
      <c r="F297" s="147" t="s">
        <v>325</v>
      </c>
      <c r="G297" s="147" t="s">
        <v>471</v>
      </c>
      <c r="H297" s="147">
        <v>966089</v>
      </c>
      <c r="I297" s="147" t="s">
        <v>314</v>
      </c>
      <c r="J297" s="128" t="s">
        <v>218</v>
      </c>
      <c r="K297" s="193">
        <v>213</v>
      </c>
      <c r="L297" s="141">
        <v>86.177000000000007</v>
      </c>
      <c r="M297" s="124">
        <f t="shared" si="22"/>
        <v>126.82299999999999</v>
      </c>
      <c r="N297" s="113">
        <f t="shared" si="23"/>
        <v>0.4045868544600939</v>
      </c>
    </row>
    <row r="298" spans="1:14" ht="15" hidden="1" customHeight="1">
      <c r="A298" s="147" t="s">
        <v>462</v>
      </c>
      <c r="B298" s="147" t="s">
        <v>323</v>
      </c>
      <c r="C298" s="98">
        <v>43921</v>
      </c>
      <c r="D298" s="147">
        <v>920</v>
      </c>
      <c r="E298" s="147" t="s">
        <v>324</v>
      </c>
      <c r="F298" s="147" t="s">
        <v>325</v>
      </c>
      <c r="G298" s="125" t="s">
        <v>472</v>
      </c>
      <c r="H298" s="125">
        <v>955374</v>
      </c>
      <c r="I298" s="147" t="s">
        <v>314</v>
      </c>
      <c r="J298" s="128" t="s">
        <v>217</v>
      </c>
      <c r="K298" s="193">
        <v>25</v>
      </c>
      <c r="L298" s="141">
        <v>25</v>
      </c>
      <c r="M298" s="124">
        <f t="shared" si="22"/>
        <v>0</v>
      </c>
      <c r="N298" s="113">
        <f t="shared" si="23"/>
        <v>1</v>
      </c>
    </row>
    <row r="299" spans="1:14" ht="15" hidden="1" customHeight="1">
      <c r="A299" s="147" t="s">
        <v>462</v>
      </c>
      <c r="B299" s="147" t="s">
        <v>323</v>
      </c>
      <c r="C299" s="98">
        <v>43921</v>
      </c>
      <c r="D299" s="147">
        <v>920</v>
      </c>
      <c r="E299" s="147" t="s">
        <v>324</v>
      </c>
      <c r="F299" s="147" t="s">
        <v>325</v>
      </c>
      <c r="G299" s="147" t="s">
        <v>472</v>
      </c>
      <c r="H299" s="147">
        <v>955374</v>
      </c>
      <c r="I299" s="147" t="s">
        <v>314</v>
      </c>
      <c r="J299" s="128" t="s">
        <v>218</v>
      </c>
      <c r="K299" s="193">
        <v>61</v>
      </c>
      <c r="L299" s="141">
        <v>29.024000000000001</v>
      </c>
      <c r="M299" s="124">
        <f t="shared" si="22"/>
        <v>31.975999999999999</v>
      </c>
      <c r="N299" s="113">
        <f t="shared" si="23"/>
        <v>0.47580327868852462</v>
      </c>
    </row>
    <row r="300" spans="1:14" ht="15" hidden="1" customHeight="1">
      <c r="A300" s="147" t="s">
        <v>462</v>
      </c>
      <c r="B300" s="147" t="s">
        <v>309</v>
      </c>
      <c r="C300" s="98">
        <v>43921</v>
      </c>
      <c r="D300" s="147">
        <v>920</v>
      </c>
      <c r="E300" s="147" t="s">
        <v>324</v>
      </c>
      <c r="F300" s="147" t="s">
        <v>325</v>
      </c>
      <c r="G300" s="147" t="s">
        <v>473</v>
      </c>
      <c r="H300" s="147">
        <v>923199</v>
      </c>
      <c r="I300" s="147" t="s">
        <v>314</v>
      </c>
      <c r="J300" s="128" t="s">
        <v>217</v>
      </c>
      <c r="K300" s="257">
        <v>348</v>
      </c>
      <c r="L300" s="141">
        <v>507.36200000000002</v>
      </c>
      <c r="M300" s="259">
        <f>K300-(L300+L301)</f>
        <v>-196.98599999999999</v>
      </c>
      <c r="N300" s="261">
        <f>(L300+L301)/K300</f>
        <v>1.566051724137931</v>
      </c>
    </row>
    <row r="301" spans="1:14" ht="15" hidden="1" customHeight="1">
      <c r="A301" s="147" t="s">
        <v>462</v>
      </c>
      <c r="B301" s="147" t="s">
        <v>309</v>
      </c>
      <c r="C301" s="98">
        <v>43921</v>
      </c>
      <c r="D301" s="147">
        <v>920</v>
      </c>
      <c r="E301" s="147" t="s">
        <v>324</v>
      </c>
      <c r="F301" s="147" t="s">
        <v>325</v>
      </c>
      <c r="G301" s="147" t="s">
        <v>361</v>
      </c>
      <c r="H301" s="147">
        <v>964068</v>
      </c>
      <c r="I301" s="147" t="s">
        <v>314</v>
      </c>
      <c r="J301" s="128" t="s">
        <v>217</v>
      </c>
      <c r="K301" s="258"/>
      <c r="L301" s="141">
        <v>37.624000000000002</v>
      </c>
      <c r="M301" s="260"/>
      <c r="N301" s="262"/>
    </row>
    <row r="302" spans="1:14" ht="15" hidden="1" customHeight="1">
      <c r="A302" s="147" t="s">
        <v>462</v>
      </c>
      <c r="B302" s="147" t="s">
        <v>309</v>
      </c>
      <c r="C302" s="98">
        <v>43921</v>
      </c>
      <c r="D302" s="147">
        <v>920</v>
      </c>
      <c r="E302" s="147" t="s">
        <v>324</v>
      </c>
      <c r="F302" s="147" t="s">
        <v>325</v>
      </c>
      <c r="G302" s="147" t="s">
        <v>473</v>
      </c>
      <c r="H302" s="147">
        <v>923199</v>
      </c>
      <c r="I302" s="147" t="s">
        <v>314</v>
      </c>
      <c r="J302" s="128" t="s">
        <v>218</v>
      </c>
      <c r="K302" s="257">
        <v>852</v>
      </c>
      <c r="L302" s="141">
        <v>654.99400000000003</v>
      </c>
      <c r="M302" s="259">
        <f t="shared" ref="M302" si="24">K302-(L302+L303)</f>
        <v>197.00599999999997</v>
      </c>
      <c r="N302" s="261">
        <f t="shared" ref="N302" si="25">(L302+L303)/K302</f>
        <v>0.76877230046948364</v>
      </c>
    </row>
    <row r="303" spans="1:14" ht="15" hidden="1" customHeight="1">
      <c r="A303" s="147" t="s">
        <v>462</v>
      </c>
      <c r="B303" s="147" t="s">
        <v>309</v>
      </c>
      <c r="C303" s="98">
        <v>43921</v>
      </c>
      <c r="D303" s="147">
        <v>920</v>
      </c>
      <c r="E303" s="147" t="s">
        <v>324</v>
      </c>
      <c r="F303" s="147" t="s">
        <v>325</v>
      </c>
      <c r="G303" s="147" t="s">
        <v>361</v>
      </c>
      <c r="H303" s="147">
        <v>964068</v>
      </c>
      <c r="I303" s="147" t="s">
        <v>314</v>
      </c>
      <c r="J303" s="128" t="s">
        <v>218</v>
      </c>
      <c r="K303" s="258"/>
      <c r="L303" s="125"/>
      <c r="M303" s="260"/>
      <c r="N303" s="262"/>
    </row>
    <row r="304" spans="1:14" ht="15" hidden="1" customHeight="1">
      <c r="A304" s="147" t="s">
        <v>462</v>
      </c>
      <c r="B304" s="147" t="s">
        <v>309</v>
      </c>
      <c r="C304" s="98">
        <v>43921</v>
      </c>
      <c r="D304" s="147">
        <v>920</v>
      </c>
      <c r="E304" s="147" t="s">
        <v>324</v>
      </c>
      <c r="F304" s="147" t="s">
        <v>325</v>
      </c>
      <c r="G304" s="147" t="s">
        <v>348</v>
      </c>
      <c r="H304" s="147">
        <v>966875</v>
      </c>
      <c r="I304" s="147" t="s">
        <v>314</v>
      </c>
      <c r="J304" s="128" t="s">
        <v>217</v>
      </c>
      <c r="K304" s="257">
        <v>373</v>
      </c>
      <c r="L304" s="141"/>
      <c r="M304" s="259">
        <f t="shared" ref="M304" si="26">K304-(L304+L305)</f>
        <v>-134.99700000000001</v>
      </c>
      <c r="N304" s="261">
        <f t="shared" ref="N304" si="27">(L304+L305)/K304</f>
        <v>1.3619222520107239</v>
      </c>
    </row>
    <row r="305" spans="1:14" ht="15" hidden="1" customHeight="1">
      <c r="A305" s="147" t="s">
        <v>462</v>
      </c>
      <c r="B305" s="147" t="s">
        <v>309</v>
      </c>
      <c r="C305" s="98">
        <v>43921</v>
      </c>
      <c r="D305" s="147">
        <v>920</v>
      </c>
      <c r="E305" s="147" t="s">
        <v>324</v>
      </c>
      <c r="F305" s="147" t="s">
        <v>325</v>
      </c>
      <c r="G305" s="147" t="s">
        <v>474</v>
      </c>
      <c r="H305" s="147">
        <v>958905</v>
      </c>
      <c r="I305" s="147" t="s">
        <v>314</v>
      </c>
      <c r="J305" s="128" t="s">
        <v>217</v>
      </c>
      <c r="K305" s="258"/>
      <c r="L305" s="141">
        <v>507.99700000000001</v>
      </c>
      <c r="M305" s="260"/>
      <c r="N305" s="262"/>
    </row>
    <row r="306" spans="1:14" ht="15" hidden="1" customHeight="1">
      <c r="A306" s="147" t="s">
        <v>462</v>
      </c>
      <c r="B306" s="147" t="s">
        <v>309</v>
      </c>
      <c r="C306" s="98">
        <v>43921</v>
      </c>
      <c r="D306" s="147">
        <v>920</v>
      </c>
      <c r="E306" s="147" t="s">
        <v>324</v>
      </c>
      <c r="F306" s="147" t="s">
        <v>325</v>
      </c>
      <c r="G306" s="147" t="s">
        <v>348</v>
      </c>
      <c r="H306" s="147">
        <v>966875</v>
      </c>
      <c r="I306" s="147" t="s">
        <v>314</v>
      </c>
      <c r="J306" s="128" t="s">
        <v>218</v>
      </c>
      <c r="K306" s="257">
        <v>914</v>
      </c>
      <c r="L306" s="141"/>
      <c r="M306" s="259">
        <f t="shared" ref="M306" si="28">K306-(L306+L307)</f>
        <v>134.99699999999996</v>
      </c>
      <c r="N306" s="261">
        <f t="shared" ref="N306" si="29">(L306+L307)/K306</f>
        <v>0.85230087527352305</v>
      </c>
    </row>
    <row r="307" spans="1:14" ht="15" hidden="1" customHeight="1">
      <c r="A307" s="147" t="s">
        <v>462</v>
      </c>
      <c r="B307" s="147" t="s">
        <v>309</v>
      </c>
      <c r="C307" s="98">
        <v>43921</v>
      </c>
      <c r="D307" s="147">
        <v>920</v>
      </c>
      <c r="E307" s="147" t="s">
        <v>324</v>
      </c>
      <c r="F307" s="147" t="s">
        <v>325</v>
      </c>
      <c r="G307" s="147" t="s">
        <v>474</v>
      </c>
      <c r="H307" s="147">
        <v>958905</v>
      </c>
      <c r="I307" s="147" t="s">
        <v>314</v>
      </c>
      <c r="J307" s="128" t="s">
        <v>218</v>
      </c>
      <c r="K307" s="258"/>
      <c r="L307" s="141">
        <v>779.00300000000004</v>
      </c>
      <c r="M307" s="260"/>
      <c r="N307" s="262"/>
    </row>
    <row r="308" spans="1:14" ht="15" hidden="1" customHeight="1">
      <c r="A308" s="147" t="s">
        <v>462</v>
      </c>
      <c r="B308" s="147" t="s">
        <v>309</v>
      </c>
      <c r="C308" s="98">
        <v>43921</v>
      </c>
      <c r="D308" s="147">
        <v>920</v>
      </c>
      <c r="E308" s="147" t="s">
        <v>324</v>
      </c>
      <c r="F308" s="147" t="s">
        <v>325</v>
      </c>
      <c r="G308" s="147" t="s">
        <v>475</v>
      </c>
      <c r="H308" s="147">
        <v>922996</v>
      </c>
      <c r="I308" s="147" t="s">
        <v>314</v>
      </c>
      <c r="J308" s="128" t="s">
        <v>217</v>
      </c>
      <c r="K308" s="257">
        <v>815</v>
      </c>
      <c r="L308" s="125"/>
      <c r="M308" s="259">
        <f>K308-(L308+L309+L310)</f>
        <v>-156.51200000000006</v>
      </c>
      <c r="N308" s="261">
        <f>(L308+L309+L310)/K308</f>
        <v>1.192039263803681</v>
      </c>
    </row>
    <row r="309" spans="1:14" hidden="1">
      <c r="A309" s="147" t="s">
        <v>462</v>
      </c>
      <c r="B309" s="147" t="s">
        <v>309</v>
      </c>
      <c r="C309" s="98">
        <v>43921</v>
      </c>
      <c r="D309" s="147">
        <v>920</v>
      </c>
      <c r="E309" s="147" t="s">
        <v>324</v>
      </c>
      <c r="F309" s="147" t="s">
        <v>325</v>
      </c>
      <c r="G309" s="147" t="s">
        <v>476</v>
      </c>
      <c r="H309" s="147">
        <v>960104</v>
      </c>
      <c r="I309" s="147" t="s">
        <v>314</v>
      </c>
      <c r="J309" s="128" t="s">
        <v>217</v>
      </c>
      <c r="K309" s="263"/>
      <c r="L309" s="141">
        <v>405.63900000000001</v>
      </c>
      <c r="M309" s="264"/>
      <c r="N309" s="265"/>
    </row>
    <row r="310" spans="1:14" ht="15" hidden="1" customHeight="1">
      <c r="A310" s="147" t="s">
        <v>462</v>
      </c>
      <c r="B310" s="147" t="s">
        <v>309</v>
      </c>
      <c r="C310" s="98">
        <v>43921</v>
      </c>
      <c r="D310" s="147">
        <v>920</v>
      </c>
      <c r="E310" s="147" t="s">
        <v>324</v>
      </c>
      <c r="F310" s="147" t="s">
        <v>325</v>
      </c>
      <c r="G310" s="147" t="s">
        <v>477</v>
      </c>
      <c r="H310" s="147">
        <v>926655</v>
      </c>
      <c r="I310" s="147" t="s">
        <v>314</v>
      </c>
      <c r="J310" s="128" t="s">
        <v>217</v>
      </c>
      <c r="K310" s="258"/>
      <c r="L310" s="141">
        <v>565.87300000000005</v>
      </c>
      <c r="M310" s="260"/>
      <c r="N310" s="262"/>
    </row>
    <row r="311" spans="1:14" ht="15" hidden="1" customHeight="1">
      <c r="A311" s="147" t="s">
        <v>462</v>
      </c>
      <c r="B311" s="147" t="s">
        <v>309</v>
      </c>
      <c r="C311" s="98">
        <v>43921</v>
      </c>
      <c r="D311" s="147">
        <v>920</v>
      </c>
      <c r="E311" s="147" t="s">
        <v>324</v>
      </c>
      <c r="F311" s="147" t="s">
        <v>325</v>
      </c>
      <c r="G311" s="147" t="s">
        <v>475</v>
      </c>
      <c r="H311" s="147">
        <v>922996</v>
      </c>
      <c r="I311" s="147" t="s">
        <v>314</v>
      </c>
      <c r="J311" s="128" t="s">
        <v>218</v>
      </c>
      <c r="K311" s="257">
        <v>1995</v>
      </c>
      <c r="L311" s="141"/>
      <c r="M311" s="259">
        <f>K311-(L311+L312+L313)</f>
        <v>925.10400000000004</v>
      </c>
      <c r="N311" s="261">
        <f>(L311+L312+L313)/K311</f>
        <v>0.53628872180451126</v>
      </c>
    </row>
    <row r="312" spans="1:14" hidden="1">
      <c r="A312" s="147" t="s">
        <v>462</v>
      </c>
      <c r="B312" s="147" t="s">
        <v>309</v>
      </c>
      <c r="C312" s="98">
        <v>43921</v>
      </c>
      <c r="D312" s="147">
        <v>920</v>
      </c>
      <c r="E312" s="147" t="s">
        <v>324</v>
      </c>
      <c r="F312" s="147" t="s">
        <v>325</v>
      </c>
      <c r="G312" s="147" t="s">
        <v>476</v>
      </c>
      <c r="H312" s="147">
        <v>960104</v>
      </c>
      <c r="I312" s="147" t="s">
        <v>314</v>
      </c>
      <c r="J312" s="128" t="s">
        <v>218</v>
      </c>
      <c r="K312" s="263"/>
      <c r="L312" s="141">
        <v>355.65600000000001</v>
      </c>
      <c r="M312" s="264"/>
      <c r="N312" s="265"/>
    </row>
    <row r="313" spans="1:14" ht="15" hidden="1" customHeight="1">
      <c r="A313" s="147" t="s">
        <v>462</v>
      </c>
      <c r="B313" s="147" t="s">
        <v>309</v>
      </c>
      <c r="C313" s="98">
        <v>43921</v>
      </c>
      <c r="D313" s="147">
        <v>920</v>
      </c>
      <c r="E313" s="147" t="s">
        <v>324</v>
      </c>
      <c r="F313" s="147" t="s">
        <v>325</v>
      </c>
      <c r="G313" s="147" t="s">
        <v>477</v>
      </c>
      <c r="H313" s="147">
        <v>926655</v>
      </c>
      <c r="I313" s="147" t="s">
        <v>314</v>
      </c>
      <c r="J313" s="128" t="s">
        <v>218</v>
      </c>
      <c r="K313" s="258"/>
      <c r="L313" s="141">
        <v>714.24</v>
      </c>
      <c r="M313" s="260"/>
      <c r="N313" s="262"/>
    </row>
    <row r="314" spans="1:14" ht="15" hidden="1" customHeight="1">
      <c r="A314" s="125" t="s">
        <v>478</v>
      </c>
      <c r="B314" s="147" t="s">
        <v>309</v>
      </c>
      <c r="C314" s="98">
        <v>43935</v>
      </c>
      <c r="D314" s="125">
        <v>988</v>
      </c>
      <c r="E314" s="147" t="s">
        <v>324</v>
      </c>
      <c r="F314" s="147" t="s">
        <v>325</v>
      </c>
      <c r="G314" s="125" t="s">
        <v>479</v>
      </c>
      <c r="H314" s="125">
        <v>960538</v>
      </c>
      <c r="I314" s="147" t="s">
        <v>314</v>
      </c>
      <c r="J314" s="128" t="s">
        <v>218</v>
      </c>
      <c r="K314" s="257">
        <v>1914.32</v>
      </c>
      <c r="L314" s="141">
        <v>769.50099999999998</v>
      </c>
      <c r="M314" s="259">
        <f>K314-(L314+L315+L316+L317)</f>
        <v>0</v>
      </c>
      <c r="N314" s="261">
        <f>(L314+L315+L316+L317)/K314</f>
        <v>0.99999999999999989</v>
      </c>
    </row>
    <row r="315" spans="1:14" ht="15" hidden="1" customHeight="1">
      <c r="A315" s="147" t="s">
        <v>478</v>
      </c>
      <c r="B315" s="147" t="s">
        <v>309</v>
      </c>
      <c r="C315" s="98">
        <v>43935</v>
      </c>
      <c r="D315" s="147">
        <v>988</v>
      </c>
      <c r="E315" s="147" t="s">
        <v>324</v>
      </c>
      <c r="F315" s="147" t="s">
        <v>325</v>
      </c>
      <c r="G315" s="125" t="s">
        <v>480</v>
      </c>
      <c r="H315" s="125">
        <v>952061</v>
      </c>
      <c r="I315" s="147" t="s">
        <v>314</v>
      </c>
      <c r="J315" s="128" t="s">
        <v>218</v>
      </c>
      <c r="K315" s="263"/>
      <c r="L315" s="141"/>
      <c r="M315" s="264"/>
      <c r="N315" s="265"/>
    </row>
    <row r="316" spans="1:14" ht="15" hidden="1" customHeight="1">
      <c r="A316" s="147" t="s">
        <v>478</v>
      </c>
      <c r="B316" s="147" t="s">
        <v>309</v>
      </c>
      <c r="C316" s="98">
        <v>43935</v>
      </c>
      <c r="D316" s="147">
        <v>988</v>
      </c>
      <c r="E316" s="147" t="s">
        <v>324</v>
      </c>
      <c r="F316" s="147" t="s">
        <v>325</v>
      </c>
      <c r="G316" s="125" t="s">
        <v>481</v>
      </c>
      <c r="H316" s="125">
        <v>960539</v>
      </c>
      <c r="I316" s="147" t="s">
        <v>314</v>
      </c>
      <c r="J316" s="128" t="s">
        <v>218</v>
      </c>
      <c r="K316" s="263"/>
      <c r="L316" s="141">
        <v>610.26400000000001</v>
      </c>
      <c r="M316" s="264"/>
      <c r="N316" s="265"/>
    </row>
    <row r="317" spans="1:14" ht="15" hidden="1" customHeight="1">
      <c r="A317" s="147" t="s">
        <v>478</v>
      </c>
      <c r="B317" s="147" t="s">
        <v>309</v>
      </c>
      <c r="C317" s="98">
        <v>43935</v>
      </c>
      <c r="D317" s="147">
        <v>988</v>
      </c>
      <c r="E317" s="147" t="s">
        <v>324</v>
      </c>
      <c r="F317" s="147" t="s">
        <v>325</v>
      </c>
      <c r="G317" s="125" t="s">
        <v>482</v>
      </c>
      <c r="H317" s="125">
        <v>967898</v>
      </c>
      <c r="I317" s="147" t="s">
        <v>314</v>
      </c>
      <c r="J317" s="128" t="s">
        <v>218</v>
      </c>
      <c r="K317" s="258"/>
      <c r="L317" s="141">
        <v>534.55499999999995</v>
      </c>
      <c r="M317" s="260"/>
      <c r="N317" s="262"/>
    </row>
    <row r="318" spans="1:14" ht="15" hidden="1" customHeight="1">
      <c r="A318" s="125" t="s">
        <v>483</v>
      </c>
      <c r="B318" s="125" t="s">
        <v>323</v>
      </c>
      <c r="C318" s="98">
        <v>43935</v>
      </c>
      <c r="D318" s="125">
        <v>989</v>
      </c>
      <c r="E318" s="147" t="s">
        <v>324</v>
      </c>
      <c r="F318" s="147" t="s">
        <v>325</v>
      </c>
      <c r="G318" s="125" t="s">
        <v>484</v>
      </c>
      <c r="H318" s="125">
        <v>960952</v>
      </c>
      <c r="I318" s="125" t="s">
        <v>314</v>
      </c>
      <c r="J318" s="128" t="s">
        <v>217</v>
      </c>
      <c r="K318" s="193">
        <v>231</v>
      </c>
      <c r="L318" s="141">
        <v>234.542</v>
      </c>
      <c r="M318" s="124">
        <f t="shared" ref="M318" si="30">K318-L318</f>
        <v>-3.5420000000000016</v>
      </c>
      <c r="N318" s="113">
        <f t="shared" ref="N318" si="31">L318/K318</f>
        <v>1.0153333333333334</v>
      </c>
    </row>
    <row r="319" spans="1:14" ht="15" hidden="1" customHeight="1">
      <c r="A319" s="147" t="s">
        <v>483</v>
      </c>
      <c r="B319" s="147" t="s">
        <v>323</v>
      </c>
      <c r="C319" s="98">
        <v>43935</v>
      </c>
      <c r="D319" s="147">
        <v>989</v>
      </c>
      <c r="E319" s="147" t="s">
        <v>324</v>
      </c>
      <c r="F319" s="147" t="s">
        <v>325</v>
      </c>
      <c r="G319" s="147" t="s">
        <v>484</v>
      </c>
      <c r="H319" s="147">
        <v>960952</v>
      </c>
      <c r="I319" s="147" t="s">
        <v>314</v>
      </c>
      <c r="J319" s="128" t="s">
        <v>218</v>
      </c>
      <c r="K319" s="193">
        <v>569</v>
      </c>
      <c r="L319" s="141">
        <v>565.45799999999997</v>
      </c>
      <c r="M319" s="124">
        <f t="shared" ref="M319" si="32">K319-L319</f>
        <v>3.54200000000003</v>
      </c>
      <c r="N319" s="113">
        <f t="shared" ref="N319" si="33">L319/K319</f>
        <v>0.99377504393673111</v>
      </c>
    </row>
    <row r="320" spans="1:14" ht="15" hidden="1" customHeight="1">
      <c r="A320" s="125" t="s">
        <v>441</v>
      </c>
      <c r="B320" s="147" t="s">
        <v>323</v>
      </c>
      <c r="C320" s="98">
        <v>43935</v>
      </c>
      <c r="D320" s="125">
        <v>990</v>
      </c>
      <c r="E320" s="147" t="s">
        <v>324</v>
      </c>
      <c r="F320" s="147" t="s">
        <v>325</v>
      </c>
      <c r="G320" s="125" t="s">
        <v>485</v>
      </c>
      <c r="H320" s="125">
        <v>960094</v>
      </c>
      <c r="I320" s="147" t="s">
        <v>314</v>
      </c>
      <c r="J320" s="128" t="s">
        <v>217</v>
      </c>
      <c r="K320" s="193">
        <v>174</v>
      </c>
      <c r="L320" s="141">
        <v>55.991999999999997</v>
      </c>
      <c r="M320" s="124">
        <f t="shared" ref="M320:M328" si="34">K320-L320</f>
        <v>118.00800000000001</v>
      </c>
      <c r="N320" s="113">
        <f t="shared" ref="N320:N328" si="35">L320/K320</f>
        <v>0.32179310344827583</v>
      </c>
    </row>
    <row r="321" spans="1:14" ht="15" hidden="1" customHeight="1">
      <c r="A321" s="147" t="s">
        <v>441</v>
      </c>
      <c r="B321" s="147" t="s">
        <v>323</v>
      </c>
      <c r="C321" s="98">
        <v>43935</v>
      </c>
      <c r="D321" s="147">
        <v>990</v>
      </c>
      <c r="E321" s="147" t="s">
        <v>324</v>
      </c>
      <c r="F321" s="147" t="s">
        <v>325</v>
      </c>
      <c r="G321" s="147" t="s">
        <v>485</v>
      </c>
      <c r="H321" s="147">
        <v>960094</v>
      </c>
      <c r="I321" s="147" t="s">
        <v>314</v>
      </c>
      <c r="J321" s="128" t="s">
        <v>218</v>
      </c>
      <c r="K321" s="193">
        <v>126</v>
      </c>
      <c r="L321" s="141">
        <v>25.757999999999999</v>
      </c>
      <c r="M321" s="124">
        <f t="shared" si="34"/>
        <v>100.242</v>
      </c>
      <c r="N321" s="113">
        <f t="shared" si="35"/>
        <v>0.20442857142857143</v>
      </c>
    </row>
    <row r="322" spans="1:14" ht="15" hidden="1" customHeight="1">
      <c r="A322" s="147" t="s">
        <v>441</v>
      </c>
      <c r="B322" s="147" t="s">
        <v>323</v>
      </c>
      <c r="C322" s="98">
        <v>43935</v>
      </c>
      <c r="D322" s="147">
        <v>990</v>
      </c>
      <c r="E322" s="147" t="s">
        <v>324</v>
      </c>
      <c r="F322" s="147" t="s">
        <v>325</v>
      </c>
      <c r="G322" s="125" t="s">
        <v>486</v>
      </c>
      <c r="H322" s="125">
        <v>962899</v>
      </c>
      <c r="I322" s="147" t="s">
        <v>314</v>
      </c>
      <c r="J322" s="128" t="s">
        <v>217</v>
      </c>
      <c r="K322" s="193">
        <v>304</v>
      </c>
      <c r="L322" s="141">
        <v>192.22499999999999</v>
      </c>
      <c r="M322" s="124">
        <f t="shared" si="34"/>
        <v>111.77500000000001</v>
      </c>
      <c r="N322" s="113">
        <f t="shared" si="35"/>
        <v>0.63231907894736838</v>
      </c>
    </row>
    <row r="323" spans="1:14" ht="15" hidden="1" customHeight="1">
      <c r="A323" s="147" t="s">
        <v>441</v>
      </c>
      <c r="B323" s="147" t="s">
        <v>323</v>
      </c>
      <c r="C323" s="98">
        <v>43935</v>
      </c>
      <c r="D323" s="147">
        <v>990</v>
      </c>
      <c r="E323" s="147" t="s">
        <v>324</v>
      </c>
      <c r="F323" s="147" t="s">
        <v>325</v>
      </c>
      <c r="G323" s="147" t="s">
        <v>486</v>
      </c>
      <c r="H323" s="147">
        <v>962899</v>
      </c>
      <c r="I323" s="147" t="s">
        <v>314</v>
      </c>
      <c r="J323" s="128" t="s">
        <v>218</v>
      </c>
      <c r="K323" s="193">
        <v>220</v>
      </c>
      <c r="L323" s="141">
        <v>242.1</v>
      </c>
      <c r="M323" s="124">
        <f t="shared" si="34"/>
        <v>-22.099999999999994</v>
      </c>
      <c r="N323" s="113">
        <f t="shared" si="35"/>
        <v>1.1004545454545454</v>
      </c>
    </row>
    <row r="324" spans="1:14" ht="15" hidden="1" customHeight="1">
      <c r="A324" s="147" t="s">
        <v>441</v>
      </c>
      <c r="B324" s="147" t="s">
        <v>323</v>
      </c>
      <c r="C324" s="98">
        <v>43935</v>
      </c>
      <c r="D324" s="147">
        <v>990</v>
      </c>
      <c r="E324" s="147" t="s">
        <v>324</v>
      </c>
      <c r="F324" s="147" t="s">
        <v>325</v>
      </c>
      <c r="G324" s="125" t="s">
        <v>487</v>
      </c>
      <c r="H324" s="125">
        <v>950995</v>
      </c>
      <c r="I324" s="147" t="s">
        <v>314</v>
      </c>
      <c r="J324" s="128" t="s">
        <v>217</v>
      </c>
      <c r="K324" s="193">
        <v>265</v>
      </c>
      <c r="L324" s="141">
        <v>344.18400000000003</v>
      </c>
      <c r="M324" s="124">
        <f t="shared" si="34"/>
        <v>-79.184000000000026</v>
      </c>
      <c r="N324" s="113">
        <f t="shared" si="35"/>
        <v>1.2988075471698115</v>
      </c>
    </row>
    <row r="325" spans="1:14" ht="15" hidden="1" customHeight="1">
      <c r="A325" s="147" t="s">
        <v>441</v>
      </c>
      <c r="B325" s="147" t="s">
        <v>323</v>
      </c>
      <c r="C325" s="98">
        <v>43935</v>
      </c>
      <c r="D325" s="147">
        <v>990</v>
      </c>
      <c r="E325" s="147" t="s">
        <v>324</v>
      </c>
      <c r="F325" s="147" t="s">
        <v>325</v>
      </c>
      <c r="G325" s="147" t="s">
        <v>487</v>
      </c>
      <c r="H325" s="147">
        <v>950995</v>
      </c>
      <c r="I325" s="147" t="s">
        <v>314</v>
      </c>
      <c r="J325" s="128" t="s">
        <v>218</v>
      </c>
      <c r="K325" s="193">
        <v>523</v>
      </c>
      <c r="L325" s="141">
        <v>344.60700000000003</v>
      </c>
      <c r="M325" s="124">
        <f t="shared" si="34"/>
        <v>178.39299999999997</v>
      </c>
      <c r="N325" s="113">
        <f t="shared" si="35"/>
        <v>0.65890439770554499</v>
      </c>
    </row>
    <row r="326" spans="1:14" ht="15" hidden="1" customHeight="1">
      <c r="A326" s="125" t="s">
        <v>488</v>
      </c>
      <c r="B326" s="147" t="s">
        <v>323</v>
      </c>
      <c r="C326" s="98">
        <v>43936</v>
      </c>
      <c r="D326" s="125">
        <v>57</v>
      </c>
      <c r="E326" s="125" t="s">
        <v>310</v>
      </c>
      <c r="F326" s="125" t="s">
        <v>311</v>
      </c>
      <c r="G326" s="125" t="s">
        <v>461</v>
      </c>
      <c r="H326" s="125">
        <v>967484</v>
      </c>
      <c r="I326" s="147" t="s">
        <v>314</v>
      </c>
      <c r="J326" s="128" t="s">
        <v>217</v>
      </c>
      <c r="K326" s="193">
        <v>9</v>
      </c>
      <c r="L326" s="141">
        <v>22.678000000000001</v>
      </c>
      <c r="M326" s="124">
        <f t="shared" si="34"/>
        <v>-13.678000000000001</v>
      </c>
      <c r="N326" s="113">
        <f t="shared" si="35"/>
        <v>2.5197777777777777</v>
      </c>
    </row>
    <row r="327" spans="1:14" ht="15" hidden="1" customHeight="1">
      <c r="A327" s="147" t="s">
        <v>488</v>
      </c>
      <c r="B327" s="147" t="s">
        <v>323</v>
      </c>
      <c r="C327" s="98">
        <v>43936</v>
      </c>
      <c r="D327" s="147">
        <v>57</v>
      </c>
      <c r="E327" s="147" t="s">
        <v>310</v>
      </c>
      <c r="F327" s="147" t="s">
        <v>311</v>
      </c>
      <c r="G327" s="147" t="s">
        <v>461</v>
      </c>
      <c r="H327" s="147">
        <v>967484</v>
      </c>
      <c r="I327" s="147" t="s">
        <v>314</v>
      </c>
      <c r="J327" s="128" t="s">
        <v>218</v>
      </c>
      <c r="K327" s="193">
        <v>18</v>
      </c>
      <c r="L327" s="141">
        <v>3.242</v>
      </c>
      <c r="M327" s="124">
        <f t="shared" si="34"/>
        <v>14.757999999999999</v>
      </c>
      <c r="N327" s="113">
        <f t="shared" si="35"/>
        <v>0.18011111111111111</v>
      </c>
    </row>
    <row r="328" spans="1:14" ht="15" hidden="1" customHeight="1">
      <c r="A328" s="125" t="s">
        <v>489</v>
      </c>
      <c r="B328" s="149" t="s">
        <v>323</v>
      </c>
      <c r="C328" s="98">
        <v>43936</v>
      </c>
      <c r="D328" s="125">
        <v>58</v>
      </c>
      <c r="E328" s="149" t="s">
        <v>310</v>
      </c>
      <c r="F328" s="149" t="s">
        <v>311</v>
      </c>
      <c r="G328" s="125" t="s">
        <v>360</v>
      </c>
      <c r="H328" s="125">
        <v>913375</v>
      </c>
      <c r="I328" s="149" t="s">
        <v>314</v>
      </c>
      <c r="J328" s="128" t="s">
        <v>218</v>
      </c>
      <c r="K328" s="193">
        <v>200</v>
      </c>
      <c r="L328" s="141">
        <v>161.84399999999999</v>
      </c>
      <c r="M328" s="124">
        <f t="shared" si="34"/>
        <v>38.156000000000006</v>
      </c>
      <c r="N328" s="113">
        <f t="shared" si="35"/>
        <v>0.80921999999999994</v>
      </c>
    </row>
    <row r="329" spans="1:14" ht="15" hidden="1" customHeight="1">
      <c r="A329" s="125" t="s">
        <v>460</v>
      </c>
      <c r="B329" s="125" t="s">
        <v>309</v>
      </c>
      <c r="C329" s="98">
        <v>43936</v>
      </c>
      <c r="D329" s="125">
        <v>59</v>
      </c>
      <c r="E329" s="149" t="s">
        <v>310</v>
      </c>
      <c r="F329" s="149" t="s">
        <v>311</v>
      </c>
      <c r="G329" s="149" t="s">
        <v>316</v>
      </c>
      <c r="H329" s="149">
        <v>967145</v>
      </c>
      <c r="I329" s="149" t="s">
        <v>314</v>
      </c>
      <c r="J329" s="148" t="s">
        <v>217</v>
      </c>
      <c r="K329" s="257">
        <v>2</v>
      </c>
      <c r="L329" s="149"/>
      <c r="M329" s="259">
        <f>K329-(L329+L330+L331+L332)</f>
        <v>2</v>
      </c>
      <c r="N329" s="261">
        <f>(L329+L330+L331+L332)/K329</f>
        <v>0</v>
      </c>
    </row>
    <row r="330" spans="1:14" ht="15" hidden="1" customHeight="1">
      <c r="A330" s="149" t="s">
        <v>460</v>
      </c>
      <c r="B330" s="149" t="s">
        <v>309</v>
      </c>
      <c r="C330" s="98">
        <v>43936</v>
      </c>
      <c r="D330" s="149">
        <v>59</v>
      </c>
      <c r="E330" s="149" t="s">
        <v>310</v>
      </c>
      <c r="F330" s="149" t="s">
        <v>311</v>
      </c>
      <c r="G330" s="149" t="s">
        <v>317</v>
      </c>
      <c r="H330" s="149">
        <v>967342</v>
      </c>
      <c r="I330" s="149" t="s">
        <v>314</v>
      </c>
      <c r="J330" s="148" t="s">
        <v>217</v>
      </c>
      <c r="K330" s="263"/>
      <c r="L330" s="149"/>
      <c r="M330" s="264"/>
      <c r="N330" s="265"/>
    </row>
    <row r="331" spans="1:14" ht="15" hidden="1" customHeight="1">
      <c r="A331" s="149" t="s">
        <v>460</v>
      </c>
      <c r="B331" s="149" t="s">
        <v>309</v>
      </c>
      <c r="C331" s="98">
        <v>43936</v>
      </c>
      <c r="D331" s="149">
        <v>59</v>
      </c>
      <c r="E331" s="149" t="s">
        <v>310</v>
      </c>
      <c r="F331" s="149" t="s">
        <v>311</v>
      </c>
      <c r="G331" s="149" t="s">
        <v>318</v>
      </c>
      <c r="H331" s="149">
        <v>967281</v>
      </c>
      <c r="I331" s="149" t="s">
        <v>314</v>
      </c>
      <c r="J331" s="148" t="s">
        <v>217</v>
      </c>
      <c r="K331" s="263"/>
      <c r="L331" s="149"/>
      <c r="M331" s="264"/>
      <c r="N331" s="265"/>
    </row>
    <row r="332" spans="1:14" ht="15" hidden="1" customHeight="1">
      <c r="A332" s="149" t="s">
        <v>460</v>
      </c>
      <c r="B332" s="149" t="s">
        <v>309</v>
      </c>
      <c r="C332" s="98">
        <v>43936</v>
      </c>
      <c r="D332" s="149">
        <v>59</v>
      </c>
      <c r="E332" s="149" t="s">
        <v>310</v>
      </c>
      <c r="F332" s="149" t="s">
        <v>311</v>
      </c>
      <c r="G332" s="149" t="s">
        <v>461</v>
      </c>
      <c r="H332" s="149">
        <v>967484</v>
      </c>
      <c r="I332" s="149" t="s">
        <v>314</v>
      </c>
      <c r="J332" s="148" t="s">
        <v>217</v>
      </c>
      <c r="K332" s="258"/>
      <c r="L332" s="149"/>
      <c r="M332" s="260"/>
      <c r="N332" s="262"/>
    </row>
    <row r="333" spans="1:14" ht="15" hidden="1" customHeight="1">
      <c r="A333" s="149" t="s">
        <v>460</v>
      </c>
      <c r="B333" s="149" t="s">
        <v>309</v>
      </c>
      <c r="C333" s="98">
        <v>43936</v>
      </c>
      <c r="D333" s="149">
        <v>59</v>
      </c>
      <c r="E333" s="149" t="s">
        <v>310</v>
      </c>
      <c r="F333" s="149" t="s">
        <v>311</v>
      </c>
      <c r="G333" s="149" t="s">
        <v>316</v>
      </c>
      <c r="H333" s="149">
        <v>967145</v>
      </c>
      <c r="I333" s="149" t="s">
        <v>314</v>
      </c>
      <c r="J333" s="148" t="s">
        <v>218</v>
      </c>
      <c r="K333" s="257">
        <v>68</v>
      </c>
      <c r="L333" s="149"/>
      <c r="M333" s="259">
        <f>K333-(L333+L334+L335+L336)</f>
        <v>68</v>
      </c>
      <c r="N333" s="261">
        <f>(L333+L334+L335+L336)/K333</f>
        <v>0</v>
      </c>
    </row>
    <row r="334" spans="1:14" ht="15" hidden="1" customHeight="1">
      <c r="A334" s="149" t="s">
        <v>460</v>
      </c>
      <c r="B334" s="149" t="s">
        <v>309</v>
      </c>
      <c r="C334" s="98">
        <v>43936</v>
      </c>
      <c r="D334" s="149">
        <v>59</v>
      </c>
      <c r="E334" s="149" t="s">
        <v>310</v>
      </c>
      <c r="F334" s="149" t="s">
        <v>311</v>
      </c>
      <c r="G334" s="149" t="s">
        <v>317</v>
      </c>
      <c r="H334" s="149">
        <v>967342</v>
      </c>
      <c r="I334" s="149" t="s">
        <v>314</v>
      </c>
      <c r="J334" s="148" t="s">
        <v>218</v>
      </c>
      <c r="K334" s="263"/>
      <c r="L334" s="149"/>
      <c r="M334" s="264"/>
      <c r="N334" s="265"/>
    </row>
    <row r="335" spans="1:14" ht="15" hidden="1" customHeight="1">
      <c r="A335" s="149" t="s">
        <v>460</v>
      </c>
      <c r="B335" s="149" t="s">
        <v>309</v>
      </c>
      <c r="C335" s="98">
        <v>43936</v>
      </c>
      <c r="D335" s="149">
        <v>59</v>
      </c>
      <c r="E335" s="149" t="s">
        <v>310</v>
      </c>
      <c r="F335" s="149" t="s">
        <v>311</v>
      </c>
      <c r="G335" s="149" t="s">
        <v>318</v>
      </c>
      <c r="H335" s="149">
        <v>967281</v>
      </c>
      <c r="I335" s="149" t="s">
        <v>314</v>
      </c>
      <c r="J335" s="148" t="s">
        <v>218</v>
      </c>
      <c r="K335" s="263"/>
      <c r="L335" s="149"/>
      <c r="M335" s="264"/>
      <c r="N335" s="265"/>
    </row>
    <row r="336" spans="1:14" ht="15" hidden="1" customHeight="1">
      <c r="A336" s="149" t="s">
        <v>460</v>
      </c>
      <c r="B336" s="149" t="s">
        <v>309</v>
      </c>
      <c r="C336" s="98">
        <v>43936</v>
      </c>
      <c r="D336" s="149">
        <v>59</v>
      </c>
      <c r="E336" s="149" t="s">
        <v>310</v>
      </c>
      <c r="F336" s="149" t="s">
        <v>311</v>
      </c>
      <c r="G336" s="149" t="s">
        <v>461</v>
      </c>
      <c r="H336" s="149">
        <v>967484</v>
      </c>
      <c r="I336" s="149" t="s">
        <v>314</v>
      </c>
      <c r="J336" s="148" t="s">
        <v>218</v>
      </c>
      <c r="K336" s="258"/>
      <c r="L336" s="149"/>
      <c r="M336" s="260"/>
      <c r="N336" s="262"/>
    </row>
    <row r="337" spans="1:14" ht="15" hidden="1" customHeight="1">
      <c r="A337" s="125" t="s">
        <v>458</v>
      </c>
      <c r="B337" s="150" t="s">
        <v>309</v>
      </c>
      <c r="C337" s="98">
        <v>43937</v>
      </c>
      <c r="D337" s="125">
        <v>60</v>
      </c>
      <c r="E337" s="125" t="s">
        <v>310</v>
      </c>
      <c r="F337" s="125" t="s">
        <v>311</v>
      </c>
      <c r="G337" s="125" t="s">
        <v>312</v>
      </c>
      <c r="H337" s="125">
        <v>968165</v>
      </c>
      <c r="I337" s="150" t="s">
        <v>314</v>
      </c>
      <c r="J337" s="125" t="s">
        <v>217</v>
      </c>
      <c r="K337" s="257">
        <v>2</v>
      </c>
      <c r="L337" s="141">
        <v>6.774</v>
      </c>
      <c r="M337" s="259">
        <f t="shared" ref="M337" si="36">K337-(L337+L338)</f>
        <v>-4.774</v>
      </c>
      <c r="N337" s="261">
        <f t="shared" ref="N337" si="37">(L337+L338)/K337</f>
        <v>3.387</v>
      </c>
    </row>
    <row r="338" spans="1:14" ht="15" hidden="1" customHeight="1">
      <c r="A338" s="150" t="s">
        <v>458</v>
      </c>
      <c r="B338" s="150" t="s">
        <v>309</v>
      </c>
      <c r="C338" s="98">
        <v>43937</v>
      </c>
      <c r="D338" s="150">
        <v>60</v>
      </c>
      <c r="E338" s="150" t="s">
        <v>310</v>
      </c>
      <c r="F338" s="150" t="s">
        <v>311</v>
      </c>
      <c r="G338" s="125" t="s">
        <v>313</v>
      </c>
      <c r="H338" s="125">
        <v>968160</v>
      </c>
      <c r="I338" s="150" t="s">
        <v>314</v>
      </c>
      <c r="J338" s="150" t="s">
        <v>217</v>
      </c>
      <c r="K338" s="258"/>
      <c r="L338" s="141"/>
      <c r="M338" s="260"/>
      <c r="N338" s="262"/>
    </row>
    <row r="339" spans="1:14" ht="15" hidden="1" customHeight="1">
      <c r="A339" s="150" t="s">
        <v>458</v>
      </c>
      <c r="B339" s="150" t="s">
        <v>309</v>
      </c>
      <c r="C339" s="98">
        <v>43937</v>
      </c>
      <c r="D339" s="150">
        <v>60</v>
      </c>
      <c r="E339" s="150" t="s">
        <v>310</v>
      </c>
      <c r="F339" s="150" t="s">
        <v>311</v>
      </c>
      <c r="G339" s="150" t="s">
        <v>312</v>
      </c>
      <c r="H339" s="150">
        <v>968165</v>
      </c>
      <c r="I339" s="150" t="s">
        <v>314</v>
      </c>
      <c r="J339" s="125" t="s">
        <v>218</v>
      </c>
      <c r="K339" s="257">
        <v>70</v>
      </c>
      <c r="L339" s="141">
        <v>43.180999999999997</v>
      </c>
      <c r="M339" s="259">
        <f t="shared" ref="M339" si="38">K339-(L339+L340)</f>
        <v>26.819000000000003</v>
      </c>
      <c r="N339" s="261">
        <f t="shared" ref="N339" si="39">(L339+L340)/K339</f>
        <v>0.61687142857142852</v>
      </c>
    </row>
    <row r="340" spans="1:14" ht="15" hidden="1" customHeight="1">
      <c r="A340" s="150" t="s">
        <v>458</v>
      </c>
      <c r="B340" s="150" t="s">
        <v>309</v>
      </c>
      <c r="C340" s="98">
        <v>43937</v>
      </c>
      <c r="D340" s="150">
        <v>60</v>
      </c>
      <c r="E340" s="150" t="s">
        <v>310</v>
      </c>
      <c r="F340" s="150" t="s">
        <v>311</v>
      </c>
      <c r="G340" s="150" t="s">
        <v>313</v>
      </c>
      <c r="H340" s="150">
        <v>968160</v>
      </c>
      <c r="I340" s="150" t="s">
        <v>314</v>
      </c>
      <c r="J340" s="150" t="s">
        <v>218</v>
      </c>
      <c r="K340" s="258"/>
      <c r="L340" s="141"/>
      <c r="M340" s="260"/>
      <c r="N340" s="262"/>
    </row>
    <row r="341" spans="1:14" ht="15" hidden="1" customHeight="1">
      <c r="A341" s="125" t="s">
        <v>330</v>
      </c>
      <c r="B341" s="150" t="s">
        <v>309</v>
      </c>
      <c r="C341" s="98">
        <v>43937</v>
      </c>
      <c r="D341" s="125">
        <v>61</v>
      </c>
      <c r="E341" s="125" t="s">
        <v>310</v>
      </c>
      <c r="F341" s="150" t="s">
        <v>311</v>
      </c>
      <c r="G341" s="125" t="s">
        <v>316</v>
      </c>
      <c r="H341" s="125">
        <v>967145</v>
      </c>
      <c r="I341" s="150" t="s">
        <v>314</v>
      </c>
      <c r="J341" s="150" t="s">
        <v>217</v>
      </c>
      <c r="K341" s="257">
        <v>5</v>
      </c>
      <c r="L341" s="125"/>
      <c r="M341" s="259">
        <f>K341-(L341+L342+L343)</f>
        <v>5</v>
      </c>
      <c r="N341" s="261">
        <f>(L341+L342+L343)/K341</f>
        <v>0</v>
      </c>
    </row>
    <row r="342" spans="1:14" ht="15" hidden="1" customHeight="1">
      <c r="A342" s="150" t="s">
        <v>330</v>
      </c>
      <c r="B342" s="150" t="s">
        <v>309</v>
      </c>
      <c r="C342" s="98">
        <v>43937</v>
      </c>
      <c r="D342" s="150">
        <v>61</v>
      </c>
      <c r="E342" s="150" t="s">
        <v>310</v>
      </c>
      <c r="F342" s="150" t="s">
        <v>311</v>
      </c>
      <c r="G342" s="125" t="s">
        <v>317</v>
      </c>
      <c r="H342" s="125">
        <v>967342</v>
      </c>
      <c r="I342" s="150" t="s">
        <v>314</v>
      </c>
      <c r="J342" s="150" t="s">
        <v>217</v>
      </c>
      <c r="K342" s="263"/>
      <c r="L342" s="125"/>
      <c r="M342" s="264"/>
      <c r="N342" s="265"/>
    </row>
    <row r="343" spans="1:14" ht="15" hidden="1" customHeight="1">
      <c r="A343" s="150" t="s">
        <v>330</v>
      </c>
      <c r="B343" s="150" t="s">
        <v>309</v>
      </c>
      <c r="C343" s="98">
        <v>43937</v>
      </c>
      <c r="D343" s="150">
        <v>61</v>
      </c>
      <c r="E343" s="150" t="s">
        <v>310</v>
      </c>
      <c r="F343" s="150" t="s">
        <v>311</v>
      </c>
      <c r="G343" s="125" t="s">
        <v>318</v>
      </c>
      <c r="H343" s="125">
        <v>967281</v>
      </c>
      <c r="I343" s="150" t="s">
        <v>314</v>
      </c>
      <c r="J343" s="150" t="s">
        <v>217</v>
      </c>
      <c r="K343" s="258"/>
      <c r="L343" s="125"/>
      <c r="M343" s="260"/>
      <c r="N343" s="262"/>
    </row>
    <row r="344" spans="1:14" ht="15" hidden="1" customHeight="1">
      <c r="A344" s="150" t="s">
        <v>330</v>
      </c>
      <c r="B344" s="150" t="s">
        <v>309</v>
      </c>
      <c r="C344" s="98">
        <v>43937</v>
      </c>
      <c r="D344" s="150">
        <v>61</v>
      </c>
      <c r="E344" s="150" t="s">
        <v>310</v>
      </c>
      <c r="F344" s="150" t="s">
        <v>311</v>
      </c>
      <c r="G344" s="150" t="s">
        <v>316</v>
      </c>
      <c r="H344" s="150">
        <v>967145</v>
      </c>
      <c r="I344" s="150" t="s">
        <v>314</v>
      </c>
      <c r="J344" s="150" t="s">
        <v>218</v>
      </c>
      <c r="K344" s="257">
        <v>25</v>
      </c>
      <c r="L344" s="125"/>
      <c r="M344" s="259">
        <f>K344-(L344+L345+L346)</f>
        <v>25</v>
      </c>
      <c r="N344" s="261">
        <f>(L344+L345+L346)/K344</f>
        <v>0</v>
      </c>
    </row>
    <row r="345" spans="1:14" ht="15" hidden="1" customHeight="1">
      <c r="A345" s="150" t="s">
        <v>330</v>
      </c>
      <c r="B345" s="150" t="s">
        <v>309</v>
      </c>
      <c r="C345" s="98">
        <v>43937</v>
      </c>
      <c r="D345" s="150">
        <v>61</v>
      </c>
      <c r="E345" s="150" t="s">
        <v>310</v>
      </c>
      <c r="F345" s="150" t="s">
        <v>311</v>
      </c>
      <c r="G345" s="150" t="s">
        <v>317</v>
      </c>
      <c r="H345" s="150">
        <v>967342</v>
      </c>
      <c r="I345" s="150" t="s">
        <v>314</v>
      </c>
      <c r="J345" s="150" t="s">
        <v>218</v>
      </c>
      <c r="K345" s="263"/>
      <c r="L345" s="125"/>
      <c r="M345" s="264"/>
      <c r="N345" s="265"/>
    </row>
    <row r="346" spans="1:14" ht="15" hidden="1" customHeight="1">
      <c r="A346" s="150" t="s">
        <v>330</v>
      </c>
      <c r="B346" s="150" t="s">
        <v>309</v>
      </c>
      <c r="C346" s="98">
        <v>43937</v>
      </c>
      <c r="D346" s="150">
        <v>61</v>
      </c>
      <c r="E346" s="150" t="s">
        <v>310</v>
      </c>
      <c r="F346" s="150" t="s">
        <v>311</v>
      </c>
      <c r="G346" s="150" t="s">
        <v>318</v>
      </c>
      <c r="H346" s="150">
        <v>967281</v>
      </c>
      <c r="I346" s="150" t="s">
        <v>314</v>
      </c>
      <c r="J346" s="150" t="s">
        <v>218</v>
      </c>
      <c r="K346" s="258"/>
      <c r="L346" s="125"/>
      <c r="M346" s="260"/>
      <c r="N346" s="262"/>
    </row>
    <row r="347" spans="1:14" ht="15" hidden="1" customHeight="1">
      <c r="A347" s="125" t="s">
        <v>458</v>
      </c>
      <c r="B347" s="153" t="s">
        <v>309</v>
      </c>
      <c r="C347" s="98">
        <v>43942</v>
      </c>
      <c r="D347" s="125">
        <v>62</v>
      </c>
      <c r="E347" s="153" t="s">
        <v>310</v>
      </c>
      <c r="F347" s="153" t="s">
        <v>311</v>
      </c>
      <c r="G347" s="153" t="s">
        <v>312</v>
      </c>
      <c r="H347" s="153">
        <v>968165</v>
      </c>
      <c r="I347" s="153" t="s">
        <v>314</v>
      </c>
      <c r="J347" s="153" t="s">
        <v>217</v>
      </c>
      <c r="K347" s="257">
        <v>1</v>
      </c>
      <c r="L347" s="141">
        <v>28.111999999999998</v>
      </c>
      <c r="M347" s="259">
        <f t="shared" ref="M347" si="40">K347-(L347+L348)</f>
        <v>-27.111999999999998</v>
      </c>
      <c r="N347" s="261">
        <f t="shared" ref="N347" si="41">(L347+L348)/K347</f>
        <v>28.111999999999998</v>
      </c>
    </row>
    <row r="348" spans="1:14" ht="15" hidden="1" customHeight="1">
      <c r="A348" s="153" t="s">
        <v>458</v>
      </c>
      <c r="B348" s="153" t="s">
        <v>309</v>
      </c>
      <c r="C348" s="98">
        <v>43942</v>
      </c>
      <c r="D348" s="153">
        <v>62</v>
      </c>
      <c r="E348" s="153" t="s">
        <v>310</v>
      </c>
      <c r="F348" s="153" t="s">
        <v>311</v>
      </c>
      <c r="G348" s="153" t="s">
        <v>313</v>
      </c>
      <c r="H348" s="153">
        <v>968160</v>
      </c>
      <c r="I348" s="153" t="s">
        <v>314</v>
      </c>
      <c r="J348" s="153" t="s">
        <v>217</v>
      </c>
      <c r="K348" s="258"/>
      <c r="L348" s="141"/>
      <c r="M348" s="260"/>
      <c r="N348" s="262"/>
    </row>
    <row r="349" spans="1:14" ht="15" hidden="1" customHeight="1">
      <c r="A349" s="153" t="s">
        <v>458</v>
      </c>
      <c r="B349" s="153" t="s">
        <v>309</v>
      </c>
      <c r="C349" s="98">
        <v>43942</v>
      </c>
      <c r="D349" s="153">
        <v>62</v>
      </c>
      <c r="E349" s="153" t="s">
        <v>310</v>
      </c>
      <c r="F349" s="153" t="s">
        <v>311</v>
      </c>
      <c r="G349" s="153" t="s">
        <v>312</v>
      </c>
      <c r="H349" s="153">
        <v>968165</v>
      </c>
      <c r="I349" s="153" t="s">
        <v>314</v>
      </c>
      <c r="J349" s="153" t="s">
        <v>218</v>
      </c>
      <c r="K349" s="257">
        <v>67</v>
      </c>
      <c r="L349" s="141">
        <v>12.903</v>
      </c>
      <c r="M349" s="259">
        <f t="shared" ref="M349" si="42">K349-(L349+L350)</f>
        <v>54.097000000000001</v>
      </c>
      <c r="N349" s="261">
        <f t="shared" ref="N349" si="43">(L349+L350)/K349</f>
        <v>0.19258208955223882</v>
      </c>
    </row>
    <row r="350" spans="1:14" ht="15" hidden="1" customHeight="1">
      <c r="A350" s="153" t="s">
        <v>458</v>
      </c>
      <c r="B350" s="153" t="s">
        <v>309</v>
      </c>
      <c r="C350" s="98">
        <v>43942</v>
      </c>
      <c r="D350" s="153">
        <v>62</v>
      </c>
      <c r="E350" s="153" t="s">
        <v>310</v>
      </c>
      <c r="F350" s="153" t="s">
        <v>311</v>
      </c>
      <c r="G350" s="153" t="s">
        <v>313</v>
      </c>
      <c r="H350" s="153">
        <v>968160</v>
      </c>
      <c r="I350" s="153" t="s">
        <v>314</v>
      </c>
      <c r="J350" s="153" t="s">
        <v>218</v>
      </c>
      <c r="K350" s="258"/>
      <c r="L350" s="141"/>
      <c r="M350" s="260"/>
      <c r="N350" s="262"/>
    </row>
    <row r="351" spans="1:14" ht="15" hidden="1" customHeight="1">
      <c r="A351" s="125" t="s">
        <v>460</v>
      </c>
      <c r="B351" s="153" t="s">
        <v>309</v>
      </c>
      <c r="C351" s="98">
        <v>43942</v>
      </c>
      <c r="D351" s="125">
        <v>63</v>
      </c>
      <c r="E351" s="153" t="s">
        <v>310</v>
      </c>
      <c r="F351" s="153" t="s">
        <v>311</v>
      </c>
      <c r="G351" s="153" t="s">
        <v>316</v>
      </c>
      <c r="H351" s="153">
        <v>967145</v>
      </c>
      <c r="I351" s="153" t="s">
        <v>314</v>
      </c>
      <c r="J351" s="153" t="s">
        <v>217</v>
      </c>
      <c r="K351" s="257">
        <v>1</v>
      </c>
      <c r="L351" s="125"/>
      <c r="M351" s="259">
        <f>K351-(L351+L352+L353+L354)</f>
        <v>1</v>
      </c>
      <c r="N351" s="261">
        <f>(L351+L352+L353+L354)/K351</f>
        <v>0</v>
      </c>
    </row>
    <row r="352" spans="1:14" ht="15" hidden="1" customHeight="1">
      <c r="A352" s="153" t="s">
        <v>460</v>
      </c>
      <c r="B352" s="153" t="s">
        <v>309</v>
      </c>
      <c r="C352" s="98">
        <v>43942</v>
      </c>
      <c r="D352" s="153">
        <v>63</v>
      </c>
      <c r="E352" s="153" t="s">
        <v>310</v>
      </c>
      <c r="F352" s="153" t="s">
        <v>311</v>
      </c>
      <c r="G352" s="153" t="s">
        <v>317</v>
      </c>
      <c r="H352" s="153">
        <v>967342</v>
      </c>
      <c r="I352" s="153" t="s">
        <v>314</v>
      </c>
      <c r="J352" s="153" t="s">
        <v>217</v>
      </c>
      <c r="K352" s="263"/>
      <c r="L352" s="125"/>
      <c r="M352" s="264"/>
      <c r="N352" s="265"/>
    </row>
    <row r="353" spans="1:14" ht="15" hidden="1" customHeight="1">
      <c r="A353" s="153" t="s">
        <v>460</v>
      </c>
      <c r="B353" s="153" t="s">
        <v>309</v>
      </c>
      <c r="C353" s="98">
        <v>43942</v>
      </c>
      <c r="D353" s="153">
        <v>63</v>
      </c>
      <c r="E353" s="153" t="s">
        <v>310</v>
      </c>
      <c r="F353" s="153" t="s">
        <v>311</v>
      </c>
      <c r="G353" s="153" t="s">
        <v>318</v>
      </c>
      <c r="H353" s="153">
        <v>967281</v>
      </c>
      <c r="I353" s="153" t="s">
        <v>314</v>
      </c>
      <c r="J353" s="153" t="s">
        <v>217</v>
      </c>
      <c r="K353" s="263"/>
      <c r="L353" s="125"/>
      <c r="M353" s="264"/>
      <c r="N353" s="265"/>
    </row>
    <row r="354" spans="1:14" ht="15" hidden="1" customHeight="1">
      <c r="A354" s="153" t="s">
        <v>460</v>
      </c>
      <c r="B354" s="153" t="s">
        <v>309</v>
      </c>
      <c r="C354" s="98">
        <v>43942</v>
      </c>
      <c r="D354" s="153">
        <v>63</v>
      </c>
      <c r="E354" s="153" t="s">
        <v>310</v>
      </c>
      <c r="F354" s="153" t="s">
        <v>311</v>
      </c>
      <c r="G354" s="153" t="s">
        <v>461</v>
      </c>
      <c r="H354" s="153">
        <v>967484</v>
      </c>
      <c r="I354" s="153" t="s">
        <v>314</v>
      </c>
      <c r="J354" s="153" t="s">
        <v>217</v>
      </c>
      <c r="K354" s="258"/>
      <c r="L354" s="125"/>
      <c r="M354" s="260"/>
      <c r="N354" s="262"/>
    </row>
    <row r="355" spans="1:14" ht="15" hidden="1" customHeight="1">
      <c r="A355" s="153" t="s">
        <v>460</v>
      </c>
      <c r="B355" s="153" t="s">
        <v>309</v>
      </c>
      <c r="C355" s="98">
        <v>43942</v>
      </c>
      <c r="D355" s="153">
        <v>63</v>
      </c>
      <c r="E355" s="153" t="s">
        <v>310</v>
      </c>
      <c r="F355" s="153" t="s">
        <v>311</v>
      </c>
      <c r="G355" s="153" t="s">
        <v>316</v>
      </c>
      <c r="H355" s="153">
        <v>967145</v>
      </c>
      <c r="I355" s="153" t="s">
        <v>314</v>
      </c>
      <c r="J355" s="125" t="s">
        <v>218</v>
      </c>
      <c r="K355" s="257">
        <v>67</v>
      </c>
      <c r="L355" s="125"/>
      <c r="M355" s="259">
        <f>K355-(L355+L356+L357+L358)</f>
        <v>67</v>
      </c>
      <c r="N355" s="261">
        <f>(L355+L356+L357+L358)/K355</f>
        <v>0</v>
      </c>
    </row>
    <row r="356" spans="1:14" ht="15" hidden="1" customHeight="1">
      <c r="A356" s="153" t="s">
        <v>460</v>
      </c>
      <c r="B356" s="153" t="s">
        <v>309</v>
      </c>
      <c r="C356" s="98">
        <v>43942</v>
      </c>
      <c r="D356" s="153">
        <v>63</v>
      </c>
      <c r="E356" s="153" t="s">
        <v>310</v>
      </c>
      <c r="F356" s="153" t="s">
        <v>311</v>
      </c>
      <c r="G356" s="153" t="s">
        <v>317</v>
      </c>
      <c r="H356" s="153">
        <v>967342</v>
      </c>
      <c r="I356" s="153" t="s">
        <v>314</v>
      </c>
      <c r="J356" s="153" t="s">
        <v>218</v>
      </c>
      <c r="K356" s="263"/>
      <c r="L356" s="125"/>
      <c r="M356" s="264"/>
      <c r="N356" s="265"/>
    </row>
    <row r="357" spans="1:14" ht="15" hidden="1" customHeight="1">
      <c r="A357" s="153" t="s">
        <v>460</v>
      </c>
      <c r="B357" s="153" t="s">
        <v>309</v>
      </c>
      <c r="C357" s="98">
        <v>43942</v>
      </c>
      <c r="D357" s="153">
        <v>63</v>
      </c>
      <c r="E357" s="153" t="s">
        <v>310</v>
      </c>
      <c r="F357" s="153" t="s">
        <v>311</v>
      </c>
      <c r="G357" s="153" t="s">
        <v>318</v>
      </c>
      <c r="H357" s="153">
        <v>967281</v>
      </c>
      <c r="I357" s="153" t="s">
        <v>314</v>
      </c>
      <c r="J357" s="153" t="s">
        <v>218</v>
      </c>
      <c r="K357" s="263"/>
      <c r="L357" s="125"/>
      <c r="M357" s="264"/>
      <c r="N357" s="265"/>
    </row>
    <row r="358" spans="1:14" ht="15" hidden="1" customHeight="1">
      <c r="A358" s="153" t="s">
        <v>460</v>
      </c>
      <c r="B358" s="153" t="s">
        <v>309</v>
      </c>
      <c r="C358" s="98">
        <v>43942</v>
      </c>
      <c r="D358" s="153">
        <v>63</v>
      </c>
      <c r="E358" s="153" t="s">
        <v>310</v>
      </c>
      <c r="F358" s="153" t="s">
        <v>311</v>
      </c>
      <c r="G358" s="153" t="s">
        <v>461</v>
      </c>
      <c r="H358" s="153">
        <v>967484</v>
      </c>
      <c r="I358" s="153" t="s">
        <v>314</v>
      </c>
      <c r="J358" s="153" t="s">
        <v>218</v>
      </c>
      <c r="K358" s="258"/>
      <c r="L358" s="125"/>
      <c r="M358" s="260"/>
      <c r="N358" s="262"/>
    </row>
    <row r="359" spans="1:14" ht="15" hidden="1" customHeight="1">
      <c r="A359" s="125" t="s">
        <v>491</v>
      </c>
      <c r="B359" s="154" t="s">
        <v>309</v>
      </c>
      <c r="C359" s="98">
        <v>43942</v>
      </c>
      <c r="D359" s="125">
        <v>64</v>
      </c>
      <c r="E359" s="154" t="s">
        <v>310</v>
      </c>
      <c r="F359" s="154" t="s">
        <v>311</v>
      </c>
      <c r="G359" s="154" t="s">
        <v>316</v>
      </c>
      <c r="H359" s="154">
        <v>967145</v>
      </c>
      <c r="I359" s="154" t="s">
        <v>314</v>
      </c>
      <c r="J359" s="154" t="s">
        <v>217</v>
      </c>
      <c r="K359" s="257">
        <v>8</v>
      </c>
      <c r="L359" s="125"/>
      <c r="M359" s="259">
        <f>K359-(L359+L360+L361)</f>
        <v>8</v>
      </c>
      <c r="N359" s="261">
        <f>(L359+L360+L361)/K359</f>
        <v>0</v>
      </c>
    </row>
    <row r="360" spans="1:14" ht="15" hidden="1" customHeight="1">
      <c r="A360" s="154" t="s">
        <v>491</v>
      </c>
      <c r="B360" s="154" t="s">
        <v>309</v>
      </c>
      <c r="C360" s="98">
        <v>43942</v>
      </c>
      <c r="D360" s="154">
        <v>64</v>
      </c>
      <c r="E360" s="154" t="s">
        <v>310</v>
      </c>
      <c r="F360" s="154" t="s">
        <v>311</v>
      </c>
      <c r="G360" s="154" t="s">
        <v>317</v>
      </c>
      <c r="H360" s="154">
        <v>967342</v>
      </c>
      <c r="I360" s="154" t="s">
        <v>314</v>
      </c>
      <c r="J360" s="154" t="s">
        <v>217</v>
      </c>
      <c r="K360" s="263"/>
      <c r="L360" s="125"/>
      <c r="M360" s="264"/>
      <c r="N360" s="265"/>
    </row>
    <row r="361" spans="1:14" ht="15" hidden="1" customHeight="1">
      <c r="A361" s="154" t="s">
        <v>491</v>
      </c>
      <c r="B361" s="154" t="s">
        <v>309</v>
      </c>
      <c r="C361" s="98">
        <v>43942</v>
      </c>
      <c r="D361" s="154">
        <v>64</v>
      </c>
      <c r="E361" s="154" t="s">
        <v>310</v>
      </c>
      <c r="F361" s="154" t="s">
        <v>311</v>
      </c>
      <c r="G361" s="154" t="s">
        <v>318</v>
      </c>
      <c r="H361" s="154">
        <v>967281</v>
      </c>
      <c r="I361" s="154" t="s">
        <v>314</v>
      </c>
      <c r="J361" s="154" t="s">
        <v>217</v>
      </c>
      <c r="K361" s="258"/>
      <c r="L361" s="125"/>
      <c r="M361" s="260"/>
      <c r="N361" s="262"/>
    </row>
    <row r="362" spans="1:14" ht="15" hidden="1" customHeight="1">
      <c r="A362" s="154" t="s">
        <v>491</v>
      </c>
      <c r="B362" s="154" t="s">
        <v>309</v>
      </c>
      <c r="C362" s="98">
        <v>43942</v>
      </c>
      <c r="D362" s="154">
        <v>64</v>
      </c>
      <c r="E362" s="154" t="s">
        <v>310</v>
      </c>
      <c r="F362" s="154" t="s">
        <v>311</v>
      </c>
      <c r="G362" s="154" t="s">
        <v>316</v>
      </c>
      <c r="H362" s="154">
        <v>967145</v>
      </c>
      <c r="I362" s="154" t="s">
        <v>314</v>
      </c>
      <c r="J362" s="154" t="s">
        <v>218</v>
      </c>
      <c r="K362" s="257">
        <v>16</v>
      </c>
      <c r="L362" s="125"/>
      <c r="M362" s="259">
        <f>K362-(L362+L363+L364)</f>
        <v>16</v>
      </c>
      <c r="N362" s="261">
        <f>(L362+L363+L364)/K362</f>
        <v>0</v>
      </c>
    </row>
    <row r="363" spans="1:14" ht="15" hidden="1" customHeight="1">
      <c r="A363" s="154" t="s">
        <v>491</v>
      </c>
      <c r="B363" s="154" t="s">
        <v>309</v>
      </c>
      <c r="C363" s="98">
        <v>43942</v>
      </c>
      <c r="D363" s="154">
        <v>64</v>
      </c>
      <c r="E363" s="154" t="s">
        <v>310</v>
      </c>
      <c r="F363" s="154" t="s">
        <v>311</v>
      </c>
      <c r="G363" s="154" t="s">
        <v>317</v>
      </c>
      <c r="H363" s="154">
        <v>967342</v>
      </c>
      <c r="I363" s="154" t="s">
        <v>314</v>
      </c>
      <c r="J363" s="154" t="s">
        <v>218</v>
      </c>
      <c r="K363" s="263"/>
      <c r="L363" s="125"/>
      <c r="M363" s="264"/>
      <c r="N363" s="265"/>
    </row>
    <row r="364" spans="1:14" ht="15" hidden="1" customHeight="1">
      <c r="A364" s="154" t="s">
        <v>491</v>
      </c>
      <c r="B364" s="154" t="s">
        <v>309</v>
      </c>
      <c r="C364" s="98">
        <v>43942</v>
      </c>
      <c r="D364" s="154">
        <v>64</v>
      </c>
      <c r="E364" s="154" t="s">
        <v>310</v>
      </c>
      <c r="F364" s="154" t="s">
        <v>311</v>
      </c>
      <c r="G364" s="154" t="s">
        <v>318</v>
      </c>
      <c r="H364" s="154">
        <v>967281</v>
      </c>
      <c r="I364" s="154" t="s">
        <v>314</v>
      </c>
      <c r="J364" s="154" t="s">
        <v>218</v>
      </c>
      <c r="K364" s="258"/>
      <c r="L364" s="125"/>
      <c r="M364" s="260"/>
      <c r="N364" s="262"/>
    </row>
    <row r="365" spans="1:14" ht="15" hidden="1" customHeight="1">
      <c r="A365" s="125" t="s">
        <v>414</v>
      </c>
      <c r="B365" s="159" t="s">
        <v>323</v>
      </c>
      <c r="C365" s="98">
        <v>43949</v>
      </c>
      <c r="D365" s="125">
        <v>1137</v>
      </c>
      <c r="E365" s="125" t="s">
        <v>324</v>
      </c>
      <c r="F365" s="125" t="s">
        <v>325</v>
      </c>
      <c r="G365" s="125" t="s">
        <v>507</v>
      </c>
      <c r="H365" s="125">
        <v>968772</v>
      </c>
      <c r="I365" s="159" t="s">
        <v>314</v>
      </c>
      <c r="J365" s="159" t="s">
        <v>217</v>
      </c>
      <c r="K365" s="193">
        <v>50</v>
      </c>
      <c r="L365" s="141">
        <v>100.172</v>
      </c>
      <c r="M365" s="124">
        <f t="shared" ref="M365" si="44">K365-L365</f>
        <v>-50.171999999999997</v>
      </c>
      <c r="N365" s="113">
        <f t="shared" ref="N365" si="45">L365/K365</f>
        <v>2.0034399999999999</v>
      </c>
    </row>
    <row r="366" spans="1:14" ht="15" hidden="1" customHeight="1">
      <c r="A366" s="159" t="s">
        <v>414</v>
      </c>
      <c r="B366" s="159" t="s">
        <v>323</v>
      </c>
      <c r="C366" s="98">
        <v>43949</v>
      </c>
      <c r="D366" s="159">
        <v>1137</v>
      </c>
      <c r="E366" s="159" t="s">
        <v>324</v>
      </c>
      <c r="F366" s="159" t="s">
        <v>325</v>
      </c>
      <c r="G366" s="159" t="s">
        <v>507</v>
      </c>
      <c r="H366" s="159">
        <v>968772</v>
      </c>
      <c r="I366" s="159" t="s">
        <v>314</v>
      </c>
      <c r="J366" s="159" t="s">
        <v>218</v>
      </c>
      <c r="K366" s="193">
        <v>160</v>
      </c>
      <c r="L366" s="141">
        <v>109.828</v>
      </c>
      <c r="M366" s="124">
        <f t="shared" ref="M366:M388" si="46">K366-L366</f>
        <v>50.171999999999997</v>
      </c>
      <c r="N366" s="113">
        <f t="shared" ref="N366:N388" si="47">L366/K366</f>
        <v>0.68642500000000006</v>
      </c>
    </row>
    <row r="367" spans="1:14" ht="15" hidden="1" customHeight="1">
      <c r="A367" s="159" t="s">
        <v>414</v>
      </c>
      <c r="B367" s="159" t="s">
        <v>323</v>
      </c>
      <c r="C367" s="98">
        <v>43949</v>
      </c>
      <c r="D367" s="159">
        <v>1137</v>
      </c>
      <c r="E367" s="159" t="s">
        <v>324</v>
      </c>
      <c r="F367" s="159" t="s">
        <v>325</v>
      </c>
      <c r="G367" s="125" t="s">
        <v>508</v>
      </c>
      <c r="H367" s="125">
        <v>954793</v>
      </c>
      <c r="I367" s="159" t="s">
        <v>314</v>
      </c>
      <c r="J367" s="159" t="s">
        <v>217</v>
      </c>
      <c r="K367" s="193">
        <v>50</v>
      </c>
      <c r="L367" s="141">
        <v>67.040000000000006</v>
      </c>
      <c r="M367" s="124">
        <f t="shared" si="46"/>
        <v>-17.040000000000006</v>
      </c>
      <c r="N367" s="113">
        <f t="shared" si="47"/>
        <v>1.3408000000000002</v>
      </c>
    </row>
    <row r="368" spans="1:14" ht="15" hidden="1" customHeight="1">
      <c r="A368" s="159" t="s">
        <v>414</v>
      </c>
      <c r="B368" s="159" t="s">
        <v>323</v>
      </c>
      <c r="C368" s="98">
        <v>43949</v>
      </c>
      <c r="D368" s="159">
        <v>1137</v>
      </c>
      <c r="E368" s="159" t="s">
        <v>324</v>
      </c>
      <c r="F368" s="159" t="s">
        <v>325</v>
      </c>
      <c r="G368" s="159" t="s">
        <v>508</v>
      </c>
      <c r="H368" s="159">
        <v>954793</v>
      </c>
      <c r="I368" s="159" t="s">
        <v>314</v>
      </c>
      <c r="J368" s="159" t="s">
        <v>218</v>
      </c>
      <c r="K368" s="193">
        <v>160</v>
      </c>
      <c r="L368" s="141">
        <v>46.844000000000001</v>
      </c>
      <c r="M368" s="124">
        <f t="shared" si="46"/>
        <v>113.15600000000001</v>
      </c>
      <c r="N368" s="113">
        <f t="shared" si="47"/>
        <v>0.29277500000000001</v>
      </c>
    </row>
    <row r="369" spans="1:14" ht="15" hidden="1" customHeight="1">
      <c r="A369" s="159" t="s">
        <v>414</v>
      </c>
      <c r="B369" s="159" t="s">
        <v>323</v>
      </c>
      <c r="C369" s="98">
        <v>43949</v>
      </c>
      <c r="D369" s="159">
        <v>1137</v>
      </c>
      <c r="E369" s="159" t="s">
        <v>324</v>
      </c>
      <c r="F369" s="159" t="s">
        <v>325</v>
      </c>
      <c r="G369" s="125" t="s">
        <v>509</v>
      </c>
      <c r="H369" s="125">
        <v>964877</v>
      </c>
      <c r="I369" s="159" t="s">
        <v>314</v>
      </c>
      <c r="J369" s="159" t="s">
        <v>217</v>
      </c>
      <c r="K369" s="193">
        <v>190</v>
      </c>
      <c r="L369" s="141">
        <v>17.713999999999999</v>
      </c>
      <c r="M369" s="124">
        <f t="shared" si="46"/>
        <v>172.286</v>
      </c>
      <c r="N369" s="113">
        <f t="shared" si="47"/>
        <v>9.3231578947368415E-2</v>
      </c>
    </row>
    <row r="370" spans="1:14" ht="15" hidden="1" customHeight="1">
      <c r="A370" s="159" t="s">
        <v>414</v>
      </c>
      <c r="B370" s="159" t="s">
        <v>323</v>
      </c>
      <c r="C370" s="98">
        <v>43949</v>
      </c>
      <c r="D370" s="159">
        <v>1137</v>
      </c>
      <c r="E370" s="159" t="s">
        <v>324</v>
      </c>
      <c r="F370" s="159" t="s">
        <v>325</v>
      </c>
      <c r="G370" s="159" t="s">
        <v>509</v>
      </c>
      <c r="H370" s="159">
        <v>964877</v>
      </c>
      <c r="I370" s="159" t="s">
        <v>314</v>
      </c>
      <c r="J370" s="159" t="s">
        <v>218</v>
      </c>
      <c r="K370" s="193">
        <v>120</v>
      </c>
      <c r="L370" s="141">
        <v>29.483000000000001</v>
      </c>
      <c r="M370" s="124">
        <f t="shared" si="46"/>
        <v>90.516999999999996</v>
      </c>
      <c r="N370" s="113">
        <f t="shared" si="47"/>
        <v>0.24569166666666667</v>
      </c>
    </row>
    <row r="371" spans="1:14" ht="15" hidden="1" customHeight="1">
      <c r="A371" s="159" t="s">
        <v>414</v>
      </c>
      <c r="B371" s="159" t="s">
        <v>323</v>
      </c>
      <c r="C371" s="98">
        <v>43949</v>
      </c>
      <c r="D371" s="159">
        <v>1137</v>
      </c>
      <c r="E371" s="159" t="s">
        <v>324</v>
      </c>
      <c r="F371" s="159" t="s">
        <v>325</v>
      </c>
      <c r="G371" s="125" t="s">
        <v>510</v>
      </c>
      <c r="H371" s="125">
        <v>923170</v>
      </c>
      <c r="I371" s="159" t="s">
        <v>314</v>
      </c>
      <c r="J371" s="159" t="s">
        <v>217</v>
      </c>
      <c r="K371" s="193">
        <v>70</v>
      </c>
      <c r="L371" s="141">
        <v>70</v>
      </c>
      <c r="M371" s="124">
        <f t="shared" si="46"/>
        <v>0</v>
      </c>
      <c r="N371" s="113">
        <f t="shared" si="47"/>
        <v>1</v>
      </c>
    </row>
    <row r="372" spans="1:14" ht="15" hidden="1" customHeight="1">
      <c r="A372" s="159" t="s">
        <v>414</v>
      </c>
      <c r="B372" s="159" t="s">
        <v>323</v>
      </c>
      <c r="C372" s="98">
        <v>43949</v>
      </c>
      <c r="D372" s="159">
        <v>1137</v>
      </c>
      <c r="E372" s="159" t="s">
        <v>324</v>
      </c>
      <c r="F372" s="159" t="s">
        <v>325</v>
      </c>
      <c r="G372" s="159" t="s">
        <v>510</v>
      </c>
      <c r="H372" s="159">
        <v>923170</v>
      </c>
      <c r="I372" s="159" t="s">
        <v>314</v>
      </c>
      <c r="J372" s="159" t="s">
        <v>218</v>
      </c>
      <c r="K372" s="193">
        <v>140</v>
      </c>
      <c r="L372" s="141">
        <v>129.06299999999999</v>
      </c>
      <c r="M372" s="124">
        <f t="shared" si="46"/>
        <v>10.937000000000012</v>
      </c>
      <c r="N372" s="113">
        <f t="shared" si="47"/>
        <v>0.92187857142857133</v>
      </c>
    </row>
    <row r="373" spans="1:14" ht="15" hidden="1" customHeight="1">
      <c r="A373" s="159" t="s">
        <v>414</v>
      </c>
      <c r="B373" s="159" t="s">
        <v>323</v>
      </c>
      <c r="C373" s="98">
        <v>43949</v>
      </c>
      <c r="D373" s="159">
        <v>1137</v>
      </c>
      <c r="E373" s="159" t="s">
        <v>324</v>
      </c>
      <c r="F373" s="159" t="s">
        <v>325</v>
      </c>
      <c r="G373" s="125" t="s">
        <v>511</v>
      </c>
      <c r="H373" s="125">
        <v>952808</v>
      </c>
      <c r="I373" s="159" t="s">
        <v>314</v>
      </c>
      <c r="J373" s="159" t="s">
        <v>217</v>
      </c>
      <c r="K373" s="193">
        <v>50</v>
      </c>
      <c r="L373" s="141">
        <v>75.58</v>
      </c>
      <c r="M373" s="124">
        <f t="shared" si="46"/>
        <v>-25.58</v>
      </c>
      <c r="N373" s="113">
        <f t="shared" si="47"/>
        <v>1.5116000000000001</v>
      </c>
    </row>
    <row r="374" spans="1:14" ht="15" hidden="1" customHeight="1">
      <c r="A374" s="159" t="s">
        <v>414</v>
      </c>
      <c r="B374" s="159" t="s">
        <v>323</v>
      </c>
      <c r="C374" s="98">
        <v>43949</v>
      </c>
      <c r="D374" s="159">
        <v>1137</v>
      </c>
      <c r="E374" s="159" t="s">
        <v>324</v>
      </c>
      <c r="F374" s="159" t="s">
        <v>325</v>
      </c>
      <c r="G374" s="159" t="s">
        <v>511</v>
      </c>
      <c r="H374" s="159">
        <v>952808</v>
      </c>
      <c r="I374" s="159" t="s">
        <v>314</v>
      </c>
      <c r="J374" s="159" t="s">
        <v>218</v>
      </c>
      <c r="K374" s="193">
        <v>160</v>
      </c>
      <c r="L374" s="141">
        <v>134.41999999999999</v>
      </c>
      <c r="M374" s="124">
        <f t="shared" si="46"/>
        <v>25.580000000000013</v>
      </c>
      <c r="N374" s="113">
        <f t="shared" si="47"/>
        <v>0.8401249999999999</v>
      </c>
    </row>
    <row r="375" spans="1:14" ht="15" hidden="1" customHeight="1">
      <c r="A375" s="159" t="s">
        <v>414</v>
      </c>
      <c r="B375" s="159" t="s">
        <v>323</v>
      </c>
      <c r="C375" s="98">
        <v>43949</v>
      </c>
      <c r="D375" s="159">
        <v>1137</v>
      </c>
      <c r="E375" s="159" t="s">
        <v>324</v>
      </c>
      <c r="F375" s="159" t="s">
        <v>325</v>
      </c>
      <c r="G375" s="125" t="s">
        <v>512</v>
      </c>
      <c r="H375" s="125">
        <v>955587</v>
      </c>
      <c r="I375" s="159" t="s">
        <v>314</v>
      </c>
      <c r="J375" s="159" t="s">
        <v>217</v>
      </c>
      <c r="K375" s="193">
        <v>50</v>
      </c>
      <c r="L375" s="141"/>
      <c r="M375" s="124">
        <f t="shared" si="46"/>
        <v>50</v>
      </c>
      <c r="N375" s="113">
        <f t="shared" si="47"/>
        <v>0</v>
      </c>
    </row>
    <row r="376" spans="1:14" ht="15" hidden="1" customHeight="1">
      <c r="A376" s="159" t="s">
        <v>414</v>
      </c>
      <c r="B376" s="159" t="s">
        <v>323</v>
      </c>
      <c r="C376" s="98">
        <v>43949</v>
      </c>
      <c r="D376" s="159">
        <v>1137</v>
      </c>
      <c r="E376" s="159" t="s">
        <v>324</v>
      </c>
      <c r="F376" s="159" t="s">
        <v>325</v>
      </c>
      <c r="G376" s="159" t="s">
        <v>512</v>
      </c>
      <c r="H376" s="159">
        <v>955587</v>
      </c>
      <c r="I376" s="159" t="s">
        <v>314</v>
      </c>
      <c r="J376" s="159" t="s">
        <v>218</v>
      </c>
      <c r="K376" s="193">
        <v>160</v>
      </c>
      <c r="L376" s="141"/>
      <c r="M376" s="124">
        <f t="shared" si="46"/>
        <v>160</v>
      </c>
      <c r="N376" s="113">
        <f t="shared" si="47"/>
        <v>0</v>
      </c>
    </row>
    <row r="377" spans="1:14" ht="15" hidden="1" customHeight="1">
      <c r="A377" s="159" t="s">
        <v>414</v>
      </c>
      <c r="B377" s="159" t="s">
        <v>323</v>
      </c>
      <c r="C377" s="98">
        <v>43949</v>
      </c>
      <c r="D377" s="159">
        <v>1137</v>
      </c>
      <c r="E377" s="159" t="s">
        <v>324</v>
      </c>
      <c r="F377" s="159" t="s">
        <v>325</v>
      </c>
      <c r="G377" s="125" t="s">
        <v>513</v>
      </c>
      <c r="H377" s="125">
        <v>25153</v>
      </c>
      <c r="I377" s="159" t="s">
        <v>314</v>
      </c>
      <c r="J377" s="159" t="s">
        <v>217</v>
      </c>
      <c r="K377" s="193">
        <v>50</v>
      </c>
      <c r="L377" s="141">
        <v>44.957000000000001</v>
      </c>
      <c r="M377" s="124">
        <f t="shared" si="46"/>
        <v>5.0429999999999993</v>
      </c>
      <c r="N377" s="113">
        <f t="shared" si="47"/>
        <v>0.89914000000000005</v>
      </c>
    </row>
    <row r="378" spans="1:14" ht="15" hidden="1" customHeight="1">
      <c r="A378" s="159" t="s">
        <v>414</v>
      </c>
      <c r="B378" s="159" t="s">
        <v>323</v>
      </c>
      <c r="C378" s="98">
        <v>43949</v>
      </c>
      <c r="D378" s="159">
        <v>1137</v>
      </c>
      <c r="E378" s="159" t="s">
        <v>324</v>
      </c>
      <c r="F378" s="159" t="s">
        <v>325</v>
      </c>
      <c r="G378" s="159" t="s">
        <v>513</v>
      </c>
      <c r="H378" s="159">
        <v>25153</v>
      </c>
      <c r="I378" s="159" t="s">
        <v>314</v>
      </c>
      <c r="J378" s="159" t="s">
        <v>218</v>
      </c>
      <c r="K378" s="193">
        <v>120</v>
      </c>
      <c r="L378" s="141">
        <v>47.393000000000001</v>
      </c>
      <c r="M378" s="124">
        <f t="shared" si="46"/>
        <v>72.606999999999999</v>
      </c>
      <c r="N378" s="113">
        <f t="shared" si="47"/>
        <v>0.39494166666666669</v>
      </c>
    </row>
    <row r="379" spans="1:14" ht="15" hidden="1" customHeight="1">
      <c r="A379" s="159" t="s">
        <v>414</v>
      </c>
      <c r="B379" s="159" t="s">
        <v>323</v>
      </c>
      <c r="C379" s="98">
        <v>43949</v>
      </c>
      <c r="D379" s="159">
        <v>1137</v>
      </c>
      <c r="E379" s="159" t="s">
        <v>324</v>
      </c>
      <c r="F379" s="159" t="s">
        <v>325</v>
      </c>
      <c r="G379" s="125" t="s">
        <v>514</v>
      </c>
      <c r="H379" s="125">
        <v>910367</v>
      </c>
      <c r="I379" s="159" t="s">
        <v>314</v>
      </c>
      <c r="J379" s="159" t="s">
        <v>217</v>
      </c>
      <c r="K379" s="193">
        <v>70</v>
      </c>
      <c r="L379" s="141">
        <v>48.023000000000003</v>
      </c>
      <c r="M379" s="124">
        <f t="shared" si="46"/>
        <v>21.976999999999997</v>
      </c>
      <c r="N379" s="113">
        <f t="shared" si="47"/>
        <v>0.68604285714285718</v>
      </c>
    </row>
    <row r="380" spans="1:14" ht="15" hidden="1" customHeight="1">
      <c r="A380" s="159" t="s">
        <v>414</v>
      </c>
      <c r="B380" s="159" t="s">
        <v>323</v>
      </c>
      <c r="C380" s="98">
        <v>43949</v>
      </c>
      <c r="D380" s="159">
        <v>1137</v>
      </c>
      <c r="E380" s="159" t="s">
        <v>324</v>
      </c>
      <c r="F380" s="159" t="s">
        <v>325</v>
      </c>
      <c r="G380" s="159" t="s">
        <v>514</v>
      </c>
      <c r="H380" s="159">
        <v>910367</v>
      </c>
      <c r="I380" s="159" t="s">
        <v>314</v>
      </c>
      <c r="J380" s="159" t="s">
        <v>218</v>
      </c>
      <c r="K380" s="193">
        <v>120</v>
      </c>
      <c r="L380" s="141">
        <v>104.357</v>
      </c>
      <c r="M380" s="124">
        <f t="shared" si="46"/>
        <v>15.643000000000001</v>
      </c>
      <c r="N380" s="113">
        <f t="shared" si="47"/>
        <v>0.86964166666666665</v>
      </c>
    </row>
    <row r="381" spans="1:14" ht="15" hidden="1" customHeight="1">
      <c r="A381" s="159" t="s">
        <v>414</v>
      </c>
      <c r="B381" s="159" t="s">
        <v>323</v>
      </c>
      <c r="C381" s="98">
        <v>43949</v>
      </c>
      <c r="D381" s="159">
        <v>1137</v>
      </c>
      <c r="E381" s="159" t="s">
        <v>324</v>
      </c>
      <c r="F381" s="159" t="s">
        <v>325</v>
      </c>
      <c r="G381" s="125" t="s">
        <v>515</v>
      </c>
      <c r="H381" s="125">
        <v>957812</v>
      </c>
      <c r="I381" s="159" t="s">
        <v>314</v>
      </c>
      <c r="J381" s="159" t="s">
        <v>217</v>
      </c>
      <c r="K381" s="193">
        <v>50</v>
      </c>
      <c r="L381" s="141"/>
      <c r="M381" s="124">
        <f t="shared" si="46"/>
        <v>50</v>
      </c>
      <c r="N381" s="113">
        <f t="shared" si="47"/>
        <v>0</v>
      </c>
    </row>
    <row r="382" spans="1:14" ht="15" hidden="1" customHeight="1">
      <c r="A382" s="159" t="s">
        <v>414</v>
      </c>
      <c r="B382" s="159" t="s">
        <v>323</v>
      </c>
      <c r="C382" s="98">
        <v>43949</v>
      </c>
      <c r="D382" s="159">
        <v>1137</v>
      </c>
      <c r="E382" s="159" t="s">
        <v>324</v>
      </c>
      <c r="F382" s="159" t="s">
        <v>325</v>
      </c>
      <c r="G382" s="159" t="s">
        <v>515</v>
      </c>
      <c r="H382" s="159">
        <v>957812</v>
      </c>
      <c r="I382" s="159" t="s">
        <v>314</v>
      </c>
      <c r="J382" s="159" t="s">
        <v>218</v>
      </c>
      <c r="K382" s="193">
        <v>120</v>
      </c>
      <c r="L382" s="141"/>
      <c r="M382" s="124">
        <f t="shared" si="46"/>
        <v>120</v>
      </c>
      <c r="N382" s="113">
        <f t="shared" si="47"/>
        <v>0</v>
      </c>
    </row>
    <row r="383" spans="1:14" ht="15" hidden="1" customHeight="1">
      <c r="A383" s="159" t="s">
        <v>414</v>
      </c>
      <c r="B383" s="159" t="s">
        <v>323</v>
      </c>
      <c r="C383" s="98">
        <v>43949</v>
      </c>
      <c r="D383" s="159">
        <v>1137</v>
      </c>
      <c r="E383" s="159" t="s">
        <v>324</v>
      </c>
      <c r="F383" s="159" t="s">
        <v>325</v>
      </c>
      <c r="G383" s="125" t="s">
        <v>516</v>
      </c>
      <c r="H383" s="125">
        <v>960769</v>
      </c>
      <c r="I383" s="159" t="s">
        <v>314</v>
      </c>
      <c r="J383" s="159" t="s">
        <v>217</v>
      </c>
      <c r="K383" s="193">
        <v>50</v>
      </c>
      <c r="L383" s="141">
        <v>64.948999999999998</v>
      </c>
      <c r="M383" s="124">
        <f t="shared" si="46"/>
        <v>-14.948999999999998</v>
      </c>
      <c r="N383" s="113">
        <f t="shared" si="47"/>
        <v>1.29898</v>
      </c>
    </row>
    <row r="384" spans="1:14" ht="15" hidden="1" customHeight="1">
      <c r="A384" s="159" t="s">
        <v>414</v>
      </c>
      <c r="B384" s="159" t="s">
        <v>323</v>
      </c>
      <c r="C384" s="98">
        <v>43949</v>
      </c>
      <c r="D384" s="159">
        <v>1137</v>
      </c>
      <c r="E384" s="159" t="s">
        <v>324</v>
      </c>
      <c r="F384" s="159" t="s">
        <v>325</v>
      </c>
      <c r="G384" s="159" t="s">
        <v>516</v>
      </c>
      <c r="H384" s="159">
        <v>960769</v>
      </c>
      <c r="I384" s="159" t="s">
        <v>314</v>
      </c>
      <c r="J384" s="159" t="s">
        <v>218</v>
      </c>
      <c r="K384" s="193">
        <v>120</v>
      </c>
      <c r="L384" s="141">
        <v>105.051</v>
      </c>
      <c r="M384" s="124">
        <f t="shared" si="46"/>
        <v>14.948999999999998</v>
      </c>
      <c r="N384" s="113">
        <f t="shared" si="47"/>
        <v>0.87542500000000001</v>
      </c>
    </row>
    <row r="385" spans="1:14" ht="15" hidden="1" customHeight="1">
      <c r="A385" s="159" t="s">
        <v>414</v>
      </c>
      <c r="B385" s="159" t="s">
        <v>323</v>
      </c>
      <c r="C385" s="98">
        <v>43949</v>
      </c>
      <c r="D385" s="159">
        <v>1137</v>
      </c>
      <c r="E385" s="159" t="s">
        <v>324</v>
      </c>
      <c r="F385" s="159" t="s">
        <v>325</v>
      </c>
      <c r="G385" s="125" t="s">
        <v>517</v>
      </c>
      <c r="H385" s="125">
        <v>951040</v>
      </c>
      <c r="I385" s="159" t="s">
        <v>314</v>
      </c>
      <c r="J385" s="159" t="s">
        <v>217</v>
      </c>
      <c r="K385" s="193">
        <v>60</v>
      </c>
      <c r="L385" s="141"/>
      <c r="M385" s="124">
        <f t="shared" si="46"/>
        <v>60</v>
      </c>
      <c r="N385" s="113">
        <f t="shared" si="47"/>
        <v>0</v>
      </c>
    </row>
    <row r="386" spans="1:14" ht="15" hidden="1" customHeight="1">
      <c r="A386" s="159" t="s">
        <v>414</v>
      </c>
      <c r="B386" s="159" t="s">
        <v>323</v>
      </c>
      <c r="C386" s="98">
        <v>43949</v>
      </c>
      <c r="D386" s="159">
        <v>1137</v>
      </c>
      <c r="E386" s="159" t="s">
        <v>324</v>
      </c>
      <c r="F386" s="159" t="s">
        <v>325</v>
      </c>
      <c r="G386" s="159" t="s">
        <v>517</v>
      </c>
      <c r="H386" s="159">
        <v>951040</v>
      </c>
      <c r="I386" s="159" t="s">
        <v>314</v>
      </c>
      <c r="J386" s="159" t="s">
        <v>218</v>
      </c>
      <c r="K386" s="193">
        <v>120</v>
      </c>
      <c r="L386" s="141"/>
      <c r="M386" s="124">
        <f t="shared" si="46"/>
        <v>120</v>
      </c>
      <c r="N386" s="113">
        <f t="shared" si="47"/>
        <v>0</v>
      </c>
    </row>
    <row r="387" spans="1:14" ht="15" hidden="1" customHeight="1">
      <c r="A387" s="159" t="s">
        <v>414</v>
      </c>
      <c r="B387" s="159" t="s">
        <v>323</v>
      </c>
      <c r="C387" s="98">
        <v>43949</v>
      </c>
      <c r="D387" s="125">
        <v>1138</v>
      </c>
      <c r="E387" s="159" t="s">
        <v>324</v>
      </c>
      <c r="F387" s="159" t="s">
        <v>325</v>
      </c>
      <c r="G387" s="125" t="s">
        <v>518</v>
      </c>
      <c r="H387" s="125">
        <v>953084</v>
      </c>
      <c r="I387" s="159" t="s">
        <v>314</v>
      </c>
      <c r="J387" s="159" t="s">
        <v>217</v>
      </c>
      <c r="K387" s="193">
        <v>150</v>
      </c>
      <c r="L387" s="141">
        <v>35.189</v>
      </c>
      <c r="M387" s="124">
        <f t="shared" si="46"/>
        <v>114.81100000000001</v>
      </c>
      <c r="N387" s="113">
        <f t="shared" si="47"/>
        <v>0.23459333333333332</v>
      </c>
    </row>
    <row r="388" spans="1:14" ht="15" hidden="1" customHeight="1">
      <c r="A388" s="159" t="s">
        <v>414</v>
      </c>
      <c r="B388" s="159" t="s">
        <v>323</v>
      </c>
      <c r="C388" s="98">
        <v>43949</v>
      </c>
      <c r="D388" s="159">
        <v>1138</v>
      </c>
      <c r="E388" s="159" t="s">
        <v>324</v>
      </c>
      <c r="F388" s="159" t="s">
        <v>325</v>
      </c>
      <c r="G388" s="159" t="s">
        <v>518</v>
      </c>
      <c r="H388" s="159">
        <v>953084</v>
      </c>
      <c r="I388" s="159" t="s">
        <v>314</v>
      </c>
      <c r="J388" s="159" t="s">
        <v>218</v>
      </c>
      <c r="K388" s="193">
        <v>350</v>
      </c>
      <c r="L388" s="141">
        <v>120.40900000000001</v>
      </c>
      <c r="M388" s="124">
        <f t="shared" si="46"/>
        <v>229.59100000000001</v>
      </c>
      <c r="N388" s="113">
        <f t="shared" si="47"/>
        <v>0.34402571428571432</v>
      </c>
    </row>
    <row r="389" spans="1:14" ht="15" hidden="1" customHeight="1">
      <c r="A389" s="125" t="s">
        <v>519</v>
      </c>
      <c r="B389" s="125" t="s">
        <v>309</v>
      </c>
      <c r="C389" s="117">
        <v>43951</v>
      </c>
      <c r="D389" s="125">
        <v>66</v>
      </c>
      <c r="E389" s="125" t="s">
        <v>310</v>
      </c>
      <c r="F389" s="125" t="s">
        <v>311</v>
      </c>
      <c r="G389" s="160" t="s">
        <v>316</v>
      </c>
      <c r="H389" s="160">
        <v>967145</v>
      </c>
      <c r="I389" s="160" t="s">
        <v>314</v>
      </c>
      <c r="J389" s="160" t="s">
        <v>217</v>
      </c>
      <c r="K389" s="257">
        <v>35</v>
      </c>
      <c r="L389" s="160"/>
      <c r="M389" s="259">
        <f>K389-(L389+L390+L391)</f>
        <v>35</v>
      </c>
      <c r="N389" s="261">
        <f>(L389+L390+L391)/K389</f>
        <v>0</v>
      </c>
    </row>
    <row r="390" spans="1:14" ht="15" hidden="1" customHeight="1">
      <c r="A390" s="160" t="s">
        <v>519</v>
      </c>
      <c r="B390" s="160" t="s">
        <v>309</v>
      </c>
      <c r="C390" s="117">
        <v>43951</v>
      </c>
      <c r="D390" s="160">
        <v>66</v>
      </c>
      <c r="E390" s="160" t="s">
        <v>310</v>
      </c>
      <c r="F390" s="160" t="s">
        <v>311</v>
      </c>
      <c r="G390" s="160" t="s">
        <v>317</v>
      </c>
      <c r="H390" s="160">
        <v>967342</v>
      </c>
      <c r="I390" s="160" t="s">
        <v>314</v>
      </c>
      <c r="J390" s="160" t="s">
        <v>217</v>
      </c>
      <c r="K390" s="263"/>
      <c r="L390" s="160"/>
      <c r="M390" s="264"/>
      <c r="N390" s="265"/>
    </row>
    <row r="391" spans="1:14" ht="15" hidden="1" customHeight="1">
      <c r="A391" s="160" t="s">
        <v>519</v>
      </c>
      <c r="B391" s="160" t="s">
        <v>309</v>
      </c>
      <c r="C391" s="117">
        <v>43951</v>
      </c>
      <c r="D391" s="160">
        <v>66</v>
      </c>
      <c r="E391" s="160" t="s">
        <v>310</v>
      </c>
      <c r="F391" s="160" t="s">
        <v>311</v>
      </c>
      <c r="G391" s="160" t="s">
        <v>318</v>
      </c>
      <c r="H391" s="160">
        <v>967281</v>
      </c>
      <c r="I391" s="160" t="s">
        <v>314</v>
      </c>
      <c r="J391" s="160" t="s">
        <v>217</v>
      </c>
      <c r="K391" s="258"/>
      <c r="L391" s="160"/>
      <c r="M391" s="260"/>
      <c r="N391" s="262"/>
    </row>
    <row r="392" spans="1:14" ht="15" hidden="1" customHeight="1">
      <c r="A392" s="160" t="s">
        <v>519</v>
      </c>
      <c r="B392" s="160" t="s">
        <v>309</v>
      </c>
      <c r="C392" s="117">
        <v>43951</v>
      </c>
      <c r="D392" s="160">
        <v>66</v>
      </c>
      <c r="E392" s="160" t="s">
        <v>310</v>
      </c>
      <c r="F392" s="160" t="s">
        <v>311</v>
      </c>
      <c r="G392" s="160" t="s">
        <v>316</v>
      </c>
      <c r="H392" s="160">
        <v>967145</v>
      </c>
      <c r="I392" s="160" t="s">
        <v>314</v>
      </c>
      <c r="J392" s="160" t="s">
        <v>218</v>
      </c>
      <c r="K392" s="257">
        <v>70</v>
      </c>
      <c r="L392" s="160"/>
      <c r="M392" s="259">
        <f>K392-(L392+L393+L394)</f>
        <v>70</v>
      </c>
      <c r="N392" s="261">
        <f>(L392+L393+L394)/K392</f>
        <v>0</v>
      </c>
    </row>
    <row r="393" spans="1:14" ht="15" hidden="1" customHeight="1">
      <c r="A393" s="160" t="s">
        <v>519</v>
      </c>
      <c r="B393" s="160" t="s">
        <v>309</v>
      </c>
      <c r="C393" s="117">
        <v>43951</v>
      </c>
      <c r="D393" s="160">
        <v>66</v>
      </c>
      <c r="E393" s="160" t="s">
        <v>310</v>
      </c>
      <c r="F393" s="160" t="s">
        <v>311</v>
      </c>
      <c r="G393" s="160" t="s">
        <v>317</v>
      </c>
      <c r="H393" s="160">
        <v>967342</v>
      </c>
      <c r="I393" s="160" t="s">
        <v>314</v>
      </c>
      <c r="J393" s="160" t="s">
        <v>218</v>
      </c>
      <c r="K393" s="263"/>
      <c r="L393" s="160"/>
      <c r="M393" s="264"/>
      <c r="N393" s="265"/>
    </row>
    <row r="394" spans="1:14" ht="15" hidden="1" customHeight="1">
      <c r="A394" s="160" t="s">
        <v>519</v>
      </c>
      <c r="B394" s="160" t="s">
        <v>309</v>
      </c>
      <c r="C394" s="117">
        <v>43951</v>
      </c>
      <c r="D394" s="160">
        <v>66</v>
      </c>
      <c r="E394" s="160" t="s">
        <v>310</v>
      </c>
      <c r="F394" s="160" t="s">
        <v>311</v>
      </c>
      <c r="G394" s="160" t="s">
        <v>318</v>
      </c>
      <c r="H394" s="160">
        <v>967281</v>
      </c>
      <c r="I394" s="160" t="s">
        <v>314</v>
      </c>
      <c r="J394" s="160" t="s">
        <v>218</v>
      </c>
      <c r="K394" s="258"/>
      <c r="L394" s="160"/>
      <c r="M394" s="260"/>
      <c r="N394" s="262"/>
    </row>
    <row r="395" spans="1:14" ht="15" hidden="1" customHeight="1">
      <c r="A395" s="161" t="s">
        <v>441</v>
      </c>
      <c r="B395" s="161" t="s">
        <v>323</v>
      </c>
      <c r="C395" s="117">
        <v>43921</v>
      </c>
      <c r="D395" s="125">
        <v>915</v>
      </c>
      <c r="E395" s="161" t="s">
        <v>324</v>
      </c>
      <c r="F395" s="161" t="s">
        <v>325</v>
      </c>
      <c r="G395" s="125" t="s">
        <v>520</v>
      </c>
      <c r="H395" s="125">
        <v>966547</v>
      </c>
      <c r="I395" s="161" t="s">
        <v>314</v>
      </c>
      <c r="J395" s="161" t="s">
        <v>217</v>
      </c>
      <c r="K395" s="193">
        <v>58</v>
      </c>
      <c r="L395" s="141">
        <v>22.817</v>
      </c>
      <c r="M395" s="124">
        <f t="shared" ref="M395" si="48">K395-L395</f>
        <v>35.183</v>
      </c>
      <c r="N395" s="113">
        <f t="shared" ref="N395" si="49">L395/K395</f>
        <v>0.39339655172413796</v>
      </c>
    </row>
    <row r="396" spans="1:14" ht="15" hidden="1" customHeight="1">
      <c r="A396" s="161" t="s">
        <v>441</v>
      </c>
      <c r="B396" s="161" t="s">
        <v>323</v>
      </c>
      <c r="C396" s="117">
        <v>43921</v>
      </c>
      <c r="D396" s="161">
        <v>915</v>
      </c>
      <c r="E396" s="161" t="s">
        <v>324</v>
      </c>
      <c r="F396" s="161" t="s">
        <v>325</v>
      </c>
      <c r="G396" s="161" t="s">
        <v>520</v>
      </c>
      <c r="H396" s="161">
        <v>966547</v>
      </c>
      <c r="I396" s="161" t="s">
        <v>314</v>
      </c>
      <c r="J396" s="161" t="s">
        <v>218</v>
      </c>
      <c r="K396" s="193">
        <v>42</v>
      </c>
      <c r="L396" s="141">
        <v>77.183000000000007</v>
      </c>
      <c r="M396" s="124">
        <f t="shared" ref="M396:M404" si="50">K396-L396</f>
        <v>-35.183000000000007</v>
      </c>
      <c r="N396" s="113">
        <f t="shared" ref="N396:N404" si="51">L396/K396</f>
        <v>1.8376904761904764</v>
      </c>
    </row>
    <row r="397" spans="1:14" ht="15" hidden="1" customHeight="1">
      <c r="A397" s="161" t="s">
        <v>441</v>
      </c>
      <c r="B397" s="161" t="s">
        <v>323</v>
      </c>
      <c r="C397" s="117">
        <v>43921</v>
      </c>
      <c r="D397" s="161">
        <v>915</v>
      </c>
      <c r="E397" s="161" t="s">
        <v>324</v>
      </c>
      <c r="F397" s="161" t="s">
        <v>325</v>
      </c>
      <c r="G397" s="125" t="s">
        <v>521</v>
      </c>
      <c r="H397" s="125">
        <v>968132</v>
      </c>
      <c r="I397" s="161" t="s">
        <v>314</v>
      </c>
      <c r="J397" s="161" t="s">
        <v>217</v>
      </c>
      <c r="K397" s="193">
        <v>900</v>
      </c>
      <c r="L397" s="141">
        <v>577.50800000000004</v>
      </c>
      <c r="M397" s="124">
        <f t="shared" si="50"/>
        <v>322.49199999999996</v>
      </c>
      <c r="N397" s="113">
        <f t="shared" si="51"/>
        <v>0.64167555555555555</v>
      </c>
    </row>
    <row r="398" spans="1:14" ht="15" hidden="1" customHeight="1">
      <c r="A398" s="161" t="s">
        <v>441</v>
      </c>
      <c r="B398" s="161" t="s">
        <v>323</v>
      </c>
      <c r="C398" s="117">
        <v>43921</v>
      </c>
      <c r="D398" s="161">
        <v>915</v>
      </c>
      <c r="E398" s="161" t="s">
        <v>324</v>
      </c>
      <c r="F398" s="161" t="s">
        <v>325</v>
      </c>
      <c r="G398" s="161" t="s">
        <v>521</v>
      </c>
      <c r="H398" s="161">
        <v>968132</v>
      </c>
      <c r="I398" s="161" t="s">
        <v>314</v>
      </c>
      <c r="J398" s="161" t="s">
        <v>218</v>
      </c>
      <c r="K398" s="193">
        <v>753</v>
      </c>
      <c r="L398" s="141">
        <v>454.34899999999999</v>
      </c>
      <c r="M398" s="124">
        <f t="shared" si="50"/>
        <v>298.65100000000001</v>
      </c>
      <c r="N398" s="113">
        <f t="shared" si="51"/>
        <v>0.60338512616201856</v>
      </c>
    </row>
    <row r="399" spans="1:14" ht="15" hidden="1" customHeight="1">
      <c r="A399" s="161" t="s">
        <v>441</v>
      </c>
      <c r="B399" s="161" t="s">
        <v>323</v>
      </c>
      <c r="C399" s="117">
        <v>43921</v>
      </c>
      <c r="D399" s="161">
        <v>915</v>
      </c>
      <c r="E399" s="161" t="s">
        <v>324</v>
      </c>
      <c r="F399" s="161" t="s">
        <v>325</v>
      </c>
      <c r="G399" s="125" t="s">
        <v>522</v>
      </c>
      <c r="H399" s="125">
        <v>968135</v>
      </c>
      <c r="I399" s="161" t="s">
        <v>314</v>
      </c>
      <c r="J399" s="161" t="s">
        <v>217</v>
      </c>
      <c r="K399" s="193">
        <v>58</v>
      </c>
      <c r="L399" s="141">
        <v>26.306000000000001</v>
      </c>
      <c r="M399" s="124">
        <f t="shared" si="50"/>
        <v>31.693999999999999</v>
      </c>
      <c r="N399" s="113">
        <f t="shared" si="51"/>
        <v>0.45355172413793104</v>
      </c>
    </row>
    <row r="400" spans="1:14" ht="15" hidden="1" customHeight="1">
      <c r="A400" s="161" t="s">
        <v>441</v>
      </c>
      <c r="B400" s="161" t="s">
        <v>323</v>
      </c>
      <c r="C400" s="117">
        <v>43921</v>
      </c>
      <c r="D400" s="161">
        <v>915</v>
      </c>
      <c r="E400" s="161" t="s">
        <v>324</v>
      </c>
      <c r="F400" s="161" t="s">
        <v>325</v>
      </c>
      <c r="G400" s="161" t="s">
        <v>522</v>
      </c>
      <c r="H400" s="161">
        <v>968135</v>
      </c>
      <c r="I400" s="161" t="s">
        <v>314</v>
      </c>
      <c r="J400" s="161" t="s">
        <v>218</v>
      </c>
      <c r="K400" s="193">
        <v>42</v>
      </c>
      <c r="L400" s="141">
        <v>73.694000000000003</v>
      </c>
      <c r="M400" s="124">
        <f t="shared" si="50"/>
        <v>-31.694000000000003</v>
      </c>
      <c r="N400" s="113">
        <f t="shared" si="51"/>
        <v>1.7546190476190477</v>
      </c>
    </row>
    <row r="401" spans="1:14" ht="15" hidden="1" customHeight="1">
      <c r="A401" s="161" t="s">
        <v>441</v>
      </c>
      <c r="B401" s="161" t="s">
        <v>323</v>
      </c>
      <c r="C401" s="117">
        <v>43921</v>
      </c>
      <c r="D401" s="161">
        <v>915</v>
      </c>
      <c r="E401" s="161" t="s">
        <v>324</v>
      </c>
      <c r="F401" s="161" t="s">
        <v>325</v>
      </c>
      <c r="G401" s="125" t="s">
        <v>523</v>
      </c>
      <c r="H401" s="125">
        <v>959621</v>
      </c>
      <c r="I401" s="161" t="s">
        <v>314</v>
      </c>
      <c r="J401" s="161" t="s">
        <v>217</v>
      </c>
      <c r="K401" s="193">
        <v>507</v>
      </c>
      <c r="L401" s="141">
        <v>558.75</v>
      </c>
      <c r="M401" s="124">
        <f t="shared" si="50"/>
        <v>-51.75</v>
      </c>
      <c r="N401" s="113">
        <f t="shared" si="51"/>
        <v>1.1020710059171597</v>
      </c>
    </row>
    <row r="402" spans="1:14" ht="15" hidden="1" customHeight="1">
      <c r="A402" s="161" t="s">
        <v>441</v>
      </c>
      <c r="B402" s="161" t="s">
        <v>323</v>
      </c>
      <c r="C402" s="117">
        <v>43921</v>
      </c>
      <c r="D402" s="161">
        <v>915</v>
      </c>
      <c r="E402" s="161" t="s">
        <v>324</v>
      </c>
      <c r="F402" s="161" t="s">
        <v>325</v>
      </c>
      <c r="G402" s="161" t="s">
        <v>523</v>
      </c>
      <c r="H402" s="161">
        <v>959621</v>
      </c>
      <c r="I402" s="161" t="s">
        <v>314</v>
      </c>
      <c r="J402" s="161" t="s">
        <v>218</v>
      </c>
      <c r="K402" s="193">
        <v>420</v>
      </c>
      <c r="L402" s="141">
        <v>368.25</v>
      </c>
      <c r="M402" s="124">
        <f t="shared" si="50"/>
        <v>51.75</v>
      </c>
      <c r="N402" s="113">
        <f t="shared" si="51"/>
        <v>0.87678571428571428</v>
      </c>
    </row>
    <row r="403" spans="1:14" ht="15" hidden="1" customHeight="1">
      <c r="A403" s="161" t="s">
        <v>441</v>
      </c>
      <c r="B403" s="161" t="s">
        <v>323</v>
      </c>
      <c r="C403" s="117">
        <v>43921</v>
      </c>
      <c r="D403" s="161">
        <v>915</v>
      </c>
      <c r="E403" s="161" t="s">
        <v>324</v>
      </c>
      <c r="F403" s="161" t="s">
        <v>325</v>
      </c>
      <c r="G403" s="125" t="s">
        <v>426</v>
      </c>
      <c r="H403" s="125">
        <v>4564</v>
      </c>
      <c r="I403" s="161" t="s">
        <v>314</v>
      </c>
      <c r="J403" s="161" t="s">
        <v>217</v>
      </c>
      <c r="K403" s="193">
        <v>507</v>
      </c>
      <c r="L403" s="141">
        <v>595.68600000000004</v>
      </c>
      <c r="M403" s="124">
        <f t="shared" si="50"/>
        <v>-88.686000000000035</v>
      </c>
      <c r="N403" s="113">
        <f t="shared" si="51"/>
        <v>1.174923076923077</v>
      </c>
    </row>
    <row r="404" spans="1:14" ht="15" hidden="1" customHeight="1">
      <c r="A404" s="161" t="s">
        <v>441</v>
      </c>
      <c r="B404" s="161" t="s">
        <v>323</v>
      </c>
      <c r="C404" s="117">
        <v>43921</v>
      </c>
      <c r="D404" s="161">
        <v>915</v>
      </c>
      <c r="E404" s="161" t="s">
        <v>324</v>
      </c>
      <c r="F404" s="161" t="s">
        <v>325</v>
      </c>
      <c r="G404" s="161" t="s">
        <v>426</v>
      </c>
      <c r="H404" s="161">
        <v>4564</v>
      </c>
      <c r="I404" s="161" t="s">
        <v>314</v>
      </c>
      <c r="J404" s="161" t="s">
        <v>218</v>
      </c>
      <c r="K404" s="193">
        <v>420</v>
      </c>
      <c r="L404" s="141">
        <v>331.31400000000002</v>
      </c>
      <c r="M404" s="124">
        <f t="shared" si="50"/>
        <v>88.685999999999979</v>
      </c>
      <c r="N404" s="113">
        <f t="shared" si="51"/>
        <v>0.78884285714285718</v>
      </c>
    </row>
    <row r="405" spans="1:14" ht="15" hidden="1" customHeight="1">
      <c r="A405" s="125" t="s">
        <v>524</v>
      </c>
      <c r="B405" s="162" t="s">
        <v>323</v>
      </c>
      <c r="C405" s="117">
        <v>43956</v>
      </c>
      <c r="D405" s="125">
        <v>1187</v>
      </c>
      <c r="E405" s="162" t="s">
        <v>324</v>
      </c>
      <c r="F405" s="125" t="s">
        <v>311</v>
      </c>
      <c r="G405" s="125" t="s">
        <v>342</v>
      </c>
      <c r="H405" s="125">
        <v>966342</v>
      </c>
      <c r="I405" s="125" t="s">
        <v>314</v>
      </c>
      <c r="J405" s="162" t="s">
        <v>217</v>
      </c>
      <c r="K405" s="193">
        <v>89.585999999999999</v>
      </c>
      <c r="L405" s="141">
        <v>102.721</v>
      </c>
      <c r="M405" s="124">
        <f t="shared" ref="M405:M424" si="52">K405-L405</f>
        <v>-13.135000000000005</v>
      </c>
      <c r="N405" s="113">
        <f t="shared" ref="N405:N424" si="53">L405/K405</f>
        <v>1.1466188913446298</v>
      </c>
    </row>
    <row r="406" spans="1:14" ht="15" hidden="1" customHeight="1">
      <c r="A406" s="162" t="s">
        <v>524</v>
      </c>
      <c r="B406" s="162" t="s">
        <v>323</v>
      </c>
      <c r="C406" s="117">
        <v>43956</v>
      </c>
      <c r="D406" s="162">
        <v>1187</v>
      </c>
      <c r="E406" s="162" t="s">
        <v>324</v>
      </c>
      <c r="F406" s="162" t="s">
        <v>311</v>
      </c>
      <c r="G406" s="162" t="s">
        <v>342</v>
      </c>
      <c r="H406" s="162">
        <v>966342</v>
      </c>
      <c r="I406" s="162" t="s">
        <v>314</v>
      </c>
      <c r="J406" s="162" t="s">
        <v>218</v>
      </c>
      <c r="K406" s="193">
        <v>180.905</v>
      </c>
      <c r="L406" s="141">
        <v>26.599</v>
      </c>
      <c r="M406" s="124">
        <f t="shared" si="52"/>
        <v>154.30600000000001</v>
      </c>
      <c r="N406" s="113">
        <f t="shared" si="53"/>
        <v>0.14703297310743207</v>
      </c>
    </row>
    <row r="407" spans="1:14" ht="15" hidden="1" customHeight="1">
      <c r="A407" s="162" t="s">
        <v>393</v>
      </c>
      <c r="B407" s="128" t="s">
        <v>323</v>
      </c>
      <c r="C407" s="117">
        <v>43956</v>
      </c>
      <c r="D407" s="125">
        <v>1188</v>
      </c>
      <c r="E407" s="162" t="s">
        <v>324</v>
      </c>
      <c r="F407" s="162" t="s">
        <v>311</v>
      </c>
      <c r="G407" s="125" t="s">
        <v>400</v>
      </c>
      <c r="H407" s="125">
        <v>951136</v>
      </c>
      <c r="I407" s="162" t="s">
        <v>314</v>
      </c>
      <c r="J407" s="162" t="s">
        <v>217</v>
      </c>
      <c r="K407" s="193">
        <v>600</v>
      </c>
      <c r="L407" s="141">
        <v>390.26600000000002</v>
      </c>
      <c r="M407" s="124">
        <f t="shared" si="52"/>
        <v>209.73399999999998</v>
      </c>
      <c r="N407" s="113">
        <f t="shared" si="53"/>
        <v>0.65044333333333337</v>
      </c>
    </row>
    <row r="408" spans="1:14" ht="15" hidden="1" customHeight="1">
      <c r="A408" s="162" t="s">
        <v>393</v>
      </c>
      <c r="B408" s="128" t="s">
        <v>323</v>
      </c>
      <c r="C408" s="117">
        <v>43956</v>
      </c>
      <c r="D408" s="162">
        <v>1188</v>
      </c>
      <c r="E408" s="162" t="s">
        <v>324</v>
      </c>
      <c r="F408" s="162" t="s">
        <v>311</v>
      </c>
      <c r="G408" s="162" t="s">
        <v>400</v>
      </c>
      <c r="H408" s="162">
        <v>951136</v>
      </c>
      <c r="I408" s="162" t="s">
        <v>314</v>
      </c>
      <c r="J408" s="162" t="s">
        <v>218</v>
      </c>
      <c r="K408" s="193">
        <v>300</v>
      </c>
      <c r="L408" s="141">
        <v>150.20699999999999</v>
      </c>
      <c r="M408" s="124">
        <f t="shared" si="52"/>
        <v>149.79300000000001</v>
      </c>
      <c r="N408" s="113">
        <f t="shared" si="53"/>
        <v>0.50068999999999997</v>
      </c>
    </row>
    <row r="409" spans="1:14" ht="15" hidden="1" customHeight="1">
      <c r="A409" s="162" t="s">
        <v>393</v>
      </c>
      <c r="B409" s="128" t="s">
        <v>323</v>
      </c>
      <c r="C409" s="117">
        <v>43956</v>
      </c>
      <c r="D409" s="162">
        <v>1188</v>
      </c>
      <c r="E409" s="162" t="s">
        <v>324</v>
      </c>
      <c r="F409" s="162" t="s">
        <v>311</v>
      </c>
      <c r="G409" s="125" t="s">
        <v>525</v>
      </c>
      <c r="H409" s="125">
        <v>965823</v>
      </c>
      <c r="I409" s="162" t="s">
        <v>314</v>
      </c>
      <c r="J409" s="162" t="s">
        <v>217</v>
      </c>
      <c r="K409" s="193">
        <v>300</v>
      </c>
      <c r="L409" s="141"/>
      <c r="M409" s="124">
        <f t="shared" si="52"/>
        <v>300</v>
      </c>
      <c r="N409" s="113">
        <f t="shared" si="53"/>
        <v>0</v>
      </c>
    </row>
    <row r="410" spans="1:14" ht="15" hidden="1" customHeight="1">
      <c r="A410" s="162" t="s">
        <v>393</v>
      </c>
      <c r="B410" s="128" t="s">
        <v>323</v>
      </c>
      <c r="C410" s="117">
        <v>43956</v>
      </c>
      <c r="D410" s="162">
        <v>1188</v>
      </c>
      <c r="E410" s="162" t="s">
        <v>324</v>
      </c>
      <c r="F410" s="162" t="s">
        <v>311</v>
      </c>
      <c r="G410" s="162" t="s">
        <v>525</v>
      </c>
      <c r="H410" s="162">
        <v>965823</v>
      </c>
      <c r="I410" s="162" t="s">
        <v>314</v>
      </c>
      <c r="J410" s="162" t="s">
        <v>218</v>
      </c>
      <c r="K410" s="193">
        <v>100</v>
      </c>
      <c r="L410" s="141"/>
      <c r="M410" s="124">
        <f t="shared" si="52"/>
        <v>100</v>
      </c>
      <c r="N410" s="113">
        <f t="shared" si="53"/>
        <v>0</v>
      </c>
    </row>
    <row r="411" spans="1:14" ht="15" hidden="1" customHeight="1">
      <c r="A411" s="162" t="s">
        <v>393</v>
      </c>
      <c r="B411" s="128" t="s">
        <v>323</v>
      </c>
      <c r="C411" s="117">
        <v>43956</v>
      </c>
      <c r="D411" s="162">
        <v>1188</v>
      </c>
      <c r="E411" s="162" t="s">
        <v>324</v>
      </c>
      <c r="F411" s="162" t="s">
        <v>311</v>
      </c>
      <c r="G411" s="125" t="s">
        <v>342</v>
      </c>
      <c r="H411" s="125">
        <v>966342</v>
      </c>
      <c r="I411" s="162" t="s">
        <v>314</v>
      </c>
      <c r="J411" s="162" t="s">
        <v>217</v>
      </c>
      <c r="K411" s="193">
        <v>100</v>
      </c>
      <c r="L411" s="141"/>
      <c r="M411" s="124">
        <f t="shared" si="52"/>
        <v>100</v>
      </c>
      <c r="N411" s="113">
        <f t="shared" si="53"/>
        <v>0</v>
      </c>
    </row>
    <row r="412" spans="1:14" ht="15" hidden="1" customHeight="1">
      <c r="A412" s="162" t="s">
        <v>393</v>
      </c>
      <c r="B412" s="128" t="s">
        <v>323</v>
      </c>
      <c r="C412" s="117">
        <v>43956</v>
      </c>
      <c r="D412" s="162">
        <v>1188</v>
      </c>
      <c r="E412" s="162" t="s">
        <v>324</v>
      </c>
      <c r="F412" s="162" t="s">
        <v>311</v>
      </c>
      <c r="G412" s="162" t="s">
        <v>342</v>
      </c>
      <c r="H412" s="162">
        <v>966342</v>
      </c>
      <c r="I412" s="162" t="s">
        <v>314</v>
      </c>
      <c r="J412" s="162" t="s">
        <v>218</v>
      </c>
      <c r="K412" s="193">
        <v>30</v>
      </c>
      <c r="L412" s="141"/>
      <c r="M412" s="124">
        <f t="shared" si="52"/>
        <v>30</v>
      </c>
      <c r="N412" s="113">
        <f t="shared" si="53"/>
        <v>0</v>
      </c>
    </row>
    <row r="413" spans="1:14" ht="15" hidden="1" customHeight="1">
      <c r="A413" s="162" t="s">
        <v>393</v>
      </c>
      <c r="B413" s="128" t="s">
        <v>323</v>
      </c>
      <c r="C413" s="117">
        <v>43956</v>
      </c>
      <c r="D413" s="162">
        <v>1188</v>
      </c>
      <c r="E413" s="162" t="s">
        <v>324</v>
      </c>
      <c r="F413" s="162" t="s">
        <v>311</v>
      </c>
      <c r="G413" s="125" t="s">
        <v>360</v>
      </c>
      <c r="H413" s="125">
        <v>913375</v>
      </c>
      <c r="I413" s="162" t="s">
        <v>314</v>
      </c>
      <c r="J413" s="162" t="s">
        <v>217</v>
      </c>
      <c r="K413" s="193">
        <v>300</v>
      </c>
      <c r="L413" s="141">
        <v>204.16900000000001</v>
      </c>
      <c r="M413" s="124">
        <f t="shared" si="52"/>
        <v>95.830999999999989</v>
      </c>
      <c r="N413" s="113">
        <f t="shared" si="53"/>
        <v>0.68056333333333341</v>
      </c>
    </row>
    <row r="414" spans="1:14" ht="15" hidden="1" customHeight="1">
      <c r="A414" s="162" t="s">
        <v>393</v>
      </c>
      <c r="B414" s="128" t="s">
        <v>323</v>
      </c>
      <c r="C414" s="117">
        <v>43956</v>
      </c>
      <c r="D414" s="162">
        <v>1188</v>
      </c>
      <c r="E414" s="162" t="s">
        <v>324</v>
      </c>
      <c r="F414" s="162" t="s">
        <v>311</v>
      </c>
      <c r="G414" s="162" t="s">
        <v>360</v>
      </c>
      <c r="H414" s="162">
        <v>913375</v>
      </c>
      <c r="I414" s="162" t="s">
        <v>314</v>
      </c>
      <c r="J414" s="162" t="s">
        <v>218</v>
      </c>
      <c r="K414" s="193">
        <v>100</v>
      </c>
      <c r="L414" s="141">
        <v>54.325000000000003</v>
      </c>
      <c r="M414" s="124">
        <f t="shared" si="52"/>
        <v>45.674999999999997</v>
      </c>
      <c r="N414" s="113">
        <f t="shared" si="53"/>
        <v>0.54325000000000001</v>
      </c>
    </row>
    <row r="415" spans="1:14" ht="15" hidden="1" customHeight="1">
      <c r="A415" s="162" t="s">
        <v>393</v>
      </c>
      <c r="B415" s="128" t="s">
        <v>323</v>
      </c>
      <c r="C415" s="117">
        <v>43956</v>
      </c>
      <c r="D415" s="162">
        <v>1188</v>
      </c>
      <c r="E415" s="162" t="s">
        <v>324</v>
      </c>
      <c r="F415" s="162" t="s">
        <v>311</v>
      </c>
      <c r="G415" s="125" t="s">
        <v>395</v>
      </c>
      <c r="H415" s="125">
        <v>967596</v>
      </c>
      <c r="I415" s="162" t="s">
        <v>314</v>
      </c>
      <c r="J415" s="162" t="s">
        <v>217</v>
      </c>
      <c r="K415" s="193">
        <v>200</v>
      </c>
      <c r="L415" s="141">
        <v>200</v>
      </c>
      <c r="M415" s="124">
        <f t="shared" si="52"/>
        <v>0</v>
      </c>
      <c r="N415" s="113">
        <f t="shared" si="53"/>
        <v>1</v>
      </c>
    </row>
    <row r="416" spans="1:14" ht="15" hidden="1" customHeight="1">
      <c r="A416" s="162" t="s">
        <v>393</v>
      </c>
      <c r="B416" s="128" t="s">
        <v>323</v>
      </c>
      <c r="C416" s="117">
        <v>43956</v>
      </c>
      <c r="D416" s="162">
        <v>1188</v>
      </c>
      <c r="E416" s="162" t="s">
        <v>324</v>
      </c>
      <c r="F416" s="162" t="s">
        <v>311</v>
      </c>
      <c r="G416" s="162" t="s">
        <v>395</v>
      </c>
      <c r="H416" s="162">
        <v>967596</v>
      </c>
      <c r="I416" s="162" t="s">
        <v>314</v>
      </c>
      <c r="J416" s="162" t="s">
        <v>218</v>
      </c>
      <c r="K416" s="193">
        <v>100</v>
      </c>
      <c r="L416" s="141">
        <v>100</v>
      </c>
      <c r="M416" s="124">
        <f t="shared" si="52"/>
        <v>0</v>
      </c>
      <c r="N416" s="113">
        <f t="shared" si="53"/>
        <v>1</v>
      </c>
    </row>
    <row r="417" spans="1:14" ht="15" hidden="1" customHeight="1">
      <c r="A417" s="162" t="s">
        <v>393</v>
      </c>
      <c r="B417" s="128" t="s">
        <v>323</v>
      </c>
      <c r="C417" s="117">
        <v>43956</v>
      </c>
      <c r="D417" s="162">
        <v>1188</v>
      </c>
      <c r="E417" s="162" t="s">
        <v>324</v>
      </c>
      <c r="F417" s="162" t="s">
        <v>311</v>
      </c>
      <c r="G417" s="125" t="s">
        <v>396</v>
      </c>
      <c r="H417" s="125">
        <v>964441</v>
      </c>
      <c r="I417" s="162" t="s">
        <v>314</v>
      </c>
      <c r="J417" s="162" t="s">
        <v>217</v>
      </c>
      <c r="K417" s="193">
        <v>200</v>
      </c>
      <c r="L417" s="141">
        <v>207.64400000000001</v>
      </c>
      <c r="M417" s="124">
        <f t="shared" si="52"/>
        <v>-7.6440000000000055</v>
      </c>
      <c r="N417" s="113">
        <f t="shared" si="53"/>
        <v>1.0382199999999999</v>
      </c>
    </row>
    <row r="418" spans="1:14" ht="15" hidden="1" customHeight="1">
      <c r="A418" s="162" t="s">
        <v>393</v>
      </c>
      <c r="B418" s="128" t="s">
        <v>323</v>
      </c>
      <c r="C418" s="117">
        <v>43956</v>
      </c>
      <c r="D418" s="162">
        <v>1188</v>
      </c>
      <c r="E418" s="162" t="s">
        <v>324</v>
      </c>
      <c r="F418" s="162" t="s">
        <v>311</v>
      </c>
      <c r="G418" s="162" t="s">
        <v>396</v>
      </c>
      <c r="H418" s="162">
        <v>964441</v>
      </c>
      <c r="I418" s="162" t="s">
        <v>314</v>
      </c>
      <c r="J418" s="162" t="s">
        <v>218</v>
      </c>
      <c r="K418" s="193">
        <v>100</v>
      </c>
      <c r="L418" s="141">
        <v>105.096</v>
      </c>
      <c r="M418" s="124">
        <f t="shared" si="52"/>
        <v>-5.0960000000000036</v>
      </c>
      <c r="N418" s="113">
        <f t="shared" si="53"/>
        <v>1.0509600000000001</v>
      </c>
    </row>
    <row r="419" spans="1:14" ht="15" hidden="1" customHeight="1">
      <c r="A419" s="125" t="s">
        <v>526</v>
      </c>
      <c r="B419" s="128" t="s">
        <v>323</v>
      </c>
      <c r="C419" s="117">
        <v>43956</v>
      </c>
      <c r="D419" s="125">
        <v>67</v>
      </c>
      <c r="E419" s="125" t="s">
        <v>310</v>
      </c>
      <c r="F419" s="162" t="s">
        <v>311</v>
      </c>
      <c r="G419" s="125" t="s">
        <v>461</v>
      </c>
      <c r="H419" s="125">
        <v>967484</v>
      </c>
      <c r="I419" s="162" t="s">
        <v>314</v>
      </c>
      <c r="J419" s="162" t="s">
        <v>217</v>
      </c>
      <c r="K419" s="193">
        <v>50</v>
      </c>
      <c r="L419" s="141">
        <v>72.834999999999994</v>
      </c>
      <c r="M419" s="124">
        <f t="shared" si="52"/>
        <v>-22.834999999999994</v>
      </c>
      <c r="N419" s="113">
        <f t="shared" si="53"/>
        <v>1.4566999999999999</v>
      </c>
    </row>
    <row r="420" spans="1:14" ht="15" hidden="1" customHeight="1">
      <c r="A420" s="162" t="s">
        <v>526</v>
      </c>
      <c r="B420" s="128" t="s">
        <v>323</v>
      </c>
      <c r="C420" s="117">
        <v>43956</v>
      </c>
      <c r="D420" s="162">
        <v>67</v>
      </c>
      <c r="E420" s="162" t="s">
        <v>310</v>
      </c>
      <c r="F420" s="162" t="s">
        <v>311</v>
      </c>
      <c r="G420" s="162" t="s">
        <v>461</v>
      </c>
      <c r="H420" s="162">
        <v>967484</v>
      </c>
      <c r="I420" s="162" t="s">
        <v>314</v>
      </c>
      <c r="J420" s="162" t="s">
        <v>218</v>
      </c>
      <c r="K420" s="193">
        <v>100</v>
      </c>
      <c r="L420" s="125"/>
      <c r="M420" s="124">
        <f t="shared" si="52"/>
        <v>100</v>
      </c>
      <c r="N420" s="113">
        <f t="shared" si="53"/>
        <v>0</v>
      </c>
    </row>
    <row r="421" spans="1:14" ht="15" hidden="1" customHeight="1">
      <c r="A421" s="125" t="s">
        <v>527</v>
      </c>
      <c r="B421" s="128" t="s">
        <v>323</v>
      </c>
      <c r="C421" s="117">
        <v>43956</v>
      </c>
      <c r="D421" s="125">
        <v>68</v>
      </c>
      <c r="E421" s="162" t="s">
        <v>310</v>
      </c>
      <c r="F421" s="162" t="s">
        <v>311</v>
      </c>
      <c r="G421" s="125" t="s">
        <v>528</v>
      </c>
      <c r="H421" s="125">
        <v>968804</v>
      </c>
      <c r="I421" s="162" t="s">
        <v>314</v>
      </c>
      <c r="J421" s="162" t="s">
        <v>217</v>
      </c>
      <c r="K421" s="193">
        <v>2</v>
      </c>
      <c r="L421" s="141">
        <v>17.763000000000002</v>
      </c>
      <c r="M421" s="124">
        <f t="shared" si="52"/>
        <v>-15.763000000000002</v>
      </c>
      <c r="N421" s="113">
        <f t="shared" si="53"/>
        <v>8.8815000000000008</v>
      </c>
    </row>
    <row r="422" spans="1:14" ht="15" hidden="1" customHeight="1">
      <c r="A422" s="162" t="s">
        <v>527</v>
      </c>
      <c r="B422" s="128" t="s">
        <v>323</v>
      </c>
      <c r="C422" s="117">
        <v>43956</v>
      </c>
      <c r="D422" s="162">
        <v>68</v>
      </c>
      <c r="E422" s="162" t="s">
        <v>310</v>
      </c>
      <c r="F422" s="162" t="s">
        <v>311</v>
      </c>
      <c r="G422" s="162" t="s">
        <v>528</v>
      </c>
      <c r="H422" s="162">
        <v>968804</v>
      </c>
      <c r="I422" s="162" t="s">
        <v>314</v>
      </c>
      <c r="J422" s="162" t="s">
        <v>218</v>
      </c>
      <c r="K422" s="193">
        <v>28</v>
      </c>
      <c r="L422" s="141">
        <v>12.237</v>
      </c>
      <c r="M422" s="124">
        <f t="shared" si="52"/>
        <v>15.763</v>
      </c>
      <c r="N422" s="113">
        <f t="shared" si="53"/>
        <v>0.43703571428571431</v>
      </c>
    </row>
    <row r="423" spans="1:14" ht="15" hidden="1" customHeight="1">
      <c r="A423" s="163" t="s">
        <v>441</v>
      </c>
      <c r="B423" s="128" t="s">
        <v>323</v>
      </c>
      <c r="C423" s="117">
        <v>43921</v>
      </c>
      <c r="D423" s="125">
        <v>914</v>
      </c>
      <c r="E423" s="163" t="s">
        <v>324</v>
      </c>
      <c r="F423" s="125" t="s">
        <v>325</v>
      </c>
      <c r="G423" s="125" t="s">
        <v>529</v>
      </c>
      <c r="H423" s="125">
        <v>956591</v>
      </c>
      <c r="I423" s="163" t="s">
        <v>314</v>
      </c>
      <c r="J423" s="163" t="s">
        <v>217</v>
      </c>
      <c r="K423" s="193">
        <v>203</v>
      </c>
      <c r="L423" s="141">
        <v>35.4</v>
      </c>
      <c r="M423" s="124">
        <f t="shared" si="52"/>
        <v>167.6</v>
      </c>
      <c r="N423" s="113">
        <f t="shared" si="53"/>
        <v>0.17438423645320197</v>
      </c>
    </row>
    <row r="424" spans="1:14" ht="15" hidden="1" customHeight="1">
      <c r="A424" s="163" t="s">
        <v>441</v>
      </c>
      <c r="B424" s="128" t="s">
        <v>323</v>
      </c>
      <c r="C424" s="117">
        <v>43921</v>
      </c>
      <c r="D424" s="163">
        <v>914</v>
      </c>
      <c r="E424" s="163" t="s">
        <v>324</v>
      </c>
      <c r="F424" s="163" t="s">
        <v>325</v>
      </c>
      <c r="G424" s="163" t="s">
        <v>529</v>
      </c>
      <c r="H424" s="163">
        <v>956591</v>
      </c>
      <c r="I424" s="163" t="s">
        <v>314</v>
      </c>
      <c r="J424" s="163" t="s">
        <v>218</v>
      </c>
      <c r="K424" s="193">
        <v>147</v>
      </c>
      <c r="L424" s="141">
        <v>321.233</v>
      </c>
      <c r="M424" s="124">
        <f t="shared" si="52"/>
        <v>-174.233</v>
      </c>
      <c r="N424" s="113">
        <f t="shared" si="53"/>
        <v>2.1852585034013607</v>
      </c>
    </row>
    <row r="425" spans="1:14" ht="15" hidden="1" customHeight="1">
      <c r="A425" s="125" t="s">
        <v>435</v>
      </c>
      <c r="B425" s="125" t="s">
        <v>309</v>
      </c>
      <c r="C425" s="117">
        <v>43956</v>
      </c>
      <c r="D425" s="125">
        <v>1217</v>
      </c>
      <c r="E425" s="125" t="s">
        <v>324</v>
      </c>
      <c r="F425" s="125" t="s">
        <v>311</v>
      </c>
      <c r="G425" s="166" t="s">
        <v>318</v>
      </c>
      <c r="H425" s="166">
        <v>967281</v>
      </c>
      <c r="I425" s="166" t="s">
        <v>314</v>
      </c>
      <c r="J425" s="166" t="s">
        <v>217</v>
      </c>
      <c r="K425" s="257">
        <v>50</v>
      </c>
      <c r="L425" s="125"/>
      <c r="M425" s="259">
        <f>K425-(L425+L426+L427+L428)</f>
        <v>50</v>
      </c>
      <c r="N425" s="261">
        <f>(L425+L426+L427+L428)/K425</f>
        <v>0</v>
      </c>
    </row>
    <row r="426" spans="1:14" ht="15" hidden="1" customHeight="1">
      <c r="A426" s="166" t="s">
        <v>435</v>
      </c>
      <c r="B426" s="166" t="s">
        <v>309</v>
      </c>
      <c r="C426" s="117">
        <v>43956</v>
      </c>
      <c r="D426" s="166">
        <v>1217</v>
      </c>
      <c r="E426" s="166" t="s">
        <v>324</v>
      </c>
      <c r="F426" s="166" t="s">
        <v>311</v>
      </c>
      <c r="G426" s="166" t="s">
        <v>317</v>
      </c>
      <c r="H426" s="166">
        <v>967342</v>
      </c>
      <c r="I426" s="166" t="s">
        <v>314</v>
      </c>
      <c r="J426" s="166" t="s">
        <v>217</v>
      </c>
      <c r="K426" s="263"/>
      <c r="L426" s="125"/>
      <c r="M426" s="264"/>
      <c r="N426" s="265"/>
    </row>
    <row r="427" spans="1:14" ht="15" hidden="1" customHeight="1">
      <c r="A427" s="166" t="s">
        <v>435</v>
      </c>
      <c r="B427" s="166" t="s">
        <v>309</v>
      </c>
      <c r="C427" s="117">
        <v>43956</v>
      </c>
      <c r="D427" s="166">
        <v>1217</v>
      </c>
      <c r="E427" s="166" t="s">
        <v>324</v>
      </c>
      <c r="F427" s="166" t="s">
        <v>311</v>
      </c>
      <c r="G427" s="166" t="s">
        <v>316</v>
      </c>
      <c r="H427" s="166">
        <v>967145</v>
      </c>
      <c r="I427" s="166" t="s">
        <v>314</v>
      </c>
      <c r="J427" s="166" t="s">
        <v>217</v>
      </c>
      <c r="K427" s="263"/>
      <c r="L427" s="125"/>
      <c r="M427" s="264"/>
      <c r="N427" s="265"/>
    </row>
    <row r="428" spans="1:14" ht="15" hidden="1" customHeight="1">
      <c r="A428" s="166" t="s">
        <v>435</v>
      </c>
      <c r="B428" s="166" t="s">
        <v>309</v>
      </c>
      <c r="C428" s="117">
        <v>43956</v>
      </c>
      <c r="D428" s="166">
        <v>1217</v>
      </c>
      <c r="E428" s="166" t="s">
        <v>324</v>
      </c>
      <c r="F428" s="166" t="s">
        <v>311</v>
      </c>
      <c r="G428" s="166" t="s">
        <v>461</v>
      </c>
      <c r="H428" s="166">
        <v>967484</v>
      </c>
      <c r="I428" s="166" t="s">
        <v>314</v>
      </c>
      <c r="J428" s="166" t="s">
        <v>217</v>
      </c>
      <c r="K428" s="258"/>
      <c r="L428" s="125"/>
      <c r="M428" s="260"/>
      <c r="N428" s="262"/>
    </row>
    <row r="429" spans="1:14" ht="15" hidden="1" customHeight="1">
      <c r="A429" s="166" t="s">
        <v>435</v>
      </c>
      <c r="B429" s="166" t="s">
        <v>309</v>
      </c>
      <c r="C429" s="117">
        <v>43956</v>
      </c>
      <c r="D429" s="166">
        <v>1217</v>
      </c>
      <c r="E429" s="166" t="s">
        <v>324</v>
      </c>
      <c r="F429" s="166" t="s">
        <v>311</v>
      </c>
      <c r="G429" s="166" t="s">
        <v>318</v>
      </c>
      <c r="H429" s="166">
        <v>967281</v>
      </c>
      <c r="I429" s="166" t="s">
        <v>314</v>
      </c>
      <c r="J429" s="166" t="s">
        <v>218</v>
      </c>
      <c r="K429" s="257">
        <v>200</v>
      </c>
      <c r="L429" s="125"/>
      <c r="M429" s="259">
        <f>K429-(L429+L430+L431+L432)</f>
        <v>200</v>
      </c>
      <c r="N429" s="261">
        <f>(L429+L430+L431+L432)/K429</f>
        <v>0</v>
      </c>
    </row>
    <row r="430" spans="1:14" ht="15" hidden="1" customHeight="1">
      <c r="A430" s="166" t="s">
        <v>435</v>
      </c>
      <c r="B430" s="166" t="s">
        <v>309</v>
      </c>
      <c r="C430" s="117">
        <v>43956</v>
      </c>
      <c r="D430" s="166">
        <v>1217</v>
      </c>
      <c r="E430" s="166" t="s">
        <v>324</v>
      </c>
      <c r="F430" s="166" t="s">
        <v>311</v>
      </c>
      <c r="G430" s="166" t="s">
        <v>317</v>
      </c>
      <c r="H430" s="166">
        <v>967342</v>
      </c>
      <c r="I430" s="166" t="s">
        <v>314</v>
      </c>
      <c r="J430" s="166" t="s">
        <v>218</v>
      </c>
      <c r="K430" s="263"/>
      <c r="L430" s="125"/>
      <c r="M430" s="264"/>
      <c r="N430" s="265"/>
    </row>
    <row r="431" spans="1:14" ht="15" hidden="1" customHeight="1">
      <c r="A431" s="166" t="s">
        <v>435</v>
      </c>
      <c r="B431" s="166" t="s">
        <v>309</v>
      </c>
      <c r="C431" s="117">
        <v>43956</v>
      </c>
      <c r="D431" s="166">
        <v>1217</v>
      </c>
      <c r="E431" s="166" t="s">
        <v>324</v>
      </c>
      <c r="F431" s="166" t="s">
        <v>311</v>
      </c>
      <c r="G431" s="166" t="s">
        <v>316</v>
      </c>
      <c r="H431" s="166">
        <v>967145</v>
      </c>
      <c r="I431" s="166" t="s">
        <v>314</v>
      </c>
      <c r="J431" s="166" t="s">
        <v>218</v>
      </c>
      <c r="K431" s="263"/>
      <c r="L431" s="125"/>
      <c r="M431" s="264"/>
      <c r="N431" s="265"/>
    </row>
    <row r="432" spans="1:14" ht="15" hidden="1" customHeight="1">
      <c r="A432" s="166" t="s">
        <v>435</v>
      </c>
      <c r="B432" s="166" t="s">
        <v>309</v>
      </c>
      <c r="C432" s="117">
        <v>43956</v>
      </c>
      <c r="D432" s="166">
        <v>1217</v>
      </c>
      <c r="E432" s="166" t="s">
        <v>324</v>
      </c>
      <c r="F432" s="166" t="s">
        <v>311</v>
      </c>
      <c r="G432" s="166" t="s">
        <v>461</v>
      </c>
      <c r="H432" s="166">
        <v>967484</v>
      </c>
      <c r="I432" s="166" t="s">
        <v>314</v>
      </c>
      <c r="J432" s="166" t="s">
        <v>218</v>
      </c>
      <c r="K432" s="258"/>
      <c r="L432" s="125"/>
      <c r="M432" s="260"/>
      <c r="N432" s="262"/>
    </row>
    <row r="433" spans="1:14" ht="15" hidden="1" customHeight="1">
      <c r="A433" s="125" t="s">
        <v>389</v>
      </c>
      <c r="B433" s="125" t="s">
        <v>323</v>
      </c>
      <c r="C433" s="117">
        <v>43958</v>
      </c>
      <c r="D433" s="125">
        <v>69</v>
      </c>
      <c r="E433" s="125" t="s">
        <v>310</v>
      </c>
      <c r="F433" s="167" t="s">
        <v>311</v>
      </c>
      <c r="G433" s="133" t="s">
        <v>337</v>
      </c>
      <c r="H433" s="118">
        <v>968147</v>
      </c>
      <c r="I433" s="167" t="s">
        <v>314</v>
      </c>
      <c r="J433" s="167" t="s">
        <v>217</v>
      </c>
      <c r="K433" s="193">
        <v>122</v>
      </c>
      <c r="L433" s="141">
        <v>73.781000000000006</v>
      </c>
      <c r="M433" s="124">
        <f t="shared" ref="M433" si="54">K433-L433</f>
        <v>48.218999999999994</v>
      </c>
      <c r="N433" s="113">
        <f t="shared" ref="N433" si="55">L433/K433</f>
        <v>0.60476229508196722</v>
      </c>
    </row>
    <row r="434" spans="1:14" ht="15" hidden="1" customHeight="1">
      <c r="A434" s="167" t="s">
        <v>389</v>
      </c>
      <c r="B434" s="167" t="s">
        <v>323</v>
      </c>
      <c r="C434" s="117">
        <v>43958</v>
      </c>
      <c r="D434" s="167">
        <v>69</v>
      </c>
      <c r="E434" s="167" t="s">
        <v>310</v>
      </c>
      <c r="F434" s="167" t="s">
        <v>311</v>
      </c>
      <c r="G434" s="133" t="s">
        <v>337</v>
      </c>
      <c r="H434" s="118">
        <v>968147</v>
      </c>
      <c r="I434" s="167" t="s">
        <v>314</v>
      </c>
      <c r="J434" s="167" t="s">
        <v>218</v>
      </c>
      <c r="K434" s="193">
        <v>30</v>
      </c>
      <c r="L434" s="141">
        <v>7.3789999999999996</v>
      </c>
      <c r="M434" s="124">
        <f t="shared" ref="M434" si="56">K434-L434</f>
        <v>22.621000000000002</v>
      </c>
      <c r="N434" s="113">
        <f t="shared" ref="N434" si="57">L434/K434</f>
        <v>0.24596666666666664</v>
      </c>
    </row>
    <row r="435" spans="1:14" ht="15" hidden="1" customHeight="1">
      <c r="A435" s="168" t="s">
        <v>441</v>
      </c>
      <c r="B435" s="128" t="s">
        <v>323</v>
      </c>
      <c r="C435" s="117">
        <v>43962</v>
      </c>
      <c r="D435" s="125">
        <v>1221</v>
      </c>
      <c r="E435" s="125" t="s">
        <v>324</v>
      </c>
      <c r="F435" s="125" t="s">
        <v>325</v>
      </c>
      <c r="G435" s="166" t="s">
        <v>529</v>
      </c>
      <c r="H435" s="166">
        <v>956591</v>
      </c>
      <c r="I435" s="168" t="s">
        <v>314</v>
      </c>
      <c r="J435" s="168" t="s">
        <v>217</v>
      </c>
      <c r="K435" s="193">
        <v>100</v>
      </c>
      <c r="L435" s="141">
        <v>19.77</v>
      </c>
      <c r="M435" s="124">
        <f t="shared" ref="M435:M456" si="58">K435-L435</f>
        <v>80.23</v>
      </c>
      <c r="N435" s="113">
        <f t="shared" ref="N435:N456" si="59">L435/K435</f>
        <v>0.19769999999999999</v>
      </c>
    </row>
    <row r="436" spans="1:14" ht="15" hidden="1" customHeight="1">
      <c r="A436" s="168" t="s">
        <v>441</v>
      </c>
      <c r="B436" s="128" t="s">
        <v>323</v>
      </c>
      <c r="C436" s="117">
        <v>43962</v>
      </c>
      <c r="D436" s="168">
        <v>1221</v>
      </c>
      <c r="E436" s="168" t="s">
        <v>324</v>
      </c>
      <c r="F436" s="168" t="s">
        <v>325</v>
      </c>
      <c r="G436" s="168" t="s">
        <v>529</v>
      </c>
      <c r="H436" s="168">
        <v>956591</v>
      </c>
      <c r="I436" s="168" t="s">
        <v>314</v>
      </c>
      <c r="J436" s="168" t="s">
        <v>218</v>
      </c>
      <c r="K436" s="193">
        <v>50</v>
      </c>
      <c r="L436" s="141">
        <v>131.29599999999999</v>
      </c>
      <c r="M436" s="124">
        <f t="shared" si="58"/>
        <v>-81.295999999999992</v>
      </c>
      <c r="N436" s="113">
        <f t="shared" si="59"/>
        <v>2.6259199999999998</v>
      </c>
    </row>
    <row r="437" spans="1:14" ht="15" hidden="1" customHeight="1">
      <c r="A437" s="168" t="s">
        <v>441</v>
      </c>
      <c r="B437" s="128" t="s">
        <v>323</v>
      </c>
      <c r="C437" s="117">
        <v>43962</v>
      </c>
      <c r="D437" s="168">
        <v>1221</v>
      </c>
      <c r="E437" s="168" t="s">
        <v>324</v>
      </c>
      <c r="F437" s="168" t="s">
        <v>325</v>
      </c>
      <c r="G437" s="166" t="s">
        <v>436</v>
      </c>
      <c r="H437" s="166">
        <v>968281</v>
      </c>
      <c r="I437" s="168" t="s">
        <v>314</v>
      </c>
      <c r="J437" s="168" t="s">
        <v>217</v>
      </c>
      <c r="K437" s="193">
        <v>40</v>
      </c>
      <c r="L437" s="141">
        <v>38.219000000000001</v>
      </c>
      <c r="M437" s="124">
        <f t="shared" si="58"/>
        <v>1.7809999999999988</v>
      </c>
      <c r="N437" s="113">
        <f t="shared" si="59"/>
        <v>0.95547500000000007</v>
      </c>
    </row>
    <row r="438" spans="1:14" ht="15" hidden="1" customHeight="1">
      <c r="A438" s="168" t="s">
        <v>441</v>
      </c>
      <c r="B438" s="128" t="s">
        <v>323</v>
      </c>
      <c r="C438" s="117">
        <v>43962</v>
      </c>
      <c r="D438" s="168">
        <v>1221</v>
      </c>
      <c r="E438" s="168" t="s">
        <v>324</v>
      </c>
      <c r="F438" s="168" t="s">
        <v>325</v>
      </c>
      <c r="G438" s="168" t="s">
        <v>436</v>
      </c>
      <c r="H438" s="168">
        <v>968281</v>
      </c>
      <c r="I438" s="168" t="s">
        <v>314</v>
      </c>
      <c r="J438" s="168" t="s">
        <v>218</v>
      </c>
      <c r="K438" s="193">
        <v>60</v>
      </c>
      <c r="L438" s="141">
        <v>60</v>
      </c>
      <c r="M438" s="124">
        <f t="shared" si="58"/>
        <v>0</v>
      </c>
      <c r="N438" s="113">
        <f t="shared" si="59"/>
        <v>1</v>
      </c>
    </row>
    <row r="439" spans="1:14" ht="15" hidden="1" customHeight="1">
      <c r="A439" s="168" t="s">
        <v>414</v>
      </c>
      <c r="B439" s="168" t="s">
        <v>323</v>
      </c>
      <c r="C439" s="117">
        <v>43962</v>
      </c>
      <c r="D439" s="125">
        <v>1223</v>
      </c>
      <c r="E439" s="168" t="s">
        <v>324</v>
      </c>
      <c r="F439" s="168" t="s">
        <v>325</v>
      </c>
      <c r="G439" s="133" t="s">
        <v>531</v>
      </c>
      <c r="H439" s="118">
        <v>968718</v>
      </c>
      <c r="I439" s="168" t="s">
        <v>314</v>
      </c>
      <c r="J439" s="168" t="s">
        <v>217</v>
      </c>
      <c r="K439" s="193">
        <v>50</v>
      </c>
      <c r="L439" s="141"/>
      <c r="M439" s="124">
        <f t="shared" si="58"/>
        <v>50</v>
      </c>
      <c r="N439" s="113">
        <f t="shared" si="59"/>
        <v>0</v>
      </c>
    </row>
    <row r="440" spans="1:14" ht="15" hidden="1" customHeight="1">
      <c r="A440" s="168" t="s">
        <v>414</v>
      </c>
      <c r="B440" s="168" t="s">
        <v>323</v>
      </c>
      <c r="C440" s="117">
        <v>43962</v>
      </c>
      <c r="D440" s="168">
        <v>1223</v>
      </c>
      <c r="E440" s="168" t="s">
        <v>324</v>
      </c>
      <c r="F440" s="168" t="s">
        <v>325</v>
      </c>
      <c r="G440" s="133" t="s">
        <v>531</v>
      </c>
      <c r="H440" s="118">
        <v>968718</v>
      </c>
      <c r="I440" s="168" t="s">
        <v>314</v>
      </c>
      <c r="J440" s="168" t="s">
        <v>218</v>
      </c>
      <c r="K440" s="193">
        <v>120</v>
      </c>
      <c r="L440" s="141"/>
      <c r="M440" s="124">
        <f t="shared" si="58"/>
        <v>120</v>
      </c>
      <c r="N440" s="113">
        <f t="shared" si="59"/>
        <v>0</v>
      </c>
    </row>
    <row r="441" spans="1:14" ht="15" hidden="1" customHeight="1">
      <c r="A441" s="168" t="s">
        <v>414</v>
      </c>
      <c r="B441" s="168" t="s">
        <v>323</v>
      </c>
      <c r="C441" s="117">
        <v>43962</v>
      </c>
      <c r="D441" s="168">
        <v>1223</v>
      </c>
      <c r="E441" s="168" t="s">
        <v>324</v>
      </c>
      <c r="F441" s="168" t="s">
        <v>325</v>
      </c>
      <c r="G441" s="133" t="s">
        <v>532</v>
      </c>
      <c r="H441" s="118">
        <v>910612</v>
      </c>
      <c r="I441" s="168" t="s">
        <v>314</v>
      </c>
      <c r="J441" s="168" t="s">
        <v>217</v>
      </c>
      <c r="K441" s="193">
        <v>60</v>
      </c>
      <c r="L441" s="141"/>
      <c r="M441" s="124">
        <f t="shared" si="58"/>
        <v>60</v>
      </c>
      <c r="N441" s="113">
        <f t="shared" si="59"/>
        <v>0</v>
      </c>
    </row>
    <row r="442" spans="1:14" ht="15" hidden="1" customHeight="1">
      <c r="A442" s="168" t="s">
        <v>414</v>
      </c>
      <c r="B442" s="168" t="s">
        <v>323</v>
      </c>
      <c r="C442" s="117">
        <v>43962</v>
      </c>
      <c r="D442" s="168">
        <v>1223</v>
      </c>
      <c r="E442" s="168" t="s">
        <v>324</v>
      </c>
      <c r="F442" s="168" t="s">
        <v>325</v>
      </c>
      <c r="G442" s="133" t="s">
        <v>532</v>
      </c>
      <c r="H442" s="118">
        <v>910612</v>
      </c>
      <c r="I442" s="168" t="s">
        <v>314</v>
      </c>
      <c r="J442" s="168" t="s">
        <v>218</v>
      </c>
      <c r="K442" s="193">
        <v>170</v>
      </c>
      <c r="L442" s="141"/>
      <c r="M442" s="124">
        <f t="shared" si="58"/>
        <v>170</v>
      </c>
      <c r="N442" s="113">
        <f t="shared" si="59"/>
        <v>0</v>
      </c>
    </row>
    <row r="443" spans="1:14" ht="15" hidden="1" customHeight="1">
      <c r="A443" s="168" t="s">
        <v>414</v>
      </c>
      <c r="B443" s="168" t="s">
        <v>323</v>
      </c>
      <c r="C443" s="117">
        <v>43962</v>
      </c>
      <c r="D443" s="168">
        <v>1223</v>
      </c>
      <c r="E443" s="168" t="s">
        <v>324</v>
      </c>
      <c r="F443" s="168" t="s">
        <v>325</v>
      </c>
      <c r="G443" s="133" t="s">
        <v>533</v>
      </c>
      <c r="H443" s="118">
        <v>913373</v>
      </c>
      <c r="I443" s="168" t="s">
        <v>314</v>
      </c>
      <c r="J443" s="168" t="s">
        <v>217</v>
      </c>
      <c r="K443" s="193">
        <v>70</v>
      </c>
      <c r="L443" s="141">
        <v>29.614999999999998</v>
      </c>
      <c r="M443" s="124">
        <f t="shared" si="58"/>
        <v>40.385000000000005</v>
      </c>
      <c r="N443" s="113">
        <f t="shared" si="59"/>
        <v>0.42307142857142854</v>
      </c>
    </row>
    <row r="444" spans="1:14" ht="15" hidden="1" customHeight="1">
      <c r="A444" s="168" t="s">
        <v>414</v>
      </c>
      <c r="B444" s="168" t="s">
        <v>323</v>
      </c>
      <c r="C444" s="117">
        <v>43962</v>
      </c>
      <c r="D444" s="168">
        <v>1223</v>
      </c>
      <c r="E444" s="168" t="s">
        <v>324</v>
      </c>
      <c r="F444" s="168" t="s">
        <v>325</v>
      </c>
      <c r="G444" s="133" t="s">
        <v>533</v>
      </c>
      <c r="H444" s="118">
        <v>913373</v>
      </c>
      <c r="I444" s="168" t="s">
        <v>314</v>
      </c>
      <c r="J444" s="168" t="s">
        <v>218</v>
      </c>
      <c r="K444" s="193">
        <v>140</v>
      </c>
      <c r="L444" s="141">
        <v>0.7</v>
      </c>
      <c r="M444" s="124">
        <f t="shared" si="58"/>
        <v>139.30000000000001</v>
      </c>
      <c r="N444" s="113">
        <f t="shared" si="59"/>
        <v>5.0000000000000001E-3</v>
      </c>
    </row>
    <row r="445" spans="1:14" ht="15" hidden="1" customHeight="1">
      <c r="A445" s="168" t="s">
        <v>414</v>
      </c>
      <c r="B445" s="168" t="s">
        <v>323</v>
      </c>
      <c r="C445" s="117">
        <v>43962</v>
      </c>
      <c r="D445" s="168">
        <v>1223</v>
      </c>
      <c r="E445" s="168" t="s">
        <v>324</v>
      </c>
      <c r="F445" s="168" t="s">
        <v>325</v>
      </c>
      <c r="G445" s="133" t="s">
        <v>534</v>
      </c>
      <c r="H445" s="118">
        <v>966110</v>
      </c>
      <c r="I445" s="168" t="s">
        <v>314</v>
      </c>
      <c r="J445" s="168" t="s">
        <v>217</v>
      </c>
      <c r="K445" s="193">
        <v>70</v>
      </c>
      <c r="L445" s="141">
        <v>22.088000000000001</v>
      </c>
      <c r="M445" s="124">
        <f t="shared" si="58"/>
        <v>47.911999999999999</v>
      </c>
      <c r="N445" s="113">
        <f t="shared" si="59"/>
        <v>0.31554285714285718</v>
      </c>
    </row>
    <row r="446" spans="1:14" ht="15" hidden="1" customHeight="1">
      <c r="A446" s="168" t="s">
        <v>414</v>
      </c>
      <c r="B446" s="168" t="s">
        <v>323</v>
      </c>
      <c r="C446" s="117">
        <v>43962</v>
      </c>
      <c r="D446" s="168">
        <v>1223</v>
      </c>
      <c r="E446" s="168" t="s">
        <v>324</v>
      </c>
      <c r="F446" s="168" t="s">
        <v>325</v>
      </c>
      <c r="G446" s="133" t="s">
        <v>534</v>
      </c>
      <c r="H446" s="118">
        <v>966110</v>
      </c>
      <c r="I446" s="168" t="s">
        <v>314</v>
      </c>
      <c r="J446" s="168" t="s">
        <v>218</v>
      </c>
      <c r="K446" s="193">
        <v>140</v>
      </c>
      <c r="L446" s="141">
        <v>83.966999999999999</v>
      </c>
      <c r="M446" s="124">
        <f t="shared" si="58"/>
        <v>56.033000000000001</v>
      </c>
      <c r="N446" s="113">
        <f t="shared" si="59"/>
        <v>0.59976428571428575</v>
      </c>
    </row>
    <row r="447" spans="1:14" ht="15" hidden="1" customHeight="1">
      <c r="A447" s="168" t="s">
        <v>414</v>
      </c>
      <c r="B447" s="168" t="s">
        <v>323</v>
      </c>
      <c r="C447" s="117">
        <v>43962</v>
      </c>
      <c r="D447" s="168">
        <v>1223</v>
      </c>
      <c r="E447" s="168" t="s">
        <v>324</v>
      </c>
      <c r="F447" s="168" t="s">
        <v>325</v>
      </c>
      <c r="G447" s="133" t="s">
        <v>511</v>
      </c>
      <c r="H447" s="118">
        <v>968712</v>
      </c>
      <c r="I447" s="168" t="s">
        <v>314</v>
      </c>
      <c r="J447" s="168" t="s">
        <v>217</v>
      </c>
      <c r="K447" s="193">
        <v>50</v>
      </c>
      <c r="L447" s="141">
        <v>29.36</v>
      </c>
      <c r="M447" s="124">
        <f t="shared" si="58"/>
        <v>20.64</v>
      </c>
      <c r="N447" s="113">
        <f t="shared" si="59"/>
        <v>0.58719999999999994</v>
      </c>
    </row>
    <row r="448" spans="1:14" ht="15" hidden="1" customHeight="1">
      <c r="A448" s="168" t="s">
        <v>414</v>
      </c>
      <c r="B448" s="168" t="s">
        <v>323</v>
      </c>
      <c r="C448" s="117">
        <v>43962</v>
      </c>
      <c r="D448" s="168">
        <v>1223</v>
      </c>
      <c r="E448" s="168" t="s">
        <v>324</v>
      </c>
      <c r="F448" s="168" t="s">
        <v>325</v>
      </c>
      <c r="G448" s="133" t="s">
        <v>511</v>
      </c>
      <c r="H448" s="118">
        <v>968712</v>
      </c>
      <c r="I448" s="168" t="s">
        <v>314</v>
      </c>
      <c r="J448" s="168" t="s">
        <v>218</v>
      </c>
      <c r="K448" s="193">
        <v>204</v>
      </c>
      <c r="L448" s="141"/>
      <c r="M448" s="124">
        <f t="shared" si="58"/>
        <v>204</v>
      </c>
      <c r="N448" s="113">
        <f t="shared" si="59"/>
        <v>0</v>
      </c>
    </row>
    <row r="449" spans="1:14" ht="15" hidden="1" customHeight="1">
      <c r="A449" s="168" t="s">
        <v>414</v>
      </c>
      <c r="B449" s="168" t="s">
        <v>323</v>
      </c>
      <c r="C449" s="117">
        <v>43962</v>
      </c>
      <c r="D449" s="168">
        <v>1223</v>
      </c>
      <c r="E449" s="168" t="s">
        <v>324</v>
      </c>
      <c r="F449" s="168" t="s">
        <v>325</v>
      </c>
      <c r="G449" s="133" t="s">
        <v>535</v>
      </c>
      <c r="H449" s="118">
        <v>968857</v>
      </c>
      <c r="I449" s="168" t="s">
        <v>314</v>
      </c>
      <c r="J449" s="168" t="s">
        <v>217</v>
      </c>
      <c r="K449" s="193">
        <v>50</v>
      </c>
      <c r="L449" s="141">
        <v>106.858</v>
      </c>
      <c r="M449" s="124">
        <f t="shared" si="58"/>
        <v>-56.858000000000004</v>
      </c>
      <c r="N449" s="113">
        <f t="shared" si="59"/>
        <v>2.1371600000000002</v>
      </c>
    </row>
    <row r="450" spans="1:14" ht="15" hidden="1" customHeight="1">
      <c r="A450" s="168" t="s">
        <v>414</v>
      </c>
      <c r="B450" s="168" t="s">
        <v>323</v>
      </c>
      <c r="C450" s="117">
        <v>43962</v>
      </c>
      <c r="D450" s="168">
        <v>1223</v>
      </c>
      <c r="E450" s="168" t="s">
        <v>324</v>
      </c>
      <c r="F450" s="168" t="s">
        <v>325</v>
      </c>
      <c r="G450" s="133" t="s">
        <v>535</v>
      </c>
      <c r="H450" s="118">
        <v>968857</v>
      </c>
      <c r="I450" s="168" t="s">
        <v>314</v>
      </c>
      <c r="J450" s="168" t="s">
        <v>218</v>
      </c>
      <c r="K450" s="193">
        <v>227</v>
      </c>
      <c r="L450" s="141">
        <v>168.773</v>
      </c>
      <c r="M450" s="124">
        <f t="shared" si="58"/>
        <v>58.227000000000004</v>
      </c>
      <c r="N450" s="113">
        <f t="shared" si="59"/>
        <v>0.74349339207048459</v>
      </c>
    </row>
    <row r="451" spans="1:14" ht="15" hidden="1" customHeight="1">
      <c r="A451" s="168" t="s">
        <v>414</v>
      </c>
      <c r="B451" s="168" t="s">
        <v>323</v>
      </c>
      <c r="C451" s="117">
        <v>43962</v>
      </c>
      <c r="D451" s="168">
        <v>1223</v>
      </c>
      <c r="E451" s="168" t="s">
        <v>324</v>
      </c>
      <c r="F451" s="168" t="s">
        <v>325</v>
      </c>
      <c r="G451" s="133" t="s">
        <v>536</v>
      </c>
      <c r="H451" s="118">
        <v>6485</v>
      </c>
      <c r="I451" s="168" t="s">
        <v>314</v>
      </c>
      <c r="J451" s="168" t="s">
        <v>217</v>
      </c>
      <c r="K451" s="193">
        <v>90</v>
      </c>
      <c r="L451" s="141">
        <v>4.6319999999999997</v>
      </c>
      <c r="M451" s="124">
        <f t="shared" si="58"/>
        <v>85.367999999999995</v>
      </c>
      <c r="N451" s="113">
        <f t="shared" si="59"/>
        <v>5.1466666666666661E-2</v>
      </c>
    </row>
    <row r="452" spans="1:14" ht="15" hidden="1" customHeight="1">
      <c r="A452" s="168" t="s">
        <v>414</v>
      </c>
      <c r="B452" s="168" t="s">
        <v>323</v>
      </c>
      <c r="C452" s="117">
        <v>43962</v>
      </c>
      <c r="D452" s="168">
        <v>1223</v>
      </c>
      <c r="E452" s="168" t="s">
        <v>324</v>
      </c>
      <c r="F452" s="168" t="s">
        <v>325</v>
      </c>
      <c r="G452" s="133" t="s">
        <v>536</v>
      </c>
      <c r="H452" s="118">
        <v>6485</v>
      </c>
      <c r="I452" s="168" t="s">
        <v>314</v>
      </c>
      <c r="J452" s="168" t="s">
        <v>218</v>
      </c>
      <c r="K452" s="193">
        <v>140</v>
      </c>
      <c r="L452" s="141">
        <v>36.055999999999997</v>
      </c>
      <c r="M452" s="124">
        <f t="shared" si="58"/>
        <v>103.944</v>
      </c>
      <c r="N452" s="113">
        <f t="shared" si="59"/>
        <v>0.25754285714285713</v>
      </c>
    </row>
    <row r="453" spans="1:14" ht="15" hidden="1" customHeight="1">
      <c r="A453" s="168" t="s">
        <v>414</v>
      </c>
      <c r="B453" s="168" t="s">
        <v>323</v>
      </c>
      <c r="C453" s="117">
        <v>43962</v>
      </c>
      <c r="D453" s="168">
        <v>1223</v>
      </c>
      <c r="E453" s="168" t="s">
        <v>324</v>
      </c>
      <c r="F453" s="168" t="s">
        <v>325</v>
      </c>
      <c r="G453" s="133" t="s">
        <v>537</v>
      </c>
      <c r="H453" s="118">
        <v>959209</v>
      </c>
      <c r="I453" s="168" t="s">
        <v>314</v>
      </c>
      <c r="J453" s="168" t="s">
        <v>217</v>
      </c>
      <c r="K453" s="193">
        <v>40</v>
      </c>
      <c r="L453" s="141">
        <v>88.477999999999994</v>
      </c>
      <c r="M453" s="124">
        <f t="shared" si="58"/>
        <v>-48.477999999999994</v>
      </c>
      <c r="N453" s="113">
        <f t="shared" si="59"/>
        <v>2.2119499999999999</v>
      </c>
    </row>
    <row r="454" spans="1:14" ht="15" hidden="1" customHeight="1">
      <c r="A454" s="168" t="s">
        <v>414</v>
      </c>
      <c r="B454" s="168" t="s">
        <v>323</v>
      </c>
      <c r="C454" s="117">
        <v>43962</v>
      </c>
      <c r="D454" s="168">
        <v>1223</v>
      </c>
      <c r="E454" s="168" t="s">
        <v>324</v>
      </c>
      <c r="F454" s="168" t="s">
        <v>325</v>
      </c>
      <c r="G454" s="133" t="s">
        <v>537</v>
      </c>
      <c r="H454" s="118">
        <v>959209</v>
      </c>
      <c r="I454" s="168" t="s">
        <v>314</v>
      </c>
      <c r="J454" s="168" t="s">
        <v>218</v>
      </c>
      <c r="K454" s="193">
        <v>222</v>
      </c>
      <c r="L454" s="141">
        <v>172</v>
      </c>
      <c r="M454" s="124">
        <f t="shared" si="58"/>
        <v>50</v>
      </c>
      <c r="N454" s="113">
        <f t="shared" si="59"/>
        <v>0.77477477477477474</v>
      </c>
    </row>
    <row r="455" spans="1:14" ht="15" hidden="1" customHeight="1">
      <c r="A455" s="168" t="s">
        <v>414</v>
      </c>
      <c r="B455" s="168" t="s">
        <v>323</v>
      </c>
      <c r="C455" s="117">
        <v>43962</v>
      </c>
      <c r="D455" s="168">
        <v>1223</v>
      </c>
      <c r="E455" s="168" t="s">
        <v>324</v>
      </c>
      <c r="F455" s="168" t="s">
        <v>325</v>
      </c>
      <c r="G455" s="133" t="s">
        <v>538</v>
      </c>
      <c r="H455" s="118">
        <v>968588</v>
      </c>
      <c r="I455" s="168" t="s">
        <v>314</v>
      </c>
      <c r="J455" s="168" t="s">
        <v>217</v>
      </c>
      <c r="K455" s="193">
        <v>70</v>
      </c>
      <c r="L455" s="141">
        <v>35.92</v>
      </c>
      <c r="M455" s="124">
        <f t="shared" si="58"/>
        <v>34.08</v>
      </c>
      <c r="N455" s="113">
        <f t="shared" si="59"/>
        <v>0.51314285714285712</v>
      </c>
    </row>
    <row r="456" spans="1:14" ht="15" hidden="1" customHeight="1">
      <c r="A456" s="168" t="s">
        <v>414</v>
      </c>
      <c r="B456" s="168" t="s">
        <v>323</v>
      </c>
      <c r="C456" s="117">
        <v>43962</v>
      </c>
      <c r="D456" s="168">
        <v>1223</v>
      </c>
      <c r="E456" s="168" t="s">
        <v>324</v>
      </c>
      <c r="F456" s="168" t="s">
        <v>325</v>
      </c>
      <c r="G456" s="133" t="s">
        <v>538</v>
      </c>
      <c r="H456" s="118">
        <v>968588</v>
      </c>
      <c r="I456" s="168" t="s">
        <v>314</v>
      </c>
      <c r="J456" s="168" t="s">
        <v>218</v>
      </c>
      <c r="K456" s="193">
        <v>140</v>
      </c>
      <c r="L456" s="141">
        <v>57.404000000000003</v>
      </c>
      <c r="M456" s="124">
        <f t="shared" si="58"/>
        <v>82.596000000000004</v>
      </c>
      <c r="N456" s="113">
        <f t="shared" si="59"/>
        <v>0.41002857142857146</v>
      </c>
    </row>
    <row r="457" spans="1:14" ht="15" hidden="1" customHeight="1">
      <c r="A457" s="125" t="s">
        <v>527</v>
      </c>
      <c r="B457" s="125" t="s">
        <v>309</v>
      </c>
      <c r="C457" s="117">
        <v>43970</v>
      </c>
      <c r="D457" s="125">
        <v>76</v>
      </c>
      <c r="E457" s="125" t="s">
        <v>310</v>
      </c>
      <c r="F457" s="125" t="s">
        <v>311</v>
      </c>
      <c r="G457" s="125" t="s">
        <v>312</v>
      </c>
      <c r="H457" s="118">
        <v>968165</v>
      </c>
      <c r="I457" s="173" t="s">
        <v>314</v>
      </c>
      <c r="J457" s="173" t="s">
        <v>217</v>
      </c>
      <c r="K457" s="257">
        <v>100</v>
      </c>
      <c r="L457" s="141">
        <v>0.64</v>
      </c>
      <c r="M457" s="259">
        <f t="shared" ref="M457" si="60">K457-(L457+L458)</f>
        <v>66.793000000000006</v>
      </c>
      <c r="N457" s="261">
        <f t="shared" ref="N457" si="61">(L457+L458)/K457</f>
        <v>0.33207000000000003</v>
      </c>
    </row>
    <row r="458" spans="1:14" ht="15" hidden="1" customHeight="1">
      <c r="A458" s="173" t="s">
        <v>527</v>
      </c>
      <c r="B458" s="173" t="s">
        <v>309</v>
      </c>
      <c r="C458" s="117">
        <v>43970</v>
      </c>
      <c r="D458" s="173">
        <v>76</v>
      </c>
      <c r="E458" s="173" t="s">
        <v>310</v>
      </c>
      <c r="F458" s="173" t="s">
        <v>311</v>
      </c>
      <c r="G458" s="173" t="s">
        <v>313</v>
      </c>
      <c r="H458" s="118">
        <v>968160</v>
      </c>
      <c r="I458" s="173" t="s">
        <v>314</v>
      </c>
      <c r="J458" s="173" t="s">
        <v>217</v>
      </c>
      <c r="K458" s="258"/>
      <c r="L458" s="141">
        <v>32.567</v>
      </c>
      <c r="M458" s="260"/>
      <c r="N458" s="262"/>
    </row>
    <row r="459" spans="1:14" ht="15" hidden="1" customHeight="1">
      <c r="A459" s="173" t="s">
        <v>527</v>
      </c>
      <c r="B459" s="173" t="s">
        <v>309</v>
      </c>
      <c r="C459" s="117">
        <v>43970</v>
      </c>
      <c r="D459" s="173">
        <v>76</v>
      </c>
      <c r="E459" s="173" t="s">
        <v>310</v>
      </c>
      <c r="F459" s="173" t="s">
        <v>311</v>
      </c>
      <c r="G459" s="173" t="s">
        <v>312</v>
      </c>
      <c r="H459" s="118">
        <v>968165</v>
      </c>
      <c r="I459" s="173" t="s">
        <v>314</v>
      </c>
      <c r="J459" s="173" t="s">
        <v>218</v>
      </c>
      <c r="K459" s="257">
        <v>50</v>
      </c>
      <c r="L459" s="141">
        <v>0.86</v>
      </c>
      <c r="M459" s="259">
        <f t="shared" ref="M459" si="62">K459-(L459+L460)</f>
        <v>39.841999999999999</v>
      </c>
      <c r="N459" s="261">
        <f t="shared" ref="N459" si="63">(L459+L460)/K459</f>
        <v>0.20315999999999998</v>
      </c>
    </row>
    <row r="460" spans="1:14" ht="15" hidden="1" customHeight="1">
      <c r="A460" s="173" t="s">
        <v>527</v>
      </c>
      <c r="B460" s="173" t="s">
        <v>309</v>
      </c>
      <c r="C460" s="117">
        <v>43970</v>
      </c>
      <c r="D460" s="173">
        <v>76</v>
      </c>
      <c r="E460" s="173" t="s">
        <v>310</v>
      </c>
      <c r="F460" s="173" t="s">
        <v>311</v>
      </c>
      <c r="G460" s="173" t="s">
        <v>313</v>
      </c>
      <c r="H460" s="118">
        <v>968160</v>
      </c>
      <c r="I460" s="173" t="s">
        <v>314</v>
      </c>
      <c r="J460" s="173" t="s">
        <v>218</v>
      </c>
      <c r="K460" s="258"/>
      <c r="L460" s="141">
        <v>9.298</v>
      </c>
      <c r="M460" s="260"/>
      <c r="N460" s="262"/>
    </row>
    <row r="461" spans="1:14" hidden="1">
      <c r="A461" s="125" t="s">
        <v>541</v>
      </c>
      <c r="B461" s="178" t="s">
        <v>309</v>
      </c>
      <c r="C461" s="117">
        <v>43978</v>
      </c>
      <c r="D461" s="125">
        <v>79</v>
      </c>
      <c r="E461" s="178" t="s">
        <v>310</v>
      </c>
      <c r="F461" s="178" t="s">
        <v>311</v>
      </c>
      <c r="G461" s="178" t="s">
        <v>318</v>
      </c>
      <c r="H461" s="178">
        <v>967281</v>
      </c>
      <c r="I461" s="178" t="s">
        <v>314</v>
      </c>
      <c r="J461" s="178" t="s">
        <v>217</v>
      </c>
      <c r="K461" s="257">
        <v>58.2</v>
      </c>
      <c r="L461" s="125"/>
      <c r="M461" s="259">
        <f>K461-(L461+L462+L463)</f>
        <v>58.2</v>
      </c>
      <c r="N461" s="261">
        <f>(L461+L462+L463)/K461</f>
        <v>0</v>
      </c>
    </row>
    <row r="462" spans="1:14" hidden="1">
      <c r="A462" s="178" t="s">
        <v>541</v>
      </c>
      <c r="B462" s="178" t="s">
        <v>309</v>
      </c>
      <c r="C462" s="117">
        <v>43978</v>
      </c>
      <c r="D462" s="178">
        <v>79</v>
      </c>
      <c r="E462" s="178" t="s">
        <v>310</v>
      </c>
      <c r="F462" s="178" t="s">
        <v>311</v>
      </c>
      <c r="G462" s="178" t="s">
        <v>317</v>
      </c>
      <c r="H462" s="178">
        <v>967342</v>
      </c>
      <c r="I462" s="178" t="s">
        <v>314</v>
      </c>
      <c r="J462" s="178" t="s">
        <v>217</v>
      </c>
      <c r="K462" s="263"/>
      <c r="L462" s="125"/>
      <c r="M462" s="264"/>
      <c r="N462" s="265"/>
    </row>
    <row r="463" spans="1:14" hidden="1">
      <c r="A463" s="178" t="s">
        <v>541</v>
      </c>
      <c r="B463" s="178" t="s">
        <v>309</v>
      </c>
      <c r="C463" s="117">
        <v>43978</v>
      </c>
      <c r="D463" s="178">
        <v>79</v>
      </c>
      <c r="E463" s="178" t="s">
        <v>310</v>
      </c>
      <c r="F463" s="178" t="s">
        <v>311</v>
      </c>
      <c r="G463" s="178" t="s">
        <v>316</v>
      </c>
      <c r="H463" s="178">
        <v>967145</v>
      </c>
      <c r="I463" s="178" t="s">
        <v>314</v>
      </c>
      <c r="J463" s="178" t="s">
        <v>217</v>
      </c>
      <c r="K463" s="258"/>
      <c r="L463" s="125"/>
      <c r="M463" s="260"/>
      <c r="N463" s="262"/>
    </row>
    <row r="464" spans="1:14" hidden="1">
      <c r="A464" s="178" t="s">
        <v>541</v>
      </c>
      <c r="B464" s="178" t="s">
        <v>309</v>
      </c>
      <c r="C464" s="117">
        <v>43978</v>
      </c>
      <c r="D464" s="178">
        <v>79</v>
      </c>
      <c r="E464" s="178" t="s">
        <v>310</v>
      </c>
      <c r="F464" s="178" t="s">
        <v>311</v>
      </c>
      <c r="G464" s="178" t="s">
        <v>318</v>
      </c>
      <c r="H464" s="178">
        <v>967281</v>
      </c>
      <c r="I464" s="178" t="s">
        <v>314</v>
      </c>
      <c r="J464" s="178" t="s">
        <v>218</v>
      </c>
      <c r="K464" s="257">
        <v>40</v>
      </c>
      <c r="L464" s="125"/>
      <c r="M464" s="259">
        <f>K464-(L464+L465+L466)</f>
        <v>40</v>
      </c>
      <c r="N464" s="261">
        <f>(L464+L465+L466)/K464</f>
        <v>0</v>
      </c>
    </row>
    <row r="465" spans="1:14" hidden="1">
      <c r="A465" s="178" t="s">
        <v>541</v>
      </c>
      <c r="B465" s="178" t="s">
        <v>309</v>
      </c>
      <c r="C465" s="117">
        <v>43978</v>
      </c>
      <c r="D465" s="178">
        <v>79</v>
      </c>
      <c r="E465" s="178" t="s">
        <v>310</v>
      </c>
      <c r="F465" s="178" t="s">
        <v>311</v>
      </c>
      <c r="G465" s="178" t="s">
        <v>317</v>
      </c>
      <c r="H465" s="178">
        <v>967342</v>
      </c>
      <c r="I465" s="178" t="s">
        <v>314</v>
      </c>
      <c r="J465" s="178" t="s">
        <v>218</v>
      </c>
      <c r="K465" s="263"/>
      <c r="L465" s="125"/>
      <c r="M465" s="264"/>
      <c r="N465" s="265"/>
    </row>
    <row r="466" spans="1:14" hidden="1">
      <c r="A466" s="178" t="s">
        <v>541</v>
      </c>
      <c r="B466" s="178" t="s">
        <v>309</v>
      </c>
      <c r="C466" s="117">
        <v>43978</v>
      </c>
      <c r="D466" s="178">
        <v>79</v>
      </c>
      <c r="E466" s="178" t="s">
        <v>310</v>
      </c>
      <c r="F466" s="178" t="s">
        <v>311</v>
      </c>
      <c r="G466" s="178" t="s">
        <v>316</v>
      </c>
      <c r="H466" s="178">
        <v>967145</v>
      </c>
      <c r="I466" s="178" t="s">
        <v>314</v>
      </c>
      <c r="J466" s="178" t="s">
        <v>218</v>
      </c>
      <c r="K466" s="258"/>
      <c r="L466" s="125"/>
      <c r="M466" s="260"/>
      <c r="N466" s="262"/>
    </row>
    <row r="467" spans="1:14" hidden="1">
      <c r="A467" s="125" t="s">
        <v>542</v>
      </c>
      <c r="B467" s="125" t="s">
        <v>323</v>
      </c>
      <c r="C467" s="117">
        <v>43980</v>
      </c>
      <c r="D467" s="125">
        <v>80</v>
      </c>
      <c r="E467" s="180" t="s">
        <v>310</v>
      </c>
      <c r="F467" s="180" t="s">
        <v>311</v>
      </c>
      <c r="G467" s="125" t="s">
        <v>543</v>
      </c>
      <c r="H467" s="118">
        <v>950818</v>
      </c>
      <c r="I467" s="125" t="s">
        <v>314</v>
      </c>
      <c r="J467" s="180" t="s">
        <v>217</v>
      </c>
      <c r="K467" s="193">
        <v>132</v>
      </c>
      <c r="L467" s="125"/>
      <c r="M467" s="124">
        <f t="shared" ref="M467" si="64">K467-L467</f>
        <v>132</v>
      </c>
      <c r="N467" s="113">
        <f t="shared" ref="N467" si="65">L467/K467</f>
        <v>0</v>
      </c>
    </row>
    <row r="468" spans="1:14" hidden="1">
      <c r="A468" s="180" t="s">
        <v>542</v>
      </c>
      <c r="B468" s="180" t="s">
        <v>323</v>
      </c>
      <c r="C468" s="117">
        <v>43980</v>
      </c>
      <c r="D468" s="180">
        <v>80</v>
      </c>
      <c r="E468" s="180" t="s">
        <v>310</v>
      </c>
      <c r="F468" s="180" t="s">
        <v>311</v>
      </c>
      <c r="G468" s="180" t="s">
        <v>543</v>
      </c>
      <c r="H468" s="181">
        <v>950818</v>
      </c>
      <c r="I468" s="180" t="s">
        <v>314</v>
      </c>
      <c r="J468" s="180" t="s">
        <v>218</v>
      </c>
      <c r="K468" s="193">
        <v>245</v>
      </c>
      <c r="L468" s="125"/>
      <c r="M468" s="124">
        <f t="shared" ref="M468" si="66">K468-L468</f>
        <v>245</v>
      </c>
      <c r="N468" s="113">
        <f t="shared" ref="N468" si="67">L468/K468</f>
        <v>0</v>
      </c>
    </row>
    <row r="469" spans="1:14" hidden="1">
      <c r="A469" s="125" t="s">
        <v>441</v>
      </c>
      <c r="B469" s="125" t="s">
        <v>323</v>
      </c>
      <c r="C469" s="98">
        <v>43983</v>
      </c>
      <c r="D469" s="125">
        <v>1336</v>
      </c>
      <c r="E469" s="125" t="s">
        <v>324</v>
      </c>
      <c r="F469" s="125" t="s">
        <v>325</v>
      </c>
      <c r="G469" s="125" t="s">
        <v>544</v>
      </c>
      <c r="H469" s="125">
        <v>922492</v>
      </c>
      <c r="I469" s="182" t="s">
        <v>314</v>
      </c>
      <c r="J469" s="182" t="s">
        <v>217</v>
      </c>
      <c r="K469" s="193">
        <v>174</v>
      </c>
      <c r="L469" s="141">
        <v>40.404000000000003</v>
      </c>
      <c r="M469" s="124">
        <f t="shared" ref="M469:M476" si="68">K469-L469</f>
        <v>133.596</v>
      </c>
      <c r="N469" s="113">
        <f t="shared" ref="N469:N476" si="69">L469/K469</f>
        <v>0.23220689655172416</v>
      </c>
    </row>
    <row r="470" spans="1:14" hidden="1">
      <c r="A470" s="182" t="s">
        <v>441</v>
      </c>
      <c r="B470" s="182" t="s">
        <v>323</v>
      </c>
      <c r="C470" s="98">
        <v>43983</v>
      </c>
      <c r="D470" s="182">
        <v>1336</v>
      </c>
      <c r="E470" s="182" t="s">
        <v>324</v>
      </c>
      <c r="F470" s="182" t="s">
        <v>325</v>
      </c>
      <c r="G470" s="182" t="s">
        <v>544</v>
      </c>
      <c r="H470" s="182">
        <v>922492</v>
      </c>
      <c r="I470" s="182" t="s">
        <v>314</v>
      </c>
      <c r="J470" s="182" t="s">
        <v>218</v>
      </c>
      <c r="K470" s="193">
        <v>126</v>
      </c>
      <c r="L470" s="141">
        <v>0.98599999999999999</v>
      </c>
      <c r="M470" s="124">
        <f t="shared" si="68"/>
        <v>125.014</v>
      </c>
      <c r="N470" s="113">
        <f t="shared" si="69"/>
        <v>7.8253968253968256E-3</v>
      </c>
    </row>
    <row r="471" spans="1:14" hidden="1">
      <c r="A471" s="182" t="s">
        <v>441</v>
      </c>
      <c r="B471" s="182" t="s">
        <v>323</v>
      </c>
      <c r="C471" s="98">
        <v>43983</v>
      </c>
      <c r="D471" s="182">
        <v>1336</v>
      </c>
      <c r="E471" s="182" t="s">
        <v>324</v>
      </c>
      <c r="F471" s="182" t="s">
        <v>325</v>
      </c>
      <c r="G471" s="125" t="s">
        <v>446</v>
      </c>
      <c r="H471" s="125">
        <v>955516</v>
      </c>
      <c r="I471" s="182" t="s">
        <v>314</v>
      </c>
      <c r="J471" s="182" t="s">
        <v>217</v>
      </c>
      <c r="K471" s="193">
        <v>100</v>
      </c>
      <c r="L471" s="125"/>
      <c r="M471" s="124">
        <f t="shared" si="68"/>
        <v>100</v>
      </c>
      <c r="N471" s="113">
        <f t="shared" si="69"/>
        <v>0</v>
      </c>
    </row>
    <row r="472" spans="1:14" hidden="1">
      <c r="A472" s="182" t="s">
        <v>441</v>
      </c>
      <c r="B472" s="182" t="s">
        <v>323</v>
      </c>
      <c r="C472" s="98">
        <v>43983</v>
      </c>
      <c r="D472" s="182">
        <v>1336</v>
      </c>
      <c r="E472" s="182" t="s">
        <v>324</v>
      </c>
      <c r="F472" s="182" t="s">
        <v>325</v>
      </c>
      <c r="G472" s="182" t="s">
        <v>446</v>
      </c>
      <c r="H472" s="182">
        <v>955516</v>
      </c>
      <c r="I472" s="182" t="s">
        <v>314</v>
      </c>
      <c r="J472" s="182" t="s">
        <v>218</v>
      </c>
      <c r="K472" s="193">
        <v>50</v>
      </c>
      <c r="L472" s="125"/>
      <c r="M472" s="124">
        <f t="shared" si="68"/>
        <v>50</v>
      </c>
      <c r="N472" s="113">
        <f t="shared" si="69"/>
        <v>0</v>
      </c>
    </row>
    <row r="473" spans="1:14" hidden="1">
      <c r="A473" s="125" t="s">
        <v>545</v>
      </c>
      <c r="B473" s="182" t="s">
        <v>323</v>
      </c>
      <c r="C473" s="98">
        <v>43985</v>
      </c>
      <c r="D473" s="125">
        <v>83</v>
      </c>
      <c r="E473" s="125" t="s">
        <v>310</v>
      </c>
      <c r="F473" s="125" t="s">
        <v>311</v>
      </c>
      <c r="G473" s="125" t="s">
        <v>546</v>
      </c>
      <c r="H473" s="125">
        <v>964980</v>
      </c>
      <c r="I473" s="182" t="s">
        <v>314</v>
      </c>
      <c r="J473" s="182" t="s">
        <v>217</v>
      </c>
      <c r="K473" s="193">
        <v>10</v>
      </c>
      <c r="L473" s="125"/>
      <c r="M473" s="124">
        <f t="shared" si="68"/>
        <v>10</v>
      </c>
      <c r="N473" s="113">
        <f t="shared" si="69"/>
        <v>0</v>
      </c>
    </row>
    <row r="474" spans="1:14" hidden="1">
      <c r="A474" s="182" t="s">
        <v>545</v>
      </c>
      <c r="B474" s="182" t="s">
        <v>323</v>
      </c>
      <c r="C474" s="98">
        <v>43985</v>
      </c>
      <c r="D474" s="182">
        <v>83</v>
      </c>
      <c r="E474" s="182" t="s">
        <v>310</v>
      </c>
      <c r="F474" s="182" t="s">
        <v>311</v>
      </c>
      <c r="G474" s="182" t="s">
        <v>546</v>
      </c>
      <c r="H474" s="182">
        <v>964980</v>
      </c>
      <c r="I474" s="182" t="s">
        <v>314</v>
      </c>
      <c r="J474" s="182" t="s">
        <v>218</v>
      </c>
      <c r="K474" s="193">
        <v>62</v>
      </c>
      <c r="L474" s="125"/>
      <c r="M474" s="124">
        <f t="shared" si="68"/>
        <v>62</v>
      </c>
      <c r="N474" s="113">
        <f t="shared" si="69"/>
        <v>0</v>
      </c>
    </row>
    <row r="475" spans="1:14" hidden="1">
      <c r="A475" s="182" t="s">
        <v>545</v>
      </c>
      <c r="B475" s="182" t="s">
        <v>323</v>
      </c>
      <c r="C475" s="98">
        <v>43985</v>
      </c>
      <c r="D475" s="182">
        <v>83</v>
      </c>
      <c r="E475" s="182" t="s">
        <v>310</v>
      </c>
      <c r="F475" s="182" t="s">
        <v>311</v>
      </c>
      <c r="G475" s="125" t="s">
        <v>547</v>
      </c>
      <c r="H475" s="125">
        <v>923959</v>
      </c>
      <c r="I475" s="182" t="s">
        <v>314</v>
      </c>
      <c r="J475" s="182" t="s">
        <v>217</v>
      </c>
      <c r="K475" s="193">
        <v>60</v>
      </c>
      <c r="L475" s="141">
        <v>45.094999999999999</v>
      </c>
      <c r="M475" s="124">
        <f t="shared" si="68"/>
        <v>14.905000000000001</v>
      </c>
      <c r="N475" s="113">
        <f t="shared" si="69"/>
        <v>0.75158333333333327</v>
      </c>
    </row>
    <row r="476" spans="1:14" hidden="1">
      <c r="A476" s="182" t="s">
        <v>545</v>
      </c>
      <c r="B476" s="182" t="s">
        <v>323</v>
      </c>
      <c r="C476" s="98">
        <v>43985</v>
      </c>
      <c r="D476" s="182">
        <v>83</v>
      </c>
      <c r="E476" s="182" t="s">
        <v>310</v>
      </c>
      <c r="F476" s="182" t="s">
        <v>311</v>
      </c>
      <c r="G476" s="182" t="s">
        <v>547</v>
      </c>
      <c r="H476" s="182">
        <v>923959</v>
      </c>
      <c r="I476" s="182" t="s">
        <v>314</v>
      </c>
      <c r="J476" s="182" t="s">
        <v>218</v>
      </c>
      <c r="K476" s="193">
        <v>80</v>
      </c>
      <c r="L476" s="125"/>
      <c r="M476" s="124">
        <f t="shared" si="68"/>
        <v>80</v>
      </c>
      <c r="N476" s="113">
        <f t="shared" si="69"/>
        <v>0</v>
      </c>
    </row>
    <row r="477" spans="1:14" hidden="1">
      <c r="A477" s="125" t="s">
        <v>390</v>
      </c>
      <c r="B477" s="125" t="s">
        <v>309</v>
      </c>
      <c r="C477" s="98">
        <v>43985</v>
      </c>
      <c r="D477" s="125">
        <v>84</v>
      </c>
      <c r="E477" s="182" t="s">
        <v>310</v>
      </c>
      <c r="F477" s="182" t="s">
        <v>311</v>
      </c>
      <c r="G477" s="182" t="s">
        <v>316</v>
      </c>
      <c r="H477" s="182">
        <v>967145</v>
      </c>
      <c r="I477" s="182" t="s">
        <v>314</v>
      </c>
      <c r="J477" s="182" t="s">
        <v>217</v>
      </c>
      <c r="K477" s="257">
        <v>80</v>
      </c>
      <c r="L477" s="182"/>
      <c r="M477" s="259">
        <f>K477-(L477+L478+L479)</f>
        <v>80</v>
      </c>
      <c r="N477" s="261">
        <f>(L477+L478+L479)/K477</f>
        <v>0</v>
      </c>
    </row>
    <row r="478" spans="1:14" hidden="1">
      <c r="A478" s="182" t="s">
        <v>390</v>
      </c>
      <c r="B478" s="182" t="s">
        <v>309</v>
      </c>
      <c r="C478" s="98">
        <v>43985</v>
      </c>
      <c r="D478" s="182">
        <v>84</v>
      </c>
      <c r="E478" s="182" t="s">
        <v>310</v>
      </c>
      <c r="F478" s="182" t="s">
        <v>311</v>
      </c>
      <c r="G478" s="182" t="s">
        <v>317</v>
      </c>
      <c r="H478" s="182">
        <v>967342</v>
      </c>
      <c r="I478" s="182" t="s">
        <v>314</v>
      </c>
      <c r="J478" s="182" t="s">
        <v>217</v>
      </c>
      <c r="K478" s="263"/>
      <c r="L478" s="182"/>
      <c r="M478" s="264"/>
      <c r="N478" s="265"/>
    </row>
    <row r="479" spans="1:14" hidden="1">
      <c r="A479" s="182" t="s">
        <v>390</v>
      </c>
      <c r="B479" s="182" t="s">
        <v>309</v>
      </c>
      <c r="C479" s="98">
        <v>43985</v>
      </c>
      <c r="D479" s="182">
        <v>84</v>
      </c>
      <c r="E479" s="182" t="s">
        <v>310</v>
      </c>
      <c r="F479" s="182" t="s">
        <v>311</v>
      </c>
      <c r="G479" s="182" t="s">
        <v>318</v>
      </c>
      <c r="H479" s="182">
        <v>967281</v>
      </c>
      <c r="I479" s="182" t="s">
        <v>314</v>
      </c>
      <c r="J479" s="182" t="s">
        <v>217</v>
      </c>
      <c r="K479" s="258"/>
      <c r="L479" s="182"/>
      <c r="M479" s="260"/>
      <c r="N479" s="262"/>
    </row>
    <row r="480" spans="1:14" hidden="1">
      <c r="A480" s="182" t="s">
        <v>390</v>
      </c>
      <c r="B480" s="182" t="s">
        <v>309</v>
      </c>
      <c r="C480" s="98">
        <v>43985</v>
      </c>
      <c r="D480" s="182">
        <v>84</v>
      </c>
      <c r="E480" s="182" t="s">
        <v>310</v>
      </c>
      <c r="F480" s="182" t="s">
        <v>311</v>
      </c>
      <c r="G480" s="182" t="s">
        <v>316</v>
      </c>
      <c r="H480" s="182">
        <v>967145</v>
      </c>
      <c r="I480" s="182" t="s">
        <v>314</v>
      </c>
      <c r="J480" s="182" t="s">
        <v>218</v>
      </c>
      <c r="K480" s="257">
        <v>3</v>
      </c>
      <c r="L480" s="182"/>
      <c r="M480" s="259">
        <f>K480-(L480+L481+L482)</f>
        <v>3</v>
      </c>
      <c r="N480" s="261">
        <f>(L480+L481+L482)/K480</f>
        <v>0</v>
      </c>
    </row>
    <row r="481" spans="1:14" hidden="1">
      <c r="A481" s="182" t="s">
        <v>390</v>
      </c>
      <c r="B481" s="182" t="s">
        <v>309</v>
      </c>
      <c r="C481" s="98">
        <v>43985</v>
      </c>
      <c r="D481" s="182">
        <v>84</v>
      </c>
      <c r="E481" s="182" t="s">
        <v>310</v>
      </c>
      <c r="F481" s="182" t="s">
        <v>311</v>
      </c>
      <c r="G481" s="182" t="s">
        <v>317</v>
      </c>
      <c r="H481" s="182">
        <v>967342</v>
      </c>
      <c r="I481" s="182" t="s">
        <v>314</v>
      </c>
      <c r="J481" s="182" t="s">
        <v>218</v>
      </c>
      <c r="K481" s="263"/>
      <c r="L481" s="182"/>
      <c r="M481" s="264"/>
      <c r="N481" s="265"/>
    </row>
    <row r="482" spans="1:14" hidden="1">
      <c r="A482" s="182" t="s">
        <v>390</v>
      </c>
      <c r="B482" s="182" t="s">
        <v>309</v>
      </c>
      <c r="C482" s="98">
        <v>43985</v>
      </c>
      <c r="D482" s="182">
        <v>84</v>
      </c>
      <c r="E482" s="182" t="s">
        <v>310</v>
      </c>
      <c r="F482" s="182" t="s">
        <v>311</v>
      </c>
      <c r="G482" s="182" t="s">
        <v>318</v>
      </c>
      <c r="H482" s="182">
        <v>967281</v>
      </c>
      <c r="I482" s="182" t="s">
        <v>314</v>
      </c>
      <c r="J482" s="182" t="s">
        <v>218</v>
      </c>
      <c r="K482" s="258"/>
      <c r="L482" s="182"/>
      <c r="M482" s="260"/>
      <c r="N482" s="262"/>
    </row>
    <row r="483" spans="1:14" hidden="1">
      <c r="A483" s="184" t="s">
        <v>414</v>
      </c>
      <c r="B483" s="184" t="s">
        <v>323</v>
      </c>
      <c r="C483" s="98">
        <v>43964</v>
      </c>
      <c r="D483" s="125">
        <v>1247</v>
      </c>
      <c r="E483" s="125" t="s">
        <v>324</v>
      </c>
      <c r="F483" s="125" t="s">
        <v>325</v>
      </c>
      <c r="G483" s="125" t="s">
        <v>548</v>
      </c>
      <c r="H483" s="125">
        <v>968423</v>
      </c>
      <c r="I483" s="184" t="s">
        <v>314</v>
      </c>
      <c r="J483" s="184" t="s">
        <v>217</v>
      </c>
      <c r="K483" s="193">
        <v>50</v>
      </c>
      <c r="L483" s="141"/>
      <c r="M483" s="124">
        <f t="shared" ref="M483" si="70">K483-L483</f>
        <v>50</v>
      </c>
      <c r="N483" s="113">
        <f t="shared" ref="N483" si="71">L483/K483</f>
        <v>0</v>
      </c>
    </row>
    <row r="484" spans="1:14" hidden="1">
      <c r="A484" s="184" t="s">
        <v>414</v>
      </c>
      <c r="B484" s="184" t="s">
        <v>323</v>
      </c>
      <c r="C484" s="98">
        <v>43964</v>
      </c>
      <c r="D484" s="184">
        <v>1247</v>
      </c>
      <c r="E484" s="184" t="s">
        <v>324</v>
      </c>
      <c r="F484" s="184" t="s">
        <v>325</v>
      </c>
      <c r="G484" s="184" t="s">
        <v>548</v>
      </c>
      <c r="H484" s="184">
        <v>968423</v>
      </c>
      <c r="I484" s="184" t="s">
        <v>314</v>
      </c>
      <c r="J484" s="184" t="s">
        <v>218</v>
      </c>
      <c r="K484" s="193">
        <v>230</v>
      </c>
      <c r="L484" s="141"/>
      <c r="M484" s="124">
        <f t="shared" ref="M484:M556" si="72">K484-L484</f>
        <v>230</v>
      </c>
      <c r="N484" s="113">
        <f t="shared" ref="N484:N556" si="73">L484/K484</f>
        <v>0</v>
      </c>
    </row>
    <row r="485" spans="1:14" hidden="1">
      <c r="A485" s="184" t="s">
        <v>414</v>
      </c>
      <c r="B485" s="184" t="s">
        <v>323</v>
      </c>
      <c r="C485" s="98">
        <v>43964</v>
      </c>
      <c r="D485" s="184">
        <v>1247</v>
      </c>
      <c r="E485" s="184" t="s">
        <v>324</v>
      </c>
      <c r="F485" s="184" t="s">
        <v>325</v>
      </c>
      <c r="G485" s="125" t="s">
        <v>547</v>
      </c>
      <c r="H485" s="125">
        <v>923959</v>
      </c>
      <c r="I485" s="184" t="s">
        <v>314</v>
      </c>
      <c r="J485" s="184" t="s">
        <v>217</v>
      </c>
      <c r="K485" s="193">
        <v>40</v>
      </c>
      <c r="L485" s="141">
        <v>87.346000000000004</v>
      </c>
      <c r="M485" s="124">
        <f t="shared" si="72"/>
        <v>-47.346000000000004</v>
      </c>
      <c r="N485" s="113">
        <f t="shared" si="73"/>
        <v>2.1836500000000001</v>
      </c>
    </row>
    <row r="486" spans="1:14" hidden="1">
      <c r="A486" s="184" t="s">
        <v>414</v>
      </c>
      <c r="B486" s="184" t="s">
        <v>323</v>
      </c>
      <c r="C486" s="98">
        <v>43964</v>
      </c>
      <c r="D486" s="184">
        <v>1247</v>
      </c>
      <c r="E486" s="184" t="s">
        <v>324</v>
      </c>
      <c r="F486" s="184" t="s">
        <v>325</v>
      </c>
      <c r="G486" s="184" t="s">
        <v>547</v>
      </c>
      <c r="H486" s="184">
        <v>923959</v>
      </c>
      <c r="I486" s="184" t="s">
        <v>314</v>
      </c>
      <c r="J486" s="184" t="s">
        <v>218</v>
      </c>
      <c r="K486" s="193">
        <v>310</v>
      </c>
      <c r="L486" s="141">
        <v>262.654</v>
      </c>
      <c r="M486" s="124">
        <f t="shared" si="72"/>
        <v>47.346000000000004</v>
      </c>
      <c r="N486" s="113">
        <f t="shared" si="73"/>
        <v>0.84727096774193544</v>
      </c>
    </row>
    <row r="487" spans="1:14" hidden="1">
      <c r="A487" s="184" t="s">
        <v>414</v>
      </c>
      <c r="B487" s="184" t="s">
        <v>323</v>
      </c>
      <c r="C487" s="98">
        <v>43964</v>
      </c>
      <c r="D487" s="184">
        <v>1247</v>
      </c>
      <c r="E487" s="184" t="s">
        <v>324</v>
      </c>
      <c r="F487" s="184" t="s">
        <v>325</v>
      </c>
      <c r="G487" s="125" t="s">
        <v>518</v>
      </c>
      <c r="H487" s="125">
        <v>953084</v>
      </c>
      <c r="I487" s="184" t="s">
        <v>314</v>
      </c>
      <c r="J487" s="184" t="s">
        <v>217</v>
      </c>
      <c r="K487" s="193">
        <v>50</v>
      </c>
      <c r="L487" s="141">
        <v>88.94</v>
      </c>
      <c r="M487" s="124">
        <f t="shared" si="72"/>
        <v>-38.94</v>
      </c>
      <c r="N487" s="113">
        <f t="shared" si="73"/>
        <v>1.7787999999999999</v>
      </c>
    </row>
    <row r="488" spans="1:14" hidden="1">
      <c r="A488" s="184" t="s">
        <v>414</v>
      </c>
      <c r="B488" s="184" t="s">
        <v>323</v>
      </c>
      <c r="C488" s="98">
        <v>43964</v>
      </c>
      <c r="D488" s="184">
        <v>1247</v>
      </c>
      <c r="E488" s="184" t="s">
        <v>324</v>
      </c>
      <c r="F488" s="184" t="s">
        <v>325</v>
      </c>
      <c r="G488" s="184" t="s">
        <v>518</v>
      </c>
      <c r="H488" s="184">
        <v>953084</v>
      </c>
      <c r="I488" s="184" t="s">
        <v>314</v>
      </c>
      <c r="J488" s="184" t="s">
        <v>218</v>
      </c>
      <c r="K488" s="193">
        <v>326</v>
      </c>
      <c r="L488" s="141">
        <v>85.54</v>
      </c>
      <c r="M488" s="124">
        <f t="shared" si="72"/>
        <v>240.45999999999998</v>
      </c>
      <c r="N488" s="113">
        <f t="shared" si="73"/>
        <v>0.26239263803680984</v>
      </c>
    </row>
    <row r="489" spans="1:14" hidden="1">
      <c r="A489" s="184" t="s">
        <v>414</v>
      </c>
      <c r="B489" s="184" t="s">
        <v>323</v>
      </c>
      <c r="C489" s="98">
        <v>43964</v>
      </c>
      <c r="D489" s="184">
        <v>1247</v>
      </c>
      <c r="E489" s="184" t="s">
        <v>324</v>
      </c>
      <c r="F489" s="184" t="s">
        <v>325</v>
      </c>
      <c r="G489" s="125" t="s">
        <v>549</v>
      </c>
      <c r="H489" s="125">
        <v>953756</v>
      </c>
      <c r="I489" s="184" t="s">
        <v>314</v>
      </c>
      <c r="J489" s="184" t="s">
        <v>217</v>
      </c>
      <c r="K489" s="193">
        <v>50</v>
      </c>
      <c r="L489" s="141">
        <v>49.326999999999998</v>
      </c>
      <c r="M489" s="124">
        <f t="shared" si="72"/>
        <v>0.67300000000000182</v>
      </c>
      <c r="N489" s="113">
        <f t="shared" si="73"/>
        <v>0.98653999999999997</v>
      </c>
    </row>
    <row r="490" spans="1:14" hidden="1">
      <c r="A490" s="184" t="s">
        <v>414</v>
      </c>
      <c r="B490" s="184" t="s">
        <v>323</v>
      </c>
      <c r="C490" s="98">
        <v>43964</v>
      </c>
      <c r="D490" s="184">
        <v>1247</v>
      </c>
      <c r="E490" s="184" t="s">
        <v>324</v>
      </c>
      <c r="F490" s="184" t="s">
        <v>325</v>
      </c>
      <c r="G490" s="184" t="s">
        <v>549</v>
      </c>
      <c r="H490" s="184">
        <v>953756</v>
      </c>
      <c r="I490" s="184" t="s">
        <v>314</v>
      </c>
      <c r="J490" s="184" t="s">
        <v>218</v>
      </c>
      <c r="K490" s="193">
        <v>234</v>
      </c>
      <c r="L490" s="141">
        <v>164.61500000000001</v>
      </c>
      <c r="M490" s="124">
        <f t="shared" si="72"/>
        <v>69.384999999999991</v>
      </c>
      <c r="N490" s="113">
        <f t="shared" si="73"/>
        <v>0.70348290598290597</v>
      </c>
    </row>
    <row r="491" spans="1:14" hidden="1">
      <c r="A491" s="184" t="s">
        <v>414</v>
      </c>
      <c r="B491" s="184" t="s">
        <v>323</v>
      </c>
      <c r="C491" s="98">
        <v>43964</v>
      </c>
      <c r="D491" s="184">
        <v>1247</v>
      </c>
      <c r="E491" s="184" t="s">
        <v>324</v>
      </c>
      <c r="F491" s="184" t="s">
        <v>325</v>
      </c>
      <c r="G491" s="125" t="s">
        <v>550</v>
      </c>
      <c r="H491" s="125">
        <v>950918</v>
      </c>
      <c r="I491" s="184" t="s">
        <v>314</v>
      </c>
      <c r="J491" s="184" t="s">
        <v>217</v>
      </c>
      <c r="K491" s="193">
        <v>180</v>
      </c>
      <c r="L491" s="141"/>
      <c r="M491" s="124">
        <f t="shared" si="72"/>
        <v>180</v>
      </c>
      <c r="N491" s="113">
        <f t="shared" si="73"/>
        <v>0</v>
      </c>
    </row>
    <row r="492" spans="1:14" hidden="1">
      <c r="A492" s="184" t="s">
        <v>414</v>
      </c>
      <c r="B492" s="184" t="s">
        <v>323</v>
      </c>
      <c r="C492" s="98">
        <v>43964</v>
      </c>
      <c r="D492" s="184">
        <v>1247</v>
      </c>
      <c r="E492" s="184" t="s">
        <v>324</v>
      </c>
      <c r="F492" s="184" t="s">
        <v>325</v>
      </c>
      <c r="G492" s="184" t="s">
        <v>550</v>
      </c>
      <c r="H492" s="184">
        <v>950918</v>
      </c>
      <c r="I492" s="184" t="s">
        <v>314</v>
      </c>
      <c r="J492" s="184" t="s">
        <v>218</v>
      </c>
      <c r="K492" s="193">
        <v>124</v>
      </c>
      <c r="L492" s="141"/>
      <c r="M492" s="124">
        <f t="shared" si="72"/>
        <v>124</v>
      </c>
      <c r="N492" s="113">
        <f t="shared" si="73"/>
        <v>0</v>
      </c>
    </row>
    <row r="493" spans="1:14" hidden="1">
      <c r="A493" s="184" t="s">
        <v>414</v>
      </c>
      <c r="B493" s="184" t="s">
        <v>323</v>
      </c>
      <c r="C493" s="98">
        <v>43964</v>
      </c>
      <c r="D493" s="184">
        <v>1247</v>
      </c>
      <c r="E493" s="184" t="s">
        <v>324</v>
      </c>
      <c r="F493" s="184" t="s">
        <v>325</v>
      </c>
      <c r="G493" s="125" t="s">
        <v>546</v>
      </c>
      <c r="H493" s="125">
        <v>964980</v>
      </c>
      <c r="I493" s="184" t="s">
        <v>314</v>
      </c>
      <c r="J493" s="184" t="s">
        <v>217</v>
      </c>
      <c r="K493" s="193">
        <v>60</v>
      </c>
      <c r="L493" s="141">
        <v>156.72900000000001</v>
      </c>
      <c r="M493" s="124">
        <f t="shared" si="72"/>
        <v>-96.729000000000013</v>
      </c>
      <c r="N493" s="113">
        <f t="shared" si="73"/>
        <v>2.6121500000000002</v>
      </c>
    </row>
    <row r="494" spans="1:14" hidden="1">
      <c r="A494" s="184" t="s">
        <v>414</v>
      </c>
      <c r="B494" s="184" t="s">
        <v>323</v>
      </c>
      <c r="C494" s="98">
        <v>43964</v>
      </c>
      <c r="D494" s="184">
        <v>1247</v>
      </c>
      <c r="E494" s="184" t="s">
        <v>324</v>
      </c>
      <c r="F494" s="184" t="s">
        <v>325</v>
      </c>
      <c r="G494" s="184" t="s">
        <v>546</v>
      </c>
      <c r="H494" s="184">
        <v>964980</v>
      </c>
      <c r="I494" s="184" t="s">
        <v>314</v>
      </c>
      <c r="J494" s="184" t="s">
        <v>218</v>
      </c>
      <c r="K494" s="193">
        <v>260</v>
      </c>
      <c r="L494" s="141">
        <v>82.382999999999996</v>
      </c>
      <c r="M494" s="124">
        <f t="shared" si="72"/>
        <v>177.61700000000002</v>
      </c>
      <c r="N494" s="113">
        <f t="shared" si="73"/>
        <v>0.31685769230769228</v>
      </c>
    </row>
    <row r="495" spans="1:14" hidden="1">
      <c r="A495" s="184" t="s">
        <v>414</v>
      </c>
      <c r="B495" s="184" t="s">
        <v>323</v>
      </c>
      <c r="C495" s="98">
        <v>43964</v>
      </c>
      <c r="D495" s="184">
        <v>1247</v>
      </c>
      <c r="E495" s="184" t="s">
        <v>324</v>
      </c>
      <c r="F495" s="184" t="s">
        <v>325</v>
      </c>
      <c r="G495" s="125" t="s">
        <v>551</v>
      </c>
      <c r="H495" s="125">
        <v>910835</v>
      </c>
      <c r="I495" s="184" t="s">
        <v>314</v>
      </c>
      <c r="J495" s="184" t="s">
        <v>217</v>
      </c>
      <c r="K495" s="193">
        <v>237</v>
      </c>
      <c r="L495" s="141">
        <v>138.154</v>
      </c>
      <c r="M495" s="124">
        <f t="shared" si="72"/>
        <v>98.846000000000004</v>
      </c>
      <c r="N495" s="113">
        <f t="shared" si="73"/>
        <v>0.58292827004219405</v>
      </c>
    </row>
    <row r="496" spans="1:14" hidden="1">
      <c r="A496" s="184" t="s">
        <v>414</v>
      </c>
      <c r="B496" s="184" t="s">
        <v>323</v>
      </c>
      <c r="C496" s="98">
        <v>43964</v>
      </c>
      <c r="D496" s="184">
        <v>1247</v>
      </c>
      <c r="E496" s="184" t="s">
        <v>324</v>
      </c>
      <c r="F496" s="184" t="s">
        <v>325</v>
      </c>
      <c r="G496" s="184" t="s">
        <v>551</v>
      </c>
      <c r="H496" s="184">
        <v>910835</v>
      </c>
      <c r="I496" s="184" t="s">
        <v>314</v>
      </c>
      <c r="J496" s="184" t="s">
        <v>218</v>
      </c>
      <c r="K496" s="193">
        <v>120</v>
      </c>
      <c r="L496" s="141">
        <v>77.881</v>
      </c>
      <c r="M496" s="124">
        <f t="shared" si="72"/>
        <v>42.119</v>
      </c>
      <c r="N496" s="113">
        <f t="shared" si="73"/>
        <v>0.6490083333333333</v>
      </c>
    </row>
    <row r="497" spans="1:14" hidden="1">
      <c r="A497" s="184" t="s">
        <v>414</v>
      </c>
      <c r="B497" s="184" t="s">
        <v>323</v>
      </c>
      <c r="C497" s="98">
        <v>43964</v>
      </c>
      <c r="D497" s="184">
        <v>1247</v>
      </c>
      <c r="E497" s="184" t="s">
        <v>324</v>
      </c>
      <c r="F497" s="184" t="s">
        <v>325</v>
      </c>
      <c r="G497" s="125" t="s">
        <v>552</v>
      </c>
      <c r="H497" s="125">
        <v>926064</v>
      </c>
      <c r="I497" s="184" t="s">
        <v>314</v>
      </c>
      <c r="J497" s="184" t="s">
        <v>217</v>
      </c>
      <c r="K497" s="193">
        <v>60</v>
      </c>
      <c r="L497" s="141">
        <v>199.82400000000001</v>
      </c>
      <c r="M497" s="124">
        <f t="shared" si="72"/>
        <v>-139.82400000000001</v>
      </c>
      <c r="N497" s="113">
        <f t="shared" si="73"/>
        <v>3.3304</v>
      </c>
    </row>
    <row r="498" spans="1:14" hidden="1">
      <c r="A498" s="184" t="s">
        <v>414</v>
      </c>
      <c r="B498" s="184" t="s">
        <v>323</v>
      </c>
      <c r="C498" s="98">
        <v>43964</v>
      </c>
      <c r="D498" s="184">
        <v>1247</v>
      </c>
      <c r="E498" s="184" t="s">
        <v>324</v>
      </c>
      <c r="F498" s="184" t="s">
        <v>325</v>
      </c>
      <c r="G498" s="184" t="s">
        <v>552</v>
      </c>
      <c r="H498" s="184">
        <v>926064</v>
      </c>
      <c r="I498" s="184" t="s">
        <v>314</v>
      </c>
      <c r="J498" s="184" t="s">
        <v>218</v>
      </c>
      <c r="K498" s="193">
        <v>252</v>
      </c>
      <c r="L498" s="141">
        <v>13.65</v>
      </c>
      <c r="M498" s="124">
        <f t="shared" si="72"/>
        <v>238.35</v>
      </c>
      <c r="N498" s="113">
        <f t="shared" si="73"/>
        <v>5.4166666666666669E-2</v>
      </c>
    </row>
    <row r="499" spans="1:14" hidden="1">
      <c r="A499" s="184" t="s">
        <v>414</v>
      </c>
      <c r="B499" s="184" t="s">
        <v>323</v>
      </c>
      <c r="C499" s="98">
        <v>43964</v>
      </c>
      <c r="D499" s="184">
        <v>1247</v>
      </c>
      <c r="E499" s="184" t="s">
        <v>324</v>
      </c>
      <c r="F499" s="184" t="s">
        <v>325</v>
      </c>
      <c r="G499" s="125" t="s">
        <v>553</v>
      </c>
      <c r="H499" s="125">
        <v>922483</v>
      </c>
      <c r="I499" s="184" t="s">
        <v>314</v>
      </c>
      <c r="J499" s="184" t="s">
        <v>217</v>
      </c>
      <c r="K499" s="193">
        <v>237</v>
      </c>
      <c r="L499" s="141">
        <v>74.287000000000006</v>
      </c>
      <c r="M499" s="124">
        <f t="shared" si="72"/>
        <v>162.71299999999999</v>
      </c>
      <c r="N499" s="113">
        <f t="shared" si="73"/>
        <v>0.31344725738396628</v>
      </c>
    </row>
    <row r="500" spans="1:14" hidden="1">
      <c r="A500" s="184" t="s">
        <v>414</v>
      </c>
      <c r="B500" s="184" t="s">
        <v>323</v>
      </c>
      <c r="C500" s="98">
        <v>43964</v>
      </c>
      <c r="D500" s="184">
        <v>1247</v>
      </c>
      <c r="E500" s="184" t="s">
        <v>324</v>
      </c>
      <c r="F500" s="184" t="s">
        <v>325</v>
      </c>
      <c r="G500" s="184" t="s">
        <v>553</v>
      </c>
      <c r="H500" s="184">
        <v>922483</v>
      </c>
      <c r="I500" s="184" t="s">
        <v>314</v>
      </c>
      <c r="J500" s="184" t="s">
        <v>218</v>
      </c>
      <c r="K500" s="193">
        <v>110</v>
      </c>
      <c r="L500" s="141">
        <v>37.524000000000001</v>
      </c>
      <c r="M500" s="124">
        <f t="shared" si="72"/>
        <v>72.475999999999999</v>
      </c>
      <c r="N500" s="113">
        <f t="shared" si="73"/>
        <v>0.34112727272727272</v>
      </c>
    </row>
    <row r="501" spans="1:14" hidden="1">
      <c r="A501" s="184" t="s">
        <v>483</v>
      </c>
      <c r="B501" s="184" t="s">
        <v>323</v>
      </c>
      <c r="C501" s="98">
        <v>43964</v>
      </c>
      <c r="D501" s="125">
        <v>1248</v>
      </c>
      <c r="E501" s="184" t="s">
        <v>324</v>
      </c>
      <c r="F501" s="184" t="s">
        <v>325</v>
      </c>
      <c r="G501" s="125" t="s">
        <v>544</v>
      </c>
      <c r="H501" s="125">
        <v>922492</v>
      </c>
      <c r="I501" s="184" t="s">
        <v>314</v>
      </c>
      <c r="J501" s="184" t="s">
        <v>217</v>
      </c>
      <c r="K501" s="193">
        <v>101</v>
      </c>
      <c r="L501" s="125"/>
      <c r="M501" s="124">
        <f t="shared" si="72"/>
        <v>101</v>
      </c>
      <c r="N501" s="113">
        <f t="shared" si="73"/>
        <v>0</v>
      </c>
    </row>
    <row r="502" spans="1:14" hidden="1">
      <c r="A502" s="184" t="s">
        <v>483</v>
      </c>
      <c r="B502" s="184" t="s">
        <v>323</v>
      </c>
      <c r="C502" s="98">
        <v>43964</v>
      </c>
      <c r="D502" s="184">
        <v>1248</v>
      </c>
      <c r="E502" s="184" t="s">
        <v>324</v>
      </c>
      <c r="F502" s="184" t="s">
        <v>325</v>
      </c>
      <c r="G502" s="184" t="s">
        <v>544</v>
      </c>
      <c r="H502" s="184">
        <v>922492</v>
      </c>
      <c r="I502" s="184" t="s">
        <v>314</v>
      </c>
      <c r="J502" s="184" t="s">
        <v>218</v>
      </c>
      <c r="K502" s="193">
        <v>249</v>
      </c>
      <c r="L502" s="141">
        <v>39.021999999999998</v>
      </c>
      <c r="M502" s="124">
        <f t="shared" si="72"/>
        <v>209.97800000000001</v>
      </c>
      <c r="N502" s="113">
        <f t="shared" si="73"/>
        <v>0.15671485943775099</v>
      </c>
    </row>
    <row r="503" spans="1:14" hidden="1">
      <c r="A503" s="184" t="s">
        <v>483</v>
      </c>
      <c r="B503" s="184" t="s">
        <v>323</v>
      </c>
      <c r="C503" s="98">
        <v>43964</v>
      </c>
      <c r="D503" s="184">
        <v>1248</v>
      </c>
      <c r="E503" s="184" t="s">
        <v>324</v>
      </c>
      <c r="F503" s="184" t="s">
        <v>325</v>
      </c>
      <c r="G503" s="125" t="s">
        <v>554</v>
      </c>
      <c r="H503" s="125">
        <v>966345</v>
      </c>
      <c r="I503" s="184" t="s">
        <v>314</v>
      </c>
      <c r="J503" s="184" t="s">
        <v>217</v>
      </c>
      <c r="K503" s="193">
        <v>101</v>
      </c>
      <c r="L503" s="141">
        <v>6.915</v>
      </c>
      <c r="M503" s="124">
        <f t="shared" si="72"/>
        <v>94.084999999999994</v>
      </c>
      <c r="N503" s="113">
        <f t="shared" si="73"/>
        <v>6.8465346534653471E-2</v>
      </c>
    </row>
    <row r="504" spans="1:14" hidden="1">
      <c r="A504" s="184" t="s">
        <v>483</v>
      </c>
      <c r="B504" s="184" t="s">
        <v>323</v>
      </c>
      <c r="C504" s="98">
        <v>43964</v>
      </c>
      <c r="D504" s="184">
        <v>1248</v>
      </c>
      <c r="E504" s="184" t="s">
        <v>324</v>
      </c>
      <c r="F504" s="184" t="s">
        <v>325</v>
      </c>
      <c r="G504" s="184" t="s">
        <v>554</v>
      </c>
      <c r="H504" s="184">
        <v>966345</v>
      </c>
      <c r="I504" s="184" t="s">
        <v>314</v>
      </c>
      <c r="J504" s="184" t="s">
        <v>218</v>
      </c>
      <c r="K504" s="193">
        <v>249</v>
      </c>
      <c r="L504" s="125"/>
      <c r="M504" s="124">
        <f t="shared" si="72"/>
        <v>249</v>
      </c>
      <c r="N504" s="113">
        <f t="shared" si="73"/>
        <v>0</v>
      </c>
    </row>
    <row r="505" spans="1:14" hidden="1">
      <c r="A505" s="184" t="s">
        <v>483</v>
      </c>
      <c r="B505" s="184" t="s">
        <v>323</v>
      </c>
      <c r="C505" s="98">
        <v>43964</v>
      </c>
      <c r="D505" s="184">
        <v>1248</v>
      </c>
      <c r="E505" s="184" t="s">
        <v>324</v>
      </c>
      <c r="F505" s="184" t="s">
        <v>325</v>
      </c>
      <c r="G505" s="125" t="s">
        <v>555</v>
      </c>
      <c r="H505" s="125">
        <v>967746</v>
      </c>
      <c r="I505" s="184" t="s">
        <v>314</v>
      </c>
      <c r="J505" s="184" t="s">
        <v>217</v>
      </c>
      <c r="K505" s="193">
        <v>87</v>
      </c>
      <c r="L505" s="125"/>
      <c r="M505" s="124">
        <f t="shared" si="72"/>
        <v>87</v>
      </c>
      <c r="N505" s="113">
        <f t="shared" si="73"/>
        <v>0</v>
      </c>
    </row>
    <row r="506" spans="1:14" hidden="1">
      <c r="A506" s="184" t="s">
        <v>483</v>
      </c>
      <c r="B506" s="184" t="s">
        <v>323</v>
      </c>
      <c r="C506" s="98">
        <v>43964</v>
      </c>
      <c r="D506" s="184">
        <v>1248</v>
      </c>
      <c r="E506" s="184" t="s">
        <v>324</v>
      </c>
      <c r="F506" s="184" t="s">
        <v>325</v>
      </c>
      <c r="G506" s="184" t="s">
        <v>555</v>
      </c>
      <c r="H506" s="184">
        <v>967746</v>
      </c>
      <c r="I506" s="184" t="s">
        <v>314</v>
      </c>
      <c r="J506" s="184" t="s">
        <v>218</v>
      </c>
      <c r="K506" s="193">
        <v>213</v>
      </c>
      <c r="L506" s="125"/>
      <c r="M506" s="124">
        <f t="shared" si="72"/>
        <v>213</v>
      </c>
      <c r="N506" s="113">
        <f t="shared" si="73"/>
        <v>0</v>
      </c>
    </row>
    <row r="507" spans="1:14" hidden="1">
      <c r="A507" s="184" t="s">
        <v>483</v>
      </c>
      <c r="B507" s="184" t="s">
        <v>323</v>
      </c>
      <c r="C507" s="98">
        <v>43964</v>
      </c>
      <c r="D507" s="184">
        <v>1248</v>
      </c>
      <c r="E507" s="184" t="s">
        <v>324</v>
      </c>
      <c r="F507" s="184" t="s">
        <v>325</v>
      </c>
      <c r="G507" s="125" t="s">
        <v>457</v>
      </c>
      <c r="H507" s="125">
        <v>966410</v>
      </c>
      <c r="I507" s="184" t="s">
        <v>314</v>
      </c>
      <c r="J507" s="184" t="s">
        <v>217</v>
      </c>
      <c r="K507" s="193">
        <v>101</v>
      </c>
      <c r="L507" s="125"/>
      <c r="M507" s="124">
        <f t="shared" si="72"/>
        <v>101</v>
      </c>
      <c r="N507" s="113">
        <f t="shared" si="73"/>
        <v>0</v>
      </c>
    </row>
    <row r="508" spans="1:14" hidden="1">
      <c r="A508" s="184" t="s">
        <v>483</v>
      </c>
      <c r="B508" s="184" t="s">
        <v>323</v>
      </c>
      <c r="C508" s="98">
        <v>43964</v>
      </c>
      <c r="D508" s="184">
        <v>1248</v>
      </c>
      <c r="E508" s="184" t="s">
        <v>324</v>
      </c>
      <c r="F508" s="184" t="s">
        <v>325</v>
      </c>
      <c r="G508" s="184" t="s">
        <v>457</v>
      </c>
      <c r="H508" s="184">
        <v>966410</v>
      </c>
      <c r="I508" s="184" t="s">
        <v>314</v>
      </c>
      <c r="J508" s="184" t="s">
        <v>218</v>
      </c>
      <c r="K508" s="193">
        <v>249</v>
      </c>
      <c r="L508" s="125"/>
      <c r="M508" s="124">
        <f t="shared" si="72"/>
        <v>249</v>
      </c>
      <c r="N508" s="113">
        <f t="shared" si="73"/>
        <v>0</v>
      </c>
    </row>
    <row r="509" spans="1:14" hidden="1">
      <c r="A509" s="184" t="s">
        <v>483</v>
      </c>
      <c r="B509" s="184" t="s">
        <v>323</v>
      </c>
      <c r="C509" s="98">
        <v>43964</v>
      </c>
      <c r="D509" s="184">
        <v>1248</v>
      </c>
      <c r="E509" s="184" t="s">
        <v>324</v>
      </c>
      <c r="F509" s="184" t="s">
        <v>325</v>
      </c>
      <c r="G509" s="125" t="s">
        <v>556</v>
      </c>
      <c r="H509" s="125">
        <v>922993</v>
      </c>
      <c r="I509" s="184" t="s">
        <v>314</v>
      </c>
      <c r="J509" s="184" t="s">
        <v>217</v>
      </c>
      <c r="K509" s="193">
        <v>137</v>
      </c>
      <c r="L509" s="125"/>
      <c r="M509" s="124">
        <f t="shared" si="72"/>
        <v>137</v>
      </c>
      <c r="N509" s="113">
        <f t="shared" si="73"/>
        <v>0</v>
      </c>
    </row>
    <row r="510" spans="1:14" hidden="1">
      <c r="A510" s="184" t="s">
        <v>483</v>
      </c>
      <c r="B510" s="184" t="s">
        <v>323</v>
      </c>
      <c r="C510" s="98">
        <v>43964</v>
      </c>
      <c r="D510" s="184">
        <v>1248</v>
      </c>
      <c r="E510" s="184" t="s">
        <v>324</v>
      </c>
      <c r="F510" s="184" t="s">
        <v>325</v>
      </c>
      <c r="G510" s="184" t="s">
        <v>556</v>
      </c>
      <c r="H510" s="184">
        <v>922993</v>
      </c>
      <c r="I510" s="184" t="s">
        <v>314</v>
      </c>
      <c r="J510" s="184" t="s">
        <v>218</v>
      </c>
      <c r="K510" s="193">
        <v>338</v>
      </c>
      <c r="L510" s="125"/>
      <c r="M510" s="124">
        <f t="shared" si="72"/>
        <v>338</v>
      </c>
      <c r="N510" s="113">
        <f t="shared" si="73"/>
        <v>0</v>
      </c>
    </row>
    <row r="511" spans="1:14" hidden="1">
      <c r="A511" s="184" t="s">
        <v>483</v>
      </c>
      <c r="B511" s="184" t="s">
        <v>323</v>
      </c>
      <c r="C511" s="98">
        <v>43964</v>
      </c>
      <c r="D511" s="184">
        <v>1248</v>
      </c>
      <c r="E511" s="184" t="s">
        <v>324</v>
      </c>
      <c r="F511" s="184" t="s">
        <v>325</v>
      </c>
      <c r="G511" s="125" t="s">
        <v>557</v>
      </c>
      <c r="H511" s="125">
        <v>960545</v>
      </c>
      <c r="I511" s="184" t="s">
        <v>314</v>
      </c>
      <c r="J511" s="184" t="s">
        <v>217</v>
      </c>
      <c r="K511" s="193">
        <v>137</v>
      </c>
      <c r="L511" s="125"/>
      <c r="M511" s="124">
        <f t="shared" si="72"/>
        <v>137</v>
      </c>
      <c r="N511" s="113">
        <f t="shared" si="73"/>
        <v>0</v>
      </c>
    </row>
    <row r="512" spans="1:14" hidden="1">
      <c r="A512" s="184" t="s">
        <v>483</v>
      </c>
      <c r="B512" s="184" t="s">
        <v>323</v>
      </c>
      <c r="C512" s="98">
        <v>43964</v>
      </c>
      <c r="D512" s="184">
        <v>1248</v>
      </c>
      <c r="E512" s="184" t="s">
        <v>324</v>
      </c>
      <c r="F512" s="184" t="s">
        <v>325</v>
      </c>
      <c r="G512" s="184" t="s">
        <v>557</v>
      </c>
      <c r="H512" s="184">
        <v>960545</v>
      </c>
      <c r="I512" s="184" t="s">
        <v>314</v>
      </c>
      <c r="J512" s="184" t="s">
        <v>218</v>
      </c>
      <c r="K512" s="193">
        <v>338</v>
      </c>
      <c r="L512" s="125"/>
      <c r="M512" s="124">
        <f t="shared" si="72"/>
        <v>338</v>
      </c>
      <c r="N512" s="113">
        <f t="shared" si="73"/>
        <v>0</v>
      </c>
    </row>
    <row r="513" spans="1:14" hidden="1">
      <c r="A513" s="125" t="s">
        <v>558</v>
      </c>
      <c r="B513" s="184" t="s">
        <v>323</v>
      </c>
      <c r="C513" s="98">
        <v>43964</v>
      </c>
      <c r="D513" s="125">
        <v>1253</v>
      </c>
      <c r="E513" s="184" t="s">
        <v>324</v>
      </c>
      <c r="F513" s="184" t="s">
        <v>325</v>
      </c>
      <c r="G513" s="125" t="s">
        <v>399</v>
      </c>
      <c r="H513" s="125">
        <v>962795</v>
      </c>
      <c r="I513" s="184" t="s">
        <v>314</v>
      </c>
      <c r="J513" s="184" t="s">
        <v>217</v>
      </c>
      <c r="K513" s="193">
        <v>10</v>
      </c>
      <c r="L513" s="141">
        <v>57.093000000000004</v>
      </c>
      <c r="M513" s="124">
        <f t="shared" si="72"/>
        <v>-47.093000000000004</v>
      </c>
      <c r="N513" s="113">
        <f t="shared" si="73"/>
        <v>5.7093000000000007</v>
      </c>
    </row>
    <row r="514" spans="1:14" hidden="1">
      <c r="A514" s="184" t="s">
        <v>558</v>
      </c>
      <c r="B514" s="184" t="s">
        <v>323</v>
      </c>
      <c r="C514" s="98">
        <v>43964</v>
      </c>
      <c r="D514" s="184">
        <v>1253</v>
      </c>
      <c r="E514" s="184" t="s">
        <v>324</v>
      </c>
      <c r="F514" s="184" t="s">
        <v>325</v>
      </c>
      <c r="G514" s="184" t="s">
        <v>399</v>
      </c>
      <c r="H514" s="184">
        <v>962795</v>
      </c>
      <c r="I514" s="184" t="s">
        <v>314</v>
      </c>
      <c r="J514" s="184" t="s">
        <v>218</v>
      </c>
      <c r="K514" s="193">
        <v>90</v>
      </c>
      <c r="L514" s="141">
        <v>42.906999999999996</v>
      </c>
      <c r="M514" s="124">
        <f t="shared" si="72"/>
        <v>47.093000000000004</v>
      </c>
      <c r="N514" s="113">
        <f t="shared" si="73"/>
        <v>0.47674444444444442</v>
      </c>
    </row>
    <row r="515" spans="1:14" hidden="1">
      <c r="A515" s="184" t="s">
        <v>558</v>
      </c>
      <c r="B515" s="184" t="s">
        <v>323</v>
      </c>
      <c r="C515" s="98">
        <v>43964</v>
      </c>
      <c r="D515" s="184">
        <v>1253</v>
      </c>
      <c r="E515" s="184" t="s">
        <v>324</v>
      </c>
      <c r="F515" s="184" t="s">
        <v>325</v>
      </c>
      <c r="G515" s="125" t="s">
        <v>559</v>
      </c>
      <c r="H515" s="125">
        <v>954465</v>
      </c>
      <c r="I515" s="184" t="s">
        <v>314</v>
      </c>
      <c r="J515" s="184" t="s">
        <v>217</v>
      </c>
      <c r="K515" s="193">
        <v>50</v>
      </c>
      <c r="L515" s="141"/>
      <c r="M515" s="124">
        <f t="shared" si="72"/>
        <v>50</v>
      </c>
      <c r="N515" s="113">
        <f t="shared" si="73"/>
        <v>0</v>
      </c>
    </row>
    <row r="516" spans="1:14" hidden="1">
      <c r="A516" s="184" t="s">
        <v>558</v>
      </c>
      <c r="B516" s="184" t="s">
        <v>323</v>
      </c>
      <c r="C516" s="98">
        <v>43964</v>
      </c>
      <c r="D516" s="184">
        <v>1253</v>
      </c>
      <c r="E516" s="184" t="s">
        <v>324</v>
      </c>
      <c r="F516" s="184" t="s">
        <v>325</v>
      </c>
      <c r="G516" s="184" t="s">
        <v>559</v>
      </c>
      <c r="H516" s="184">
        <v>954465</v>
      </c>
      <c r="I516" s="184" t="s">
        <v>314</v>
      </c>
      <c r="J516" s="184" t="s">
        <v>218</v>
      </c>
      <c r="K516" s="193">
        <v>170</v>
      </c>
      <c r="L516" s="141"/>
      <c r="M516" s="124">
        <f t="shared" si="72"/>
        <v>170</v>
      </c>
      <c r="N516" s="113">
        <f t="shared" si="73"/>
        <v>0</v>
      </c>
    </row>
    <row r="517" spans="1:14" hidden="1">
      <c r="A517" s="184" t="s">
        <v>558</v>
      </c>
      <c r="B517" s="184" t="s">
        <v>323</v>
      </c>
      <c r="C517" s="98">
        <v>43964</v>
      </c>
      <c r="D517" s="184">
        <v>1253</v>
      </c>
      <c r="E517" s="184" t="s">
        <v>324</v>
      </c>
      <c r="F517" s="184" t="s">
        <v>325</v>
      </c>
      <c r="G517" s="125" t="s">
        <v>560</v>
      </c>
      <c r="H517" s="125">
        <v>956608</v>
      </c>
      <c r="I517" s="184" t="s">
        <v>314</v>
      </c>
      <c r="J517" s="184" t="s">
        <v>217</v>
      </c>
      <c r="K517" s="193">
        <v>70</v>
      </c>
      <c r="L517" s="141">
        <v>5.26</v>
      </c>
      <c r="M517" s="124">
        <f t="shared" si="72"/>
        <v>64.739999999999995</v>
      </c>
      <c r="N517" s="113">
        <f t="shared" si="73"/>
        <v>7.5142857142857136E-2</v>
      </c>
    </row>
    <row r="518" spans="1:14" hidden="1">
      <c r="A518" s="184" t="s">
        <v>558</v>
      </c>
      <c r="B518" s="184" t="s">
        <v>323</v>
      </c>
      <c r="C518" s="98">
        <v>43964</v>
      </c>
      <c r="D518" s="184">
        <v>1253</v>
      </c>
      <c r="E518" s="184" t="s">
        <v>324</v>
      </c>
      <c r="F518" s="184" t="s">
        <v>325</v>
      </c>
      <c r="G518" s="184" t="s">
        <v>560</v>
      </c>
      <c r="H518" s="184">
        <v>956608</v>
      </c>
      <c r="I518" s="184" t="s">
        <v>314</v>
      </c>
      <c r="J518" s="184" t="s">
        <v>218</v>
      </c>
      <c r="K518" s="193">
        <v>150</v>
      </c>
      <c r="L518" s="141"/>
      <c r="M518" s="124">
        <f t="shared" si="72"/>
        <v>150</v>
      </c>
      <c r="N518" s="113">
        <f t="shared" si="73"/>
        <v>0</v>
      </c>
    </row>
    <row r="519" spans="1:14" hidden="1">
      <c r="A519" s="184" t="s">
        <v>558</v>
      </c>
      <c r="B519" s="184" t="s">
        <v>323</v>
      </c>
      <c r="C519" s="98">
        <v>43964</v>
      </c>
      <c r="D519" s="184">
        <v>1253</v>
      </c>
      <c r="E519" s="184" t="s">
        <v>324</v>
      </c>
      <c r="F519" s="184" t="s">
        <v>325</v>
      </c>
      <c r="G519" s="125" t="s">
        <v>401</v>
      </c>
      <c r="H519" s="125">
        <v>960054</v>
      </c>
      <c r="I519" s="184" t="s">
        <v>314</v>
      </c>
      <c r="J519" s="184" t="s">
        <v>217</v>
      </c>
      <c r="K519" s="193">
        <v>20</v>
      </c>
      <c r="L519" s="141"/>
      <c r="M519" s="124">
        <f t="shared" si="72"/>
        <v>20</v>
      </c>
      <c r="N519" s="113">
        <f t="shared" si="73"/>
        <v>0</v>
      </c>
    </row>
    <row r="520" spans="1:14" hidden="1">
      <c r="A520" s="184" t="s">
        <v>558</v>
      </c>
      <c r="B520" s="184" t="s">
        <v>323</v>
      </c>
      <c r="C520" s="98">
        <v>43964</v>
      </c>
      <c r="D520" s="184">
        <v>1253</v>
      </c>
      <c r="E520" s="184" t="s">
        <v>324</v>
      </c>
      <c r="F520" s="184" t="s">
        <v>325</v>
      </c>
      <c r="G520" s="184" t="s">
        <v>401</v>
      </c>
      <c r="H520" s="184">
        <v>960054</v>
      </c>
      <c r="I520" s="184" t="s">
        <v>314</v>
      </c>
      <c r="J520" s="184" t="s">
        <v>218</v>
      </c>
      <c r="K520" s="193">
        <v>90</v>
      </c>
      <c r="L520" s="141"/>
      <c r="M520" s="124">
        <f t="shared" si="72"/>
        <v>90</v>
      </c>
      <c r="N520" s="113">
        <f t="shared" si="73"/>
        <v>0</v>
      </c>
    </row>
    <row r="521" spans="1:14" hidden="1">
      <c r="A521" s="184" t="s">
        <v>558</v>
      </c>
      <c r="B521" s="184" t="s">
        <v>323</v>
      </c>
      <c r="C521" s="98">
        <v>43964</v>
      </c>
      <c r="D521" s="184">
        <v>1253</v>
      </c>
      <c r="E521" s="184" t="s">
        <v>324</v>
      </c>
      <c r="F521" s="184" t="s">
        <v>325</v>
      </c>
      <c r="G521" s="125" t="s">
        <v>561</v>
      </c>
      <c r="H521" s="125">
        <v>956727</v>
      </c>
      <c r="I521" s="184" t="s">
        <v>314</v>
      </c>
      <c r="J521" s="184" t="s">
        <v>217</v>
      </c>
      <c r="K521" s="193">
        <v>20</v>
      </c>
      <c r="L521" s="141"/>
      <c r="M521" s="124">
        <f t="shared" si="72"/>
        <v>20</v>
      </c>
      <c r="N521" s="113">
        <f t="shared" si="73"/>
        <v>0</v>
      </c>
    </row>
    <row r="522" spans="1:14" hidden="1">
      <c r="A522" s="184" t="s">
        <v>558</v>
      </c>
      <c r="B522" s="184" t="s">
        <v>323</v>
      </c>
      <c r="C522" s="98">
        <v>43964</v>
      </c>
      <c r="D522" s="184">
        <v>1253</v>
      </c>
      <c r="E522" s="184" t="s">
        <v>324</v>
      </c>
      <c r="F522" s="184" t="s">
        <v>325</v>
      </c>
      <c r="G522" s="184" t="s">
        <v>561</v>
      </c>
      <c r="H522" s="184">
        <v>956727</v>
      </c>
      <c r="I522" s="184" t="s">
        <v>314</v>
      </c>
      <c r="J522" s="184" t="s">
        <v>218</v>
      </c>
      <c r="K522" s="193">
        <v>90</v>
      </c>
      <c r="L522" s="141"/>
      <c r="M522" s="124">
        <f t="shared" si="72"/>
        <v>90</v>
      </c>
      <c r="N522" s="113">
        <f t="shared" si="73"/>
        <v>0</v>
      </c>
    </row>
    <row r="523" spans="1:14" hidden="1">
      <c r="A523" s="184" t="s">
        <v>558</v>
      </c>
      <c r="B523" s="184" t="s">
        <v>323</v>
      </c>
      <c r="C523" s="98">
        <v>43964</v>
      </c>
      <c r="D523" s="184">
        <v>1253</v>
      </c>
      <c r="E523" s="184" t="s">
        <v>324</v>
      </c>
      <c r="F523" s="184" t="s">
        <v>325</v>
      </c>
      <c r="G523" s="125" t="s">
        <v>397</v>
      </c>
      <c r="H523" s="125">
        <v>924619</v>
      </c>
      <c r="I523" s="184" t="s">
        <v>314</v>
      </c>
      <c r="J523" s="184" t="s">
        <v>217</v>
      </c>
      <c r="K523" s="193">
        <v>10</v>
      </c>
      <c r="L523" s="141">
        <v>3.9039999999999999</v>
      </c>
      <c r="M523" s="124">
        <f t="shared" si="72"/>
        <v>6.0960000000000001</v>
      </c>
      <c r="N523" s="113">
        <f t="shared" si="73"/>
        <v>0.39039999999999997</v>
      </c>
    </row>
    <row r="524" spans="1:14" hidden="1">
      <c r="A524" s="184" t="s">
        <v>558</v>
      </c>
      <c r="B524" s="184" t="s">
        <v>323</v>
      </c>
      <c r="C524" s="98">
        <v>43964</v>
      </c>
      <c r="D524" s="184">
        <v>1253</v>
      </c>
      <c r="E524" s="184" t="s">
        <v>324</v>
      </c>
      <c r="F524" s="184" t="s">
        <v>325</v>
      </c>
      <c r="G524" s="184" t="s">
        <v>397</v>
      </c>
      <c r="H524" s="184">
        <v>924619</v>
      </c>
      <c r="I524" s="184" t="s">
        <v>314</v>
      </c>
      <c r="J524" s="184" t="s">
        <v>218</v>
      </c>
      <c r="K524" s="193">
        <v>90</v>
      </c>
      <c r="L524" s="141">
        <v>0.71099999999999997</v>
      </c>
      <c r="M524" s="124">
        <f t="shared" si="72"/>
        <v>89.289000000000001</v>
      </c>
      <c r="N524" s="113">
        <f t="shared" si="73"/>
        <v>7.899999999999999E-3</v>
      </c>
    </row>
    <row r="525" spans="1:14" hidden="1">
      <c r="A525" s="184" t="s">
        <v>558</v>
      </c>
      <c r="B525" s="184" t="s">
        <v>323</v>
      </c>
      <c r="C525" s="98">
        <v>43964</v>
      </c>
      <c r="D525" s="184">
        <v>1253</v>
      </c>
      <c r="E525" s="184" t="s">
        <v>324</v>
      </c>
      <c r="F525" s="184" t="s">
        <v>325</v>
      </c>
      <c r="G525" s="125" t="s">
        <v>342</v>
      </c>
      <c r="H525" s="125">
        <v>966342</v>
      </c>
      <c r="I525" s="184" t="s">
        <v>314</v>
      </c>
      <c r="J525" s="184" t="s">
        <v>217</v>
      </c>
      <c r="K525" s="193">
        <v>20</v>
      </c>
      <c r="L525" s="141"/>
      <c r="M525" s="124">
        <f t="shared" si="72"/>
        <v>20</v>
      </c>
      <c r="N525" s="113">
        <f t="shared" si="73"/>
        <v>0</v>
      </c>
    </row>
    <row r="526" spans="1:14" hidden="1">
      <c r="A526" s="184" t="s">
        <v>558</v>
      </c>
      <c r="B526" s="184" t="s">
        <v>323</v>
      </c>
      <c r="C526" s="98">
        <v>43964</v>
      </c>
      <c r="D526" s="184">
        <v>1253</v>
      </c>
      <c r="E526" s="184" t="s">
        <v>324</v>
      </c>
      <c r="F526" s="184" t="s">
        <v>325</v>
      </c>
      <c r="G526" s="184" t="s">
        <v>342</v>
      </c>
      <c r="H526" s="184">
        <v>966342</v>
      </c>
      <c r="I526" s="184" t="s">
        <v>314</v>
      </c>
      <c r="J526" s="184" t="s">
        <v>218</v>
      </c>
      <c r="K526" s="193">
        <v>90</v>
      </c>
      <c r="L526" s="141"/>
      <c r="M526" s="124">
        <f t="shared" si="72"/>
        <v>90</v>
      </c>
      <c r="N526" s="113">
        <f t="shared" si="73"/>
        <v>0</v>
      </c>
    </row>
    <row r="527" spans="1:14" hidden="1">
      <c r="A527" s="184" t="s">
        <v>558</v>
      </c>
      <c r="B527" s="184" t="s">
        <v>323</v>
      </c>
      <c r="C527" s="98">
        <v>43964</v>
      </c>
      <c r="D527" s="184">
        <v>1253</v>
      </c>
      <c r="E527" s="184" t="s">
        <v>324</v>
      </c>
      <c r="F527" s="184" t="s">
        <v>325</v>
      </c>
      <c r="G527" s="125" t="s">
        <v>405</v>
      </c>
      <c r="H527" s="125">
        <v>965002</v>
      </c>
      <c r="I527" s="184" t="s">
        <v>314</v>
      </c>
      <c r="J527" s="184" t="s">
        <v>217</v>
      </c>
      <c r="K527" s="193">
        <v>20</v>
      </c>
      <c r="L527" s="141">
        <v>16.8</v>
      </c>
      <c r="M527" s="124">
        <f t="shared" si="72"/>
        <v>3.1999999999999993</v>
      </c>
      <c r="N527" s="113">
        <f t="shared" si="73"/>
        <v>0.84000000000000008</v>
      </c>
    </row>
    <row r="528" spans="1:14" hidden="1">
      <c r="A528" s="184" t="s">
        <v>558</v>
      </c>
      <c r="B528" s="184" t="s">
        <v>323</v>
      </c>
      <c r="C528" s="98">
        <v>43964</v>
      </c>
      <c r="D528" s="184">
        <v>1253</v>
      </c>
      <c r="E528" s="184" t="s">
        <v>324</v>
      </c>
      <c r="F528" s="184" t="s">
        <v>325</v>
      </c>
      <c r="G528" s="184" t="s">
        <v>405</v>
      </c>
      <c r="H528" s="184">
        <v>965002</v>
      </c>
      <c r="I528" s="184" t="s">
        <v>314</v>
      </c>
      <c r="J528" s="184" t="s">
        <v>218</v>
      </c>
      <c r="K528" s="193">
        <v>90</v>
      </c>
      <c r="L528" s="141"/>
      <c r="M528" s="124">
        <f t="shared" si="72"/>
        <v>90</v>
      </c>
      <c r="N528" s="113">
        <f t="shared" si="73"/>
        <v>0</v>
      </c>
    </row>
    <row r="529" spans="1:14" hidden="1">
      <c r="A529" s="184" t="s">
        <v>558</v>
      </c>
      <c r="B529" s="184" t="s">
        <v>323</v>
      </c>
      <c r="C529" s="98">
        <v>43964</v>
      </c>
      <c r="D529" s="184">
        <v>1253</v>
      </c>
      <c r="E529" s="184" t="s">
        <v>324</v>
      </c>
      <c r="F529" s="184" t="s">
        <v>325</v>
      </c>
      <c r="G529" s="125" t="s">
        <v>395</v>
      </c>
      <c r="H529" s="125">
        <v>967596</v>
      </c>
      <c r="I529" s="184" t="s">
        <v>314</v>
      </c>
      <c r="J529" s="184" t="s">
        <v>217</v>
      </c>
      <c r="K529" s="193">
        <v>20</v>
      </c>
      <c r="L529" s="141">
        <v>20</v>
      </c>
      <c r="M529" s="124">
        <f t="shared" si="72"/>
        <v>0</v>
      </c>
      <c r="N529" s="113">
        <f t="shared" si="73"/>
        <v>1</v>
      </c>
    </row>
    <row r="530" spans="1:14" hidden="1">
      <c r="A530" s="184" t="s">
        <v>558</v>
      </c>
      <c r="B530" s="184" t="s">
        <v>323</v>
      </c>
      <c r="C530" s="98">
        <v>43964</v>
      </c>
      <c r="D530" s="184">
        <v>1253</v>
      </c>
      <c r="E530" s="184" t="s">
        <v>324</v>
      </c>
      <c r="F530" s="184" t="s">
        <v>325</v>
      </c>
      <c r="G530" s="184" t="s">
        <v>395</v>
      </c>
      <c r="H530" s="184">
        <v>967596</v>
      </c>
      <c r="I530" s="184" t="s">
        <v>314</v>
      </c>
      <c r="J530" s="184" t="s">
        <v>218</v>
      </c>
      <c r="K530" s="193">
        <v>180</v>
      </c>
      <c r="L530" s="141">
        <v>28.032</v>
      </c>
      <c r="M530" s="124">
        <f t="shared" si="72"/>
        <v>151.96799999999999</v>
      </c>
      <c r="N530" s="113">
        <f t="shared" si="73"/>
        <v>0.15573333333333333</v>
      </c>
    </row>
    <row r="531" spans="1:14" hidden="1">
      <c r="A531" s="184" t="s">
        <v>558</v>
      </c>
      <c r="B531" s="184" t="s">
        <v>323</v>
      </c>
      <c r="C531" s="98">
        <v>43964</v>
      </c>
      <c r="D531" s="184">
        <v>1253</v>
      </c>
      <c r="E531" s="184" t="s">
        <v>324</v>
      </c>
      <c r="F531" s="184" t="s">
        <v>325</v>
      </c>
      <c r="G531" s="125" t="s">
        <v>562</v>
      </c>
      <c r="H531" s="125">
        <v>963966</v>
      </c>
      <c r="I531" s="184" t="s">
        <v>314</v>
      </c>
      <c r="J531" s="184" t="s">
        <v>217</v>
      </c>
      <c r="K531" s="193">
        <v>20</v>
      </c>
      <c r="L531" s="141"/>
      <c r="M531" s="124">
        <f t="shared" si="72"/>
        <v>20</v>
      </c>
      <c r="N531" s="113">
        <f t="shared" si="73"/>
        <v>0</v>
      </c>
    </row>
    <row r="532" spans="1:14" hidden="1">
      <c r="A532" s="184" t="s">
        <v>558</v>
      </c>
      <c r="B532" s="184" t="s">
        <v>323</v>
      </c>
      <c r="C532" s="98">
        <v>43964</v>
      </c>
      <c r="D532" s="184">
        <v>1253</v>
      </c>
      <c r="E532" s="184" t="s">
        <v>324</v>
      </c>
      <c r="F532" s="184" t="s">
        <v>325</v>
      </c>
      <c r="G532" s="184" t="s">
        <v>562</v>
      </c>
      <c r="H532" s="184">
        <v>963966</v>
      </c>
      <c r="I532" s="184" t="s">
        <v>314</v>
      </c>
      <c r="J532" s="184" t="s">
        <v>218</v>
      </c>
      <c r="K532" s="193">
        <v>90</v>
      </c>
      <c r="L532" s="141"/>
      <c r="M532" s="124">
        <f t="shared" si="72"/>
        <v>90</v>
      </c>
      <c r="N532" s="113">
        <f t="shared" si="73"/>
        <v>0</v>
      </c>
    </row>
    <row r="533" spans="1:14" hidden="1">
      <c r="A533" s="184" t="s">
        <v>558</v>
      </c>
      <c r="B533" s="184" t="s">
        <v>323</v>
      </c>
      <c r="C533" s="98">
        <v>43964</v>
      </c>
      <c r="D533" s="184">
        <v>1253</v>
      </c>
      <c r="E533" s="184" t="s">
        <v>324</v>
      </c>
      <c r="F533" s="184" t="s">
        <v>325</v>
      </c>
      <c r="G533" s="125" t="s">
        <v>400</v>
      </c>
      <c r="H533" s="125">
        <v>951136</v>
      </c>
      <c r="I533" s="184" t="s">
        <v>314</v>
      </c>
      <c r="J533" s="184" t="s">
        <v>217</v>
      </c>
      <c r="K533" s="193">
        <v>10</v>
      </c>
      <c r="L533" s="141"/>
      <c r="M533" s="124">
        <f t="shared" si="72"/>
        <v>10</v>
      </c>
      <c r="N533" s="113">
        <f t="shared" si="73"/>
        <v>0</v>
      </c>
    </row>
    <row r="534" spans="1:14" hidden="1">
      <c r="A534" s="184" t="s">
        <v>558</v>
      </c>
      <c r="B534" s="184" t="s">
        <v>323</v>
      </c>
      <c r="C534" s="98">
        <v>43964</v>
      </c>
      <c r="D534" s="184">
        <v>1253</v>
      </c>
      <c r="E534" s="184" t="s">
        <v>324</v>
      </c>
      <c r="F534" s="184" t="s">
        <v>325</v>
      </c>
      <c r="G534" s="184" t="s">
        <v>400</v>
      </c>
      <c r="H534" s="184">
        <v>951136</v>
      </c>
      <c r="I534" s="184" t="s">
        <v>314</v>
      </c>
      <c r="J534" s="184" t="s">
        <v>218</v>
      </c>
      <c r="K534" s="193">
        <v>90</v>
      </c>
      <c r="L534" s="141"/>
      <c r="M534" s="124">
        <f t="shared" si="72"/>
        <v>90</v>
      </c>
      <c r="N534" s="113">
        <f t="shared" si="73"/>
        <v>0</v>
      </c>
    </row>
    <row r="535" spans="1:14" hidden="1">
      <c r="A535" s="184" t="s">
        <v>558</v>
      </c>
      <c r="B535" s="184" t="s">
        <v>323</v>
      </c>
      <c r="C535" s="98">
        <v>43964</v>
      </c>
      <c r="D535" s="184">
        <v>1253</v>
      </c>
      <c r="E535" s="184" t="s">
        <v>324</v>
      </c>
      <c r="F535" s="184" t="s">
        <v>325</v>
      </c>
      <c r="G535" s="125" t="s">
        <v>402</v>
      </c>
      <c r="H535" s="125">
        <v>910836</v>
      </c>
      <c r="I535" s="184" t="s">
        <v>314</v>
      </c>
      <c r="J535" s="184" t="s">
        <v>217</v>
      </c>
      <c r="K535" s="193">
        <v>20</v>
      </c>
      <c r="L535" s="141"/>
      <c r="M535" s="124">
        <f t="shared" si="72"/>
        <v>20</v>
      </c>
      <c r="N535" s="113">
        <f t="shared" si="73"/>
        <v>0</v>
      </c>
    </row>
    <row r="536" spans="1:14" hidden="1">
      <c r="A536" s="184" t="s">
        <v>558</v>
      </c>
      <c r="B536" s="184" t="s">
        <v>323</v>
      </c>
      <c r="C536" s="98">
        <v>43964</v>
      </c>
      <c r="D536" s="184">
        <v>1253</v>
      </c>
      <c r="E536" s="184" t="s">
        <v>324</v>
      </c>
      <c r="F536" s="184" t="s">
        <v>325</v>
      </c>
      <c r="G536" s="184" t="s">
        <v>402</v>
      </c>
      <c r="H536" s="184">
        <v>910836</v>
      </c>
      <c r="I536" s="184" t="s">
        <v>314</v>
      </c>
      <c r="J536" s="184" t="s">
        <v>218</v>
      </c>
      <c r="K536" s="193">
        <v>80</v>
      </c>
      <c r="L536" s="141"/>
      <c r="M536" s="124">
        <f t="shared" si="72"/>
        <v>80</v>
      </c>
      <c r="N536" s="113">
        <f t="shared" si="73"/>
        <v>0</v>
      </c>
    </row>
    <row r="537" spans="1:14" hidden="1">
      <c r="A537" s="184" t="s">
        <v>558</v>
      </c>
      <c r="B537" s="184" t="s">
        <v>323</v>
      </c>
      <c r="C537" s="98">
        <v>43964</v>
      </c>
      <c r="D537" s="184">
        <v>1253</v>
      </c>
      <c r="E537" s="184" t="s">
        <v>324</v>
      </c>
      <c r="F537" s="184" t="s">
        <v>325</v>
      </c>
      <c r="G537" s="125" t="s">
        <v>409</v>
      </c>
      <c r="H537" s="125">
        <v>966146</v>
      </c>
      <c r="I537" s="184" t="s">
        <v>314</v>
      </c>
      <c r="J537" s="184" t="s">
        <v>217</v>
      </c>
      <c r="K537" s="193">
        <v>20</v>
      </c>
      <c r="L537" s="141">
        <v>61.948</v>
      </c>
      <c r="M537" s="124">
        <f t="shared" si="72"/>
        <v>-41.948</v>
      </c>
      <c r="N537" s="113">
        <f t="shared" si="73"/>
        <v>3.0973999999999999</v>
      </c>
    </row>
    <row r="538" spans="1:14" hidden="1">
      <c r="A538" s="184" t="s">
        <v>558</v>
      </c>
      <c r="B538" s="184" t="s">
        <v>323</v>
      </c>
      <c r="C538" s="98">
        <v>43964</v>
      </c>
      <c r="D538" s="184">
        <v>1253</v>
      </c>
      <c r="E538" s="184" t="s">
        <v>324</v>
      </c>
      <c r="F538" s="184" t="s">
        <v>325</v>
      </c>
      <c r="G538" s="184" t="s">
        <v>409</v>
      </c>
      <c r="H538" s="184">
        <v>966146</v>
      </c>
      <c r="I538" s="184" t="s">
        <v>314</v>
      </c>
      <c r="J538" s="184" t="s">
        <v>218</v>
      </c>
      <c r="K538" s="193">
        <v>90</v>
      </c>
      <c r="L538" s="141">
        <v>48.052</v>
      </c>
      <c r="M538" s="124">
        <f t="shared" si="72"/>
        <v>41.948</v>
      </c>
      <c r="N538" s="113">
        <f t="shared" si="73"/>
        <v>0.53391111111111111</v>
      </c>
    </row>
    <row r="539" spans="1:14" hidden="1">
      <c r="A539" s="184" t="s">
        <v>558</v>
      </c>
      <c r="B539" s="184" t="s">
        <v>323</v>
      </c>
      <c r="C539" s="98">
        <v>43964</v>
      </c>
      <c r="D539" s="184">
        <v>1253</v>
      </c>
      <c r="E539" s="184" t="s">
        <v>324</v>
      </c>
      <c r="F539" s="184" t="s">
        <v>325</v>
      </c>
      <c r="G539" s="125" t="s">
        <v>407</v>
      </c>
      <c r="H539" s="125">
        <v>963197</v>
      </c>
      <c r="I539" s="184" t="s">
        <v>314</v>
      </c>
      <c r="J539" s="184" t="s">
        <v>217</v>
      </c>
      <c r="K539" s="193">
        <v>20</v>
      </c>
      <c r="L539" s="141"/>
      <c r="M539" s="124">
        <f t="shared" si="72"/>
        <v>20</v>
      </c>
      <c r="N539" s="113">
        <f t="shared" si="73"/>
        <v>0</v>
      </c>
    </row>
    <row r="540" spans="1:14" hidden="1">
      <c r="A540" s="184" t="s">
        <v>558</v>
      </c>
      <c r="B540" s="184" t="s">
        <v>323</v>
      </c>
      <c r="C540" s="98">
        <v>43964</v>
      </c>
      <c r="D540" s="184">
        <v>1253</v>
      </c>
      <c r="E540" s="184" t="s">
        <v>324</v>
      </c>
      <c r="F540" s="184" t="s">
        <v>325</v>
      </c>
      <c r="G540" s="184" t="s">
        <v>407</v>
      </c>
      <c r="H540" s="184">
        <v>963197</v>
      </c>
      <c r="I540" s="184" t="s">
        <v>314</v>
      </c>
      <c r="J540" s="184" t="s">
        <v>218</v>
      </c>
      <c r="K540" s="193">
        <v>80</v>
      </c>
      <c r="L540" s="141"/>
      <c r="M540" s="124">
        <f t="shared" si="72"/>
        <v>80</v>
      </c>
      <c r="N540" s="113">
        <f t="shared" si="73"/>
        <v>0</v>
      </c>
    </row>
    <row r="541" spans="1:14" hidden="1">
      <c r="A541" s="184" t="s">
        <v>558</v>
      </c>
      <c r="B541" s="184" t="s">
        <v>323</v>
      </c>
      <c r="C541" s="98">
        <v>43964</v>
      </c>
      <c r="D541" s="184">
        <v>1253</v>
      </c>
      <c r="E541" s="184" t="s">
        <v>324</v>
      </c>
      <c r="F541" s="184" t="s">
        <v>325</v>
      </c>
      <c r="G541" s="125" t="s">
        <v>394</v>
      </c>
      <c r="H541" s="125">
        <v>924603</v>
      </c>
      <c r="I541" s="184" t="s">
        <v>314</v>
      </c>
      <c r="J541" s="184" t="s">
        <v>217</v>
      </c>
      <c r="K541" s="193">
        <v>10</v>
      </c>
      <c r="L541" s="141">
        <v>59.7</v>
      </c>
      <c r="M541" s="124">
        <f t="shared" si="72"/>
        <v>-49.7</v>
      </c>
      <c r="N541" s="113">
        <f t="shared" si="73"/>
        <v>5.9700000000000006</v>
      </c>
    </row>
    <row r="542" spans="1:14" hidden="1">
      <c r="A542" s="184" t="s">
        <v>558</v>
      </c>
      <c r="B542" s="184" t="s">
        <v>323</v>
      </c>
      <c r="C542" s="98">
        <v>43964</v>
      </c>
      <c r="D542" s="184">
        <v>1253</v>
      </c>
      <c r="E542" s="184" t="s">
        <v>324</v>
      </c>
      <c r="F542" s="184" t="s">
        <v>325</v>
      </c>
      <c r="G542" s="184" t="s">
        <v>394</v>
      </c>
      <c r="H542" s="184">
        <v>924603</v>
      </c>
      <c r="I542" s="184" t="s">
        <v>314</v>
      </c>
      <c r="J542" s="184" t="s">
        <v>218</v>
      </c>
      <c r="K542" s="193">
        <v>90</v>
      </c>
      <c r="L542" s="141">
        <v>27.484999999999999</v>
      </c>
      <c r="M542" s="124">
        <f t="shared" si="72"/>
        <v>62.515000000000001</v>
      </c>
      <c r="N542" s="113">
        <f t="shared" si="73"/>
        <v>0.30538888888888888</v>
      </c>
    </row>
    <row r="543" spans="1:14" hidden="1">
      <c r="A543" s="184" t="s">
        <v>558</v>
      </c>
      <c r="B543" s="184" t="s">
        <v>323</v>
      </c>
      <c r="C543" s="98">
        <v>43964</v>
      </c>
      <c r="D543" s="184">
        <v>1253</v>
      </c>
      <c r="E543" s="184" t="s">
        <v>324</v>
      </c>
      <c r="F543" s="184" t="s">
        <v>325</v>
      </c>
      <c r="G543" s="125" t="s">
        <v>406</v>
      </c>
      <c r="H543" s="125">
        <v>967174</v>
      </c>
      <c r="I543" s="184" t="s">
        <v>314</v>
      </c>
      <c r="J543" s="184" t="s">
        <v>217</v>
      </c>
      <c r="K543" s="193">
        <v>20</v>
      </c>
      <c r="L543" s="141">
        <v>42.972999999999999</v>
      </c>
      <c r="M543" s="124">
        <f t="shared" si="72"/>
        <v>-22.972999999999999</v>
      </c>
      <c r="N543" s="113">
        <f t="shared" si="73"/>
        <v>2.1486499999999999</v>
      </c>
    </row>
    <row r="544" spans="1:14" hidden="1">
      <c r="A544" s="184" t="s">
        <v>558</v>
      </c>
      <c r="B544" s="184" t="s">
        <v>323</v>
      </c>
      <c r="C544" s="98">
        <v>43964</v>
      </c>
      <c r="D544" s="184">
        <v>1253</v>
      </c>
      <c r="E544" s="184" t="s">
        <v>324</v>
      </c>
      <c r="F544" s="184" t="s">
        <v>325</v>
      </c>
      <c r="G544" s="184" t="s">
        <v>406</v>
      </c>
      <c r="H544" s="184">
        <v>967174</v>
      </c>
      <c r="I544" s="184" t="s">
        <v>314</v>
      </c>
      <c r="J544" s="184" t="s">
        <v>218</v>
      </c>
      <c r="K544" s="193">
        <v>90</v>
      </c>
      <c r="L544" s="141">
        <v>63.265999999999998</v>
      </c>
      <c r="M544" s="124">
        <f t="shared" si="72"/>
        <v>26.734000000000002</v>
      </c>
      <c r="N544" s="113">
        <f t="shared" si="73"/>
        <v>0.70295555555555556</v>
      </c>
    </row>
    <row r="545" spans="1:14" hidden="1">
      <c r="A545" s="184" t="s">
        <v>558</v>
      </c>
      <c r="B545" s="184" t="s">
        <v>323</v>
      </c>
      <c r="C545" s="98">
        <v>43964</v>
      </c>
      <c r="D545" s="184">
        <v>1253</v>
      </c>
      <c r="E545" s="184" t="s">
        <v>324</v>
      </c>
      <c r="F545" s="184" t="s">
        <v>325</v>
      </c>
      <c r="G545" s="125" t="s">
        <v>563</v>
      </c>
      <c r="H545" s="125">
        <v>964409</v>
      </c>
      <c r="I545" s="184" t="s">
        <v>314</v>
      </c>
      <c r="J545" s="184" t="s">
        <v>217</v>
      </c>
      <c r="K545" s="193">
        <v>20</v>
      </c>
      <c r="L545" s="141">
        <v>49.497</v>
      </c>
      <c r="M545" s="124">
        <f t="shared" si="72"/>
        <v>-29.497</v>
      </c>
      <c r="N545" s="113">
        <f t="shared" si="73"/>
        <v>2.47485</v>
      </c>
    </row>
    <row r="546" spans="1:14" hidden="1">
      <c r="A546" s="184" t="s">
        <v>558</v>
      </c>
      <c r="B546" s="184" t="s">
        <v>323</v>
      </c>
      <c r="C546" s="98">
        <v>43964</v>
      </c>
      <c r="D546" s="184">
        <v>1253</v>
      </c>
      <c r="E546" s="184" t="s">
        <v>324</v>
      </c>
      <c r="F546" s="184" t="s">
        <v>325</v>
      </c>
      <c r="G546" s="184" t="s">
        <v>563</v>
      </c>
      <c r="H546" s="184">
        <v>964409</v>
      </c>
      <c r="I546" s="184" t="s">
        <v>314</v>
      </c>
      <c r="J546" s="184" t="s">
        <v>218</v>
      </c>
      <c r="K546" s="193">
        <v>90</v>
      </c>
      <c r="L546" s="141">
        <v>60.503</v>
      </c>
      <c r="M546" s="124">
        <f t="shared" si="72"/>
        <v>29.497</v>
      </c>
      <c r="N546" s="113">
        <f t="shared" si="73"/>
        <v>0.67225555555555561</v>
      </c>
    </row>
    <row r="547" spans="1:14" hidden="1">
      <c r="A547" s="184" t="s">
        <v>558</v>
      </c>
      <c r="B547" s="184" t="s">
        <v>323</v>
      </c>
      <c r="C547" s="98">
        <v>43964</v>
      </c>
      <c r="D547" s="184">
        <v>1253</v>
      </c>
      <c r="E547" s="184" t="s">
        <v>324</v>
      </c>
      <c r="F547" s="184" t="s">
        <v>325</v>
      </c>
      <c r="G547" s="125" t="s">
        <v>398</v>
      </c>
      <c r="H547" s="125">
        <v>963843</v>
      </c>
      <c r="I547" s="184" t="s">
        <v>314</v>
      </c>
      <c r="J547" s="184" t="s">
        <v>217</v>
      </c>
      <c r="K547" s="193">
        <v>10</v>
      </c>
      <c r="L547" s="141"/>
      <c r="M547" s="124">
        <f t="shared" si="72"/>
        <v>10</v>
      </c>
      <c r="N547" s="113">
        <f t="shared" si="73"/>
        <v>0</v>
      </c>
    </row>
    <row r="548" spans="1:14" hidden="1">
      <c r="A548" s="184" t="s">
        <v>558</v>
      </c>
      <c r="B548" s="184" t="s">
        <v>323</v>
      </c>
      <c r="C548" s="98">
        <v>43964</v>
      </c>
      <c r="D548" s="184">
        <v>1253</v>
      </c>
      <c r="E548" s="184" t="s">
        <v>324</v>
      </c>
      <c r="F548" s="184" t="s">
        <v>325</v>
      </c>
      <c r="G548" s="184" t="s">
        <v>398</v>
      </c>
      <c r="H548" s="184">
        <v>963843</v>
      </c>
      <c r="I548" s="184" t="s">
        <v>314</v>
      </c>
      <c r="J548" s="184" t="s">
        <v>218</v>
      </c>
      <c r="K548" s="193">
        <v>90</v>
      </c>
      <c r="L548" s="141"/>
      <c r="M548" s="124">
        <f t="shared" si="72"/>
        <v>90</v>
      </c>
      <c r="N548" s="113">
        <f t="shared" si="73"/>
        <v>0</v>
      </c>
    </row>
    <row r="549" spans="1:14" hidden="1">
      <c r="A549" s="184" t="s">
        <v>558</v>
      </c>
      <c r="B549" s="184" t="s">
        <v>323</v>
      </c>
      <c r="C549" s="98">
        <v>43964</v>
      </c>
      <c r="D549" s="184">
        <v>1253</v>
      </c>
      <c r="E549" s="184" t="s">
        <v>324</v>
      </c>
      <c r="F549" s="184" t="s">
        <v>325</v>
      </c>
      <c r="G549" s="125" t="s">
        <v>408</v>
      </c>
      <c r="H549" s="125">
        <v>965677</v>
      </c>
      <c r="I549" s="184" t="s">
        <v>314</v>
      </c>
      <c r="J549" s="184" t="s">
        <v>217</v>
      </c>
      <c r="K549" s="193">
        <v>20</v>
      </c>
      <c r="L549" s="141"/>
      <c r="M549" s="124">
        <f t="shared" si="72"/>
        <v>20</v>
      </c>
      <c r="N549" s="113">
        <f t="shared" si="73"/>
        <v>0</v>
      </c>
    </row>
    <row r="550" spans="1:14" hidden="1">
      <c r="A550" s="184" t="s">
        <v>558</v>
      </c>
      <c r="B550" s="184" t="s">
        <v>323</v>
      </c>
      <c r="C550" s="98">
        <v>43964</v>
      </c>
      <c r="D550" s="184">
        <v>1253</v>
      </c>
      <c r="E550" s="184" t="s">
        <v>324</v>
      </c>
      <c r="F550" s="184" t="s">
        <v>325</v>
      </c>
      <c r="G550" s="184" t="s">
        <v>408</v>
      </c>
      <c r="H550" s="184">
        <v>965677</v>
      </c>
      <c r="I550" s="184" t="s">
        <v>314</v>
      </c>
      <c r="J550" s="184" t="s">
        <v>218</v>
      </c>
      <c r="K550" s="193">
        <v>90</v>
      </c>
      <c r="L550" s="141"/>
      <c r="M550" s="124">
        <f t="shared" si="72"/>
        <v>90</v>
      </c>
      <c r="N550" s="113">
        <f t="shared" si="73"/>
        <v>0</v>
      </c>
    </row>
    <row r="551" spans="1:14" hidden="1">
      <c r="A551" s="184" t="s">
        <v>558</v>
      </c>
      <c r="B551" s="184" t="s">
        <v>323</v>
      </c>
      <c r="C551" s="98">
        <v>43964</v>
      </c>
      <c r="D551" s="184">
        <v>1253</v>
      </c>
      <c r="E551" s="184" t="s">
        <v>324</v>
      </c>
      <c r="F551" s="184" t="s">
        <v>325</v>
      </c>
      <c r="G551" s="125" t="s">
        <v>360</v>
      </c>
      <c r="H551" s="125">
        <v>913375</v>
      </c>
      <c r="I551" s="184" t="s">
        <v>314</v>
      </c>
      <c r="J551" s="184" t="s">
        <v>217</v>
      </c>
      <c r="K551" s="193">
        <v>10</v>
      </c>
      <c r="L551" s="141"/>
      <c r="M551" s="124">
        <f t="shared" si="72"/>
        <v>10</v>
      </c>
      <c r="N551" s="113">
        <f t="shared" si="73"/>
        <v>0</v>
      </c>
    </row>
    <row r="552" spans="1:14" hidden="1">
      <c r="A552" s="184" t="s">
        <v>558</v>
      </c>
      <c r="B552" s="184" t="s">
        <v>323</v>
      </c>
      <c r="C552" s="98">
        <v>43964</v>
      </c>
      <c r="D552" s="184">
        <v>1253</v>
      </c>
      <c r="E552" s="184" t="s">
        <v>324</v>
      </c>
      <c r="F552" s="184" t="s">
        <v>325</v>
      </c>
      <c r="G552" s="184" t="s">
        <v>360</v>
      </c>
      <c r="H552" s="184">
        <v>913375</v>
      </c>
      <c r="I552" s="184" t="s">
        <v>314</v>
      </c>
      <c r="J552" s="184" t="s">
        <v>218</v>
      </c>
      <c r="K552" s="193">
        <v>90</v>
      </c>
      <c r="L552" s="141"/>
      <c r="M552" s="124">
        <f t="shared" si="72"/>
        <v>90</v>
      </c>
      <c r="N552" s="113">
        <f t="shared" si="73"/>
        <v>0</v>
      </c>
    </row>
    <row r="553" spans="1:14" hidden="1">
      <c r="A553" s="184" t="s">
        <v>558</v>
      </c>
      <c r="B553" s="184" t="s">
        <v>323</v>
      </c>
      <c r="C553" s="98">
        <v>43964</v>
      </c>
      <c r="D553" s="184">
        <v>1253</v>
      </c>
      <c r="E553" s="184" t="s">
        <v>324</v>
      </c>
      <c r="F553" s="184" t="s">
        <v>325</v>
      </c>
      <c r="G553" s="125" t="s">
        <v>396</v>
      </c>
      <c r="H553" s="125">
        <v>964441</v>
      </c>
      <c r="I553" s="184" t="s">
        <v>314</v>
      </c>
      <c r="J553" s="184" t="s">
        <v>217</v>
      </c>
      <c r="K553" s="193">
        <v>10</v>
      </c>
      <c r="L553" s="141">
        <v>10</v>
      </c>
      <c r="M553" s="124">
        <f t="shared" si="72"/>
        <v>0</v>
      </c>
      <c r="N553" s="113">
        <f t="shared" si="73"/>
        <v>1</v>
      </c>
    </row>
    <row r="554" spans="1:14" hidden="1">
      <c r="A554" s="184" t="s">
        <v>558</v>
      </c>
      <c r="B554" s="184" t="s">
        <v>323</v>
      </c>
      <c r="C554" s="98">
        <v>43964</v>
      </c>
      <c r="D554" s="184">
        <v>1253</v>
      </c>
      <c r="E554" s="184" t="s">
        <v>324</v>
      </c>
      <c r="F554" s="184" t="s">
        <v>325</v>
      </c>
      <c r="G554" s="184" t="s">
        <v>396</v>
      </c>
      <c r="H554" s="184">
        <v>964441</v>
      </c>
      <c r="I554" s="184" t="s">
        <v>314</v>
      </c>
      <c r="J554" s="184" t="s">
        <v>218</v>
      </c>
      <c r="K554" s="193">
        <v>90</v>
      </c>
      <c r="L554" s="141">
        <v>68.242999999999995</v>
      </c>
      <c r="M554" s="124">
        <f t="shared" si="72"/>
        <v>21.757000000000005</v>
      </c>
      <c r="N554" s="113">
        <f t="shared" si="73"/>
        <v>0.75825555555555546</v>
      </c>
    </row>
    <row r="555" spans="1:14" hidden="1">
      <c r="A555" s="184" t="s">
        <v>558</v>
      </c>
      <c r="B555" s="184" t="s">
        <v>323</v>
      </c>
      <c r="C555" s="98">
        <v>43964</v>
      </c>
      <c r="D555" s="184">
        <v>1253</v>
      </c>
      <c r="E555" s="184" t="s">
        <v>324</v>
      </c>
      <c r="F555" s="184" t="s">
        <v>325</v>
      </c>
      <c r="G555" s="125" t="s">
        <v>564</v>
      </c>
      <c r="H555" s="125">
        <v>968833</v>
      </c>
      <c r="I555" s="184" t="s">
        <v>314</v>
      </c>
      <c r="J555" s="184" t="s">
        <v>217</v>
      </c>
      <c r="K555" s="193">
        <v>20</v>
      </c>
      <c r="L555" s="141">
        <v>64</v>
      </c>
      <c r="M555" s="124">
        <f t="shared" si="72"/>
        <v>-44</v>
      </c>
      <c r="N555" s="113">
        <f t="shared" si="73"/>
        <v>3.2</v>
      </c>
    </row>
    <row r="556" spans="1:14" hidden="1">
      <c r="A556" s="184" t="s">
        <v>558</v>
      </c>
      <c r="B556" s="184" t="s">
        <v>323</v>
      </c>
      <c r="C556" s="98">
        <v>43964</v>
      </c>
      <c r="D556" s="184">
        <v>1253</v>
      </c>
      <c r="E556" s="184" t="s">
        <v>324</v>
      </c>
      <c r="F556" s="184" t="s">
        <v>325</v>
      </c>
      <c r="G556" s="184" t="s">
        <v>564</v>
      </c>
      <c r="H556" s="184">
        <v>968833</v>
      </c>
      <c r="I556" s="184" t="s">
        <v>314</v>
      </c>
      <c r="J556" s="184" t="s">
        <v>218</v>
      </c>
      <c r="K556" s="193">
        <v>90</v>
      </c>
      <c r="L556" s="141">
        <v>46</v>
      </c>
      <c r="M556" s="124">
        <f t="shared" si="72"/>
        <v>44</v>
      </c>
      <c r="N556" s="113">
        <f t="shared" si="73"/>
        <v>0.51111111111111107</v>
      </c>
    </row>
    <row r="557" spans="1:14" hidden="1">
      <c r="A557" s="125" t="s">
        <v>565</v>
      </c>
      <c r="B557" s="125" t="s">
        <v>309</v>
      </c>
      <c r="C557" s="98">
        <v>43992</v>
      </c>
      <c r="D557" s="125">
        <v>87</v>
      </c>
      <c r="E557" s="125" t="s">
        <v>310</v>
      </c>
      <c r="F557" s="125" t="s">
        <v>311</v>
      </c>
      <c r="G557" s="125" t="s">
        <v>312</v>
      </c>
      <c r="H557" s="125">
        <v>968165</v>
      </c>
      <c r="I557" s="185" t="s">
        <v>314</v>
      </c>
      <c r="J557" s="185" t="s">
        <v>217</v>
      </c>
      <c r="K557" s="257">
        <v>20</v>
      </c>
      <c r="L557" s="125"/>
      <c r="M557" s="259">
        <f t="shared" ref="M557" si="74">K557-(L557+L558)</f>
        <v>20</v>
      </c>
      <c r="N557" s="261">
        <f t="shared" ref="N557" si="75">(L557+L558)/K557</f>
        <v>0</v>
      </c>
    </row>
    <row r="558" spans="1:14" hidden="1">
      <c r="A558" s="185" t="s">
        <v>565</v>
      </c>
      <c r="B558" s="185" t="s">
        <v>309</v>
      </c>
      <c r="C558" s="98">
        <v>43992</v>
      </c>
      <c r="D558" s="185">
        <v>87</v>
      </c>
      <c r="E558" s="185" t="s">
        <v>310</v>
      </c>
      <c r="F558" s="185" t="s">
        <v>311</v>
      </c>
      <c r="G558" s="125" t="s">
        <v>313</v>
      </c>
      <c r="H558" s="125">
        <v>968160</v>
      </c>
      <c r="I558" s="185" t="s">
        <v>314</v>
      </c>
      <c r="J558" s="185" t="s">
        <v>217</v>
      </c>
      <c r="K558" s="258"/>
      <c r="L558" s="125"/>
      <c r="M558" s="260"/>
      <c r="N558" s="262"/>
    </row>
    <row r="559" spans="1:14" hidden="1">
      <c r="A559" s="185" t="s">
        <v>565</v>
      </c>
      <c r="B559" s="185" t="s">
        <v>309</v>
      </c>
      <c r="C559" s="98">
        <v>43992</v>
      </c>
      <c r="D559" s="185">
        <v>87</v>
      </c>
      <c r="E559" s="185" t="s">
        <v>310</v>
      </c>
      <c r="F559" s="185" t="s">
        <v>311</v>
      </c>
      <c r="G559" s="185" t="s">
        <v>312</v>
      </c>
      <c r="H559" s="185">
        <v>968165</v>
      </c>
      <c r="I559" s="185" t="s">
        <v>314</v>
      </c>
      <c r="J559" s="185" t="s">
        <v>218</v>
      </c>
      <c r="K559" s="257">
        <v>80</v>
      </c>
      <c r="L559" s="125"/>
      <c r="M559" s="259">
        <f t="shared" ref="M559" si="76">K559-(L559+L560)</f>
        <v>80</v>
      </c>
      <c r="N559" s="261">
        <f t="shared" ref="N559" si="77">(L559+L560)/K559</f>
        <v>0</v>
      </c>
    </row>
    <row r="560" spans="1:14" hidden="1">
      <c r="A560" s="185" t="s">
        <v>565</v>
      </c>
      <c r="B560" s="185" t="s">
        <v>309</v>
      </c>
      <c r="C560" s="98">
        <v>43992</v>
      </c>
      <c r="D560" s="185">
        <v>87</v>
      </c>
      <c r="E560" s="185" t="s">
        <v>310</v>
      </c>
      <c r="F560" s="185" t="s">
        <v>311</v>
      </c>
      <c r="G560" s="185" t="s">
        <v>313</v>
      </c>
      <c r="H560" s="185">
        <v>968160</v>
      </c>
      <c r="I560" s="185" t="s">
        <v>314</v>
      </c>
      <c r="J560" s="185" t="s">
        <v>218</v>
      </c>
      <c r="K560" s="258"/>
      <c r="L560" s="125"/>
      <c r="M560" s="260"/>
      <c r="N560" s="262"/>
    </row>
    <row r="561" spans="1:14">
      <c r="A561" s="125" t="s">
        <v>367</v>
      </c>
      <c r="B561" s="186" t="s">
        <v>323</v>
      </c>
      <c r="C561" s="98">
        <v>44007</v>
      </c>
      <c r="D561" s="125">
        <v>1444</v>
      </c>
      <c r="E561" s="125" t="s">
        <v>324</v>
      </c>
      <c r="F561" s="186" t="s">
        <v>325</v>
      </c>
      <c r="G561" s="125" t="s">
        <v>568</v>
      </c>
      <c r="H561" s="118">
        <v>955448</v>
      </c>
      <c r="I561" s="186" t="s">
        <v>314</v>
      </c>
      <c r="J561" s="186" t="s">
        <v>217</v>
      </c>
      <c r="K561" s="193">
        <v>78</v>
      </c>
      <c r="L561" s="125"/>
      <c r="M561" s="124">
        <f t="shared" ref="M561" si="78">K561-L561</f>
        <v>78</v>
      </c>
      <c r="N561" s="113">
        <f t="shared" ref="N561" si="79">L561/K561</f>
        <v>0</v>
      </c>
    </row>
    <row r="562" spans="1:14">
      <c r="A562" s="186" t="s">
        <v>367</v>
      </c>
      <c r="B562" s="186" t="s">
        <v>323</v>
      </c>
      <c r="C562" s="98">
        <v>44007</v>
      </c>
      <c r="D562" s="186">
        <v>1444</v>
      </c>
      <c r="E562" s="186" t="s">
        <v>324</v>
      </c>
      <c r="F562" s="186" t="s">
        <v>325</v>
      </c>
      <c r="G562" s="186" t="s">
        <v>568</v>
      </c>
      <c r="H562" s="187">
        <v>955448</v>
      </c>
      <c r="I562" s="186" t="s">
        <v>314</v>
      </c>
      <c r="J562" s="186" t="s">
        <v>218</v>
      </c>
      <c r="K562" s="193">
        <v>126</v>
      </c>
      <c r="L562" s="125"/>
      <c r="M562" s="124">
        <f t="shared" ref="M562:M632" si="80">K562-L562</f>
        <v>126</v>
      </c>
      <c r="N562" s="113">
        <f t="shared" ref="N562:N632" si="81">L562/K562</f>
        <v>0</v>
      </c>
    </row>
    <row r="563" spans="1:14">
      <c r="A563" s="186" t="s">
        <v>367</v>
      </c>
      <c r="B563" s="186" t="s">
        <v>323</v>
      </c>
      <c r="C563" s="98">
        <v>44007</v>
      </c>
      <c r="D563" s="186">
        <v>1444</v>
      </c>
      <c r="E563" s="186" t="s">
        <v>324</v>
      </c>
      <c r="F563" s="186" t="s">
        <v>325</v>
      </c>
      <c r="G563" s="125" t="s">
        <v>569</v>
      </c>
      <c r="H563" s="125">
        <v>964249</v>
      </c>
      <c r="I563" s="186" t="s">
        <v>314</v>
      </c>
      <c r="J563" s="186" t="s">
        <v>217</v>
      </c>
      <c r="K563" s="193">
        <v>161</v>
      </c>
      <c r="L563" s="125"/>
      <c r="M563" s="124">
        <f t="shared" si="80"/>
        <v>161</v>
      </c>
      <c r="N563" s="113">
        <f t="shared" si="81"/>
        <v>0</v>
      </c>
    </row>
    <row r="564" spans="1:14">
      <c r="A564" s="186" t="s">
        <v>367</v>
      </c>
      <c r="B564" s="186" t="s">
        <v>323</v>
      </c>
      <c r="C564" s="98">
        <v>44007</v>
      </c>
      <c r="D564" s="186">
        <v>1444</v>
      </c>
      <c r="E564" s="186" t="s">
        <v>324</v>
      </c>
      <c r="F564" s="186" t="s">
        <v>325</v>
      </c>
      <c r="G564" s="186" t="s">
        <v>569</v>
      </c>
      <c r="H564" s="186">
        <v>964249</v>
      </c>
      <c r="I564" s="186" t="s">
        <v>314</v>
      </c>
      <c r="J564" s="186" t="s">
        <v>218</v>
      </c>
      <c r="K564" s="193">
        <v>259</v>
      </c>
      <c r="L564" s="125"/>
      <c r="M564" s="124">
        <f t="shared" si="80"/>
        <v>259</v>
      </c>
      <c r="N564" s="113">
        <f t="shared" si="81"/>
        <v>0</v>
      </c>
    </row>
    <row r="565" spans="1:14">
      <c r="A565" s="186" t="s">
        <v>367</v>
      </c>
      <c r="B565" s="186" t="s">
        <v>323</v>
      </c>
      <c r="C565" s="98">
        <v>44007</v>
      </c>
      <c r="D565" s="186">
        <v>1444</v>
      </c>
      <c r="E565" s="186" t="s">
        <v>324</v>
      </c>
      <c r="F565" s="186" t="s">
        <v>325</v>
      </c>
      <c r="G565" s="125" t="s">
        <v>570</v>
      </c>
      <c r="H565" s="125">
        <v>961126</v>
      </c>
      <c r="I565" s="186" t="s">
        <v>314</v>
      </c>
      <c r="J565" s="186" t="s">
        <v>217</v>
      </c>
      <c r="K565" s="193">
        <v>102</v>
      </c>
      <c r="L565" s="125"/>
      <c r="M565" s="124">
        <f t="shared" si="80"/>
        <v>102</v>
      </c>
      <c r="N565" s="113">
        <f t="shared" si="81"/>
        <v>0</v>
      </c>
    </row>
    <row r="566" spans="1:14">
      <c r="A566" s="186" t="s">
        <v>367</v>
      </c>
      <c r="B566" s="186" t="s">
        <v>323</v>
      </c>
      <c r="C566" s="98">
        <v>44007</v>
      </c>
      <c r="D566" s="186">
        <v>1444</v>
      </c>
      <c r="E566" s="186" t="s">
        <v>324</v>
      </c>
      <c r="F566" s="186" t="s">
        <v>325</v>
      </c>
      <c r="G566" s="186" t="s">
        <v>570</v>
      </c>
      <c r="H566" s="186">
        <v>961126</v>
      </c>
      <c r="I566" s="186" t="s">
        <v>314</v>
      </c>
      <c r="J566" s="186" t="s">
        <v>218</v>
      </c>
      <c r="K566" s="193">
        <v>165</v>
      </c>
      <c r="L566" s="125"/>
      <c r="M566" s="124">
        <f t="shared" si="80"/>
        <v>165</v>
      </c>
      <c r="N566" s="113">
        <f t="shared" si="81"/>
        <v>0</v>
      </c>
    </row>
    <row r="567" spans="1:14">
      <c r="A567" s="186" t="s">
        <v>367</v>
      </c>
      <c r="B567" s="186" t="s">
        <v>323</v>
      </c>
      <c r="C567" s="98">
        <v>44007</v>
      </c>
      <c r="D567" s="186">
        <v>1444</v>
      </c>
      <c r="E567" s="186" t="s">
        <v>324</v>
      </c>
      <c r="F567" s="186" t="s">
        <v>325</v>
      </c>
      <c r="G567" s="125" t="s">
        <v>571</v>
      </c>
      <c r="H567" s="118">
        <v>922965</v>
      </c>
      <c r="I567" s="186" t="s">
        <v>314</v>
      </c>
      <c r="J567" s="186" t="s">
        <v>217</v>
      </c>
      <c r="K567" s="193">
        <v>63</v>
      </c>
      <c r="L567" s="125"/>
      <c r="M567" s="124">
        <f t="shared" si="80"/>
        <v>63</v>
      </c>
      <c r="N567" s="113">
        <f t="shared" si="81"/>
        <v>0</v>
      </c>
    </row>
    <row r="568" spans="1:14">
      <c r="A568" s="186" t="s">
        <v>367</v>
      </c>
      <c r="B568" s="186" t="s">
        <v>323</v>
      </c>
      <c r="C568" s="98">
        <v>44007</v>
      </c>
      <c r="D568" s="186">
        <v>1444</v>
      </c>
      <c r="E568" s="186" t="s">
        <v>324</v>
      </c>
      <c r="F568" s="186" t="s">
        <v>325</v>
      </c>
      <c r="G568" s="186" t="s">
        <v>571</v>
      </c>
      <c r="H568" s="187">
        <v>922965</v>
      </c>
      <c r="I568" s="186" t="s">
        <v>314</v>
      </c>
      <c r="J568" s="186" t="s">
        <v>218</v>
      </c>
      <c r="K568" s="193">
        <v>101</v>
      </c>
      <c r="L568" s="125"/>
      <c r="M568" s="124">
        <f t="shared" si="80"/>
        <v>101</v>
      </c>
      <c r="N568" s="113">
        <f t="shared" si="81"/>
        <v>0</v>
      </c>
    </row>
    <row r="569" spans="1:14">
      <c r="A569" s="186" t="s">
        <v>367</v>
      </c>
      <c r="B569" s="186" t="s">
        <v>323</v>
      </c>
      <c r="C569" s="98">
        <v>44007</v>
      </c>
      <c r="D569" s="186">
        <v>1444</v>
      </c>
      <c r="E569" s="186" t="s">
        <v>324</v>
      </c>
      <c r="F569" s="186" t="s">
        <v>325</v>
      </c>
      <c r="G569" s="125" t="s">
        <v>572</v>
      </c>
      <c r="H569" s="125">
        <v>968710</v>
      </c>
      <c r="I569" s="186" t="s">
        <v>314</v>
      </c>
      <c r="J569" s="186" t="s">
        <v>217</v>
      </c>
      <c r="K569" s="193">
        <v>75</v>
      </c>
      <c r="L569" s="125"/>
      <c r="M569" s="124">
        <f t="shared" si="80"/>
        <v>75</v>
      </c>
      <c r="N569" s="113">
        <f t="shared" si="81"/>
        <v>0</v>
      </c>
    </row>
    <row r="570" spans="1:14">
      <c r="A570" s="186" t="s">
        <v>367</v>
      </c>
      <c r="B570" s="186" t="s">
        <v>323</v>
      </c>
      <c r="C570" s="98">
        <v>44007</v>
      </c>
      <c r="D570" s="186">
        <v>1444</v>
      </c>
      <c r="E570" s="186" t="s">
        <v>324</v>
      </c>
      <c r="F570" s="186" t="s">
        <v>325</v>
      </c>
      <c r="G570" s="186" t="s">
        <v>572</v>
      </c>
      <c r="H570" s="186">
        <v>968710</v>
      </c>
      <c r="I570" s="186" t="s">
        <v>314</v>
      </c>
      <c r="J570" s="186" t="s">
        <v>218</v>
      </c>
      <c r="K570" s="193">
        <v>120</v>
      </c>
      <c r="L570" s="125"/>
      <c r="M570" s="124">
        <f t="shared" si="80"/>
        <v>120</v>
      </c>
      <c r="N570" s="113">
        <f t="shared" si="81"/>
        <v>0</v>
      </c>
    </row>
    <row r="571" spans="1:14">
      <c r="A571" s="186" t="s">
        <v>367</v>
      </c>
      <c r="B571" s="186" t="s">
        <v>323</v>
      </c>
      <c r="C571" s="98">
        <v>44007</v>
      </c>
      <c r="D571" s="186">
        <v>1444</v>
      </c>
      <c r="E571" s="186" t="s">
        <v>324</v>
      </c>
      <c r="F571" s="186" t="s">
        <v>325</v>
      </c>
      <c r="G571" s="125" t="s">
        <v>573</v>
      </c>
      <c r="H571" s="118">
        <v>962492</v>
      </c>
      <c r="I571" s="186" t="s">
        <v>314</v>
      </c>
      <c r="J571" s="186" t="s">
        <v>217</v>
      </c>
      <c r="K571" s="193">
        <v>75</v>
      </c>
      <c r="L571" s="125"/>
      <c r="M571" s="124">
        <f t="shared" si="80"/>
        <v>75</v>
      </c>
      <c r="N571" s="113">
        <f t="shared" si="81"/>
        <v>0</v>
      </c>
    </row>
    <row r="572" spans="1:14">
      <c r="A572" s="186" t="s">
        <v>367</v>
      </c>
      <c r="B572" s="186" t="s">
        <v>323</v>
      </c>
      <c r="C572" s="98">
        <v>44007</v>
      </c>
      <c r="D572" s="186">
        <v>1444</v>
      </c>
      <c r="E572" s="186" t="s">
        <v>324</v>
      </c>
      <c r="F572" s="186" t="s">
        <v>325</v>
      </c>
      <c r="G572" s="186" t="s">
        <v>573</v>
      </c>
      <c r="H572" s="187">
        <v>962492</v>
      </c>
      <c r="I572" s="186" t="s">
        <v>314</v>
      </c>
      <c r="J572" s="186" t="s">
        <v>218</v>
      </c>
      <c r="K572" s="193">
        <v>120</v>
      </c>
      <c r="L572" s="125"/>
      <c r="M572" s="124">
        <f t="shared" si="80"/>
        <v>120</v>
      </c>
      <c r="N572" s="113">
        <f t="shared" si="81"/>
        <v>0</v>
      </c>
    </row>
    <row r="573" spans="1:14">
      <c r="A573" s="186" t="s">
        <v>367</v>
      </c>
      <c r="B573" s="186" t="s">
        <v>323</v>
      </c>
      <c r="C573" s="98">
        <v>44007</v>
      </c>
      <c r="D573" s="186">
        <v>1444</v>
      </c>
      <c r="E573" s="186" t="s">
        <v>324</v>
      </c>
      <c r="F573" s="186" t="s">
        <v>325</v>
      </c>
      <c r="G573" s="125" t="s">
        <v>574</v>
      </c>
      <c r="H573" s="125">
        <v>967435</v>
      </c>
      <c r="I573" s="186" t="s">
        <v>314</v>
      </c>
      <c r="J573" s="186" t="s">
        <v>217</v>
      </c>
      <c r="K573" s="193">
        <v>167</v>
      </c>
      <c r="L573" s="125"/>
      <c r="M573" s="124">
        <f t="shared" si="80"/>
        <v>167</v>
      </c>
      <c r="N573" s="113">
        <f t="shared" si="81"/>
        <v>0</v>
      </c>
    </row>
    <row r="574" spans="1:14">
      <c r="A574" s="186" t="s">
        <v>367</v>
      </c>
      <c r="B574" s="186" t="s">
        <v>323</v>
      </c>
      <c r="C574" s="98">
        <v>44007</v>
      </c>
      <c r="D574" s="186">
        <v>1444</v>
      </c>
      <c r="E574" s="186" t="s">
        <v>324</v>
      </c>
      <c r="F574" s="186" t="s">
        <v>325</v>
      </c>
      <c r="G574" s="186" t="s">
        <v>574</v>
      </c>
      <c r="H574" s="186">
        <v>967435</v>
      </c>
      <c r="I574" s="186" t="s">
        <v>314</v>
      </c>
      <c r="J574" s="186" t="s">
        <v>218</v>
      </c>
      <c r="K574" s="193">
        <v>269</v>
      </c>
      <c r="L574" s="141">
        <v>28.748999999999999</v>
      </c>
      <c r="M574" s="124">
        <f t="shared" si="80"/>
        <v>240.251</v>
      </c>
      <c r="N574" s="113">
        <f t="shared" si="81"/>
        <v>0.10687360594795539</v>
      </c>
    </row>
    <row r="575" spans="1:14">
      <c r="A575" s="186" t="s">
        <v>367</v>
      </c>
      <c r="B575" s="186" t="s">
        <v>323</v>
      </c>
      <c r="C575" s="98">
        <v>44007</v>
      </c>
      <c r="D575" s="186">
        <v>1444</v>
      </c>
      <c r="E575" s="186" t="s">
        <v>324</v>
      </c>
      <c r="F575" s="186" t="s">
        <v>325</v>
      </c>
      <c r="G575" s="125" t="s">
        <v>459</v>
      </c>
      <c r="H575" s="125">
        <v>968799</v>
      </c>
      <c r="I575" s="186" t="s">
        <v>314</v>
      </c>
      <c r="J575" s="186" t="s">
        <v>217</v>
      </c>
      <c r="K575" s="193">
        <v>75</v>
      </c>
      <c r="L575" s="125"/>
      <c r="M575" s="124">
        <f t="shared" si="80"/>
        <v>75</v>
      </c>
      <c r="N575" s="113">
        <f t="shared" si="81"/>
        <v>0</v>
      </c>
    </row>
    <row r="576" spans="1:14">
      <c r="A576" s="186" t="s">
        <v>367</v>
      </c>
      <c r="B576" s="186" t="s">
        <v>323</v>
      </c>
      <c r="C576" s="98">
        <v>44007</v>
      </c>
      <c r="D576" s="186">
        <v>1444</v>
      </c>
      <c r="E576" s="186" t="s">
        <v>324</v>
      </c>
      <c r="F576" s="186" t="s">
        <v>325</v>
      </c>
      <c r="G576" s="186" t="s">
        <v>459</v>
      </c>
      <c r="H576" s="186">
        <v>968799</v>
      </c>
      <c r="I576" s="186" t="s">
        <v>314</v>
      </c>
      <c r="J576" s="186" t="s">
        <v>218</v>
      </c>
      <c r="K576" s="193">
        <v>120</v>
      </c>
      <c r="L576" s="125"/>
      <c r="M576" s="124">
        <f t="shared" si="80"/>
        <v>120</v>
      </c>
      <c r="N576" s="113">
        <f t="shared" si="81"/>
        <v>0</v>
      </c>
    </row>
    <row r="577" spans="1:14">
      <c r="A577" s="186" t="s">
        <v>367</v>
      </c>
      <c r="B577" s="186" t="s">
        <v>323</v>
      </c>
      <c r="C577" s="98">
        <v>44007</v>
      </c>
      <c r="D577" s="186">
        <v>1444</v>
      </c>
      <c r="E577" s="186" t="s">
        <v>324</v>
      </c>
      <c r="F577" s="186" t="s">
        <v>325</v>
      </c>
      <c r="G577" s="125" t="s">
        <v>575</v>
      </c>
      <c r="H577" s="125">
        <v>951974</v>
      </c>
      <c r="I577" s="186" t="s">
        <v>314</v>
      </c>
      <c r="J577" s="186" t="s">
        <v>217</v>
      </c>
      <c r="K577" s="193">
        <v>102</v>
      </c>
      <c r="L577" s="125"/>
      <c r="M577" s="124">
        <f t="shared" si="80"/>
        <v>102</v>
      </c>
      <c r="N577" s="113">
        <f t="shared" si="81"/>
        <v>0</v>
      </c>
    </row>
    <row r="578" spans="1:14">
      <c r="A578" s="186" t="s">
        <v>367</v>
      </c>
      <c r="B578" s="186" t="s">
        <v>323</v>
      </c>
      <c r="C578" s="98">
        <v>44007</v>
      </c>
      <c r="D578" s="186">
        <v>1444</v>
      </c>
      <c r="E578" s="186" t="s">
        <v>324</v>
      </c>
      <c r="F578" s="186" t="s">
        <v>325</v>
      </c>
      <c r="G578" s="186" t="s">
        <v>575</v>
      </c>
      <c r="H578" s="186">
        <v>951974</v>
      </c>
      <c r="I578" s="186" t="s">
        <v>314</v>
      </c>
      <c r="J578" s="186" t="s">
        <v>218</v>
      </c>
      <c r="K578" s="193">
        <v>165</v>
      </c>
      <c r="L578" s="125"/>
      <c r="M578" s="124">
        <f t="shared" si="80"/>
        <v>165</v>
      </c>
      <c r="N578" s="113">
        <f t="shared" si="81"/>
        <v>0</v>
      </c>
    </row>
    <row r="579" spans="1:14">
      <c r="A579" s="186" t="s">
        <v>367</v>
      </c>
      <c r="B579" s="186" t="s">
        <v>323</v>
      </c>
      <c r="C579" s="98">
        <v>44007</v>
      </c>
      <c r="D579" s="186">
        <v>1444</v>
      </c>
      <c r="E579" s="186" t="s">
        <v>324</v>
      </c>
      <c r="F579" s="186" t="s">
        <v>325</v>
      </c>
      <c r="G579" s="125" t="s">
        <v>576</v>
      </c>
      <c r="H579" s="125">
        <v>958573</v>
      </c>
      <c r="I579" s="186" t="s">
        <v>314</v>
      </c>
      <c r="J579" s="186" t="s">
        <v>217</v>
      </c>
      <c r="K579" s="193">
        <v>45</v>
      </c>
      <c r="L579" s="125"/>
      <c r="M579" s="124">
        <f t="shared" si="80"/>
        <v>45</v>
      </c>
      <c r="N579" s="113">
        <f t="shared" si="81"/>
        <v>0</v>
      </c>
    </row>
    <row r="580" spans="1:14">
      <c r="A580" s="186" t="s">
        <v>367</v>
      </c>
      <c r="B580" s="186" t="s">
        <v>323</v>
      </c>
      <c r="C580" s="98">
        <v>44007</v>
      </c>
      <c r="D580" s="186">
        <v>1444</v>
      </c>
      <c r="E580" s="186" t="s">
        <v>324</v>
      </c>
      <c r="F580" s="186" t="s">
        <v>325</v>
      </c>
      <c r="G580" s="186" t="s">
        <v>576</v>
      </c>
      <c r="H580" s="186">
        <v>958573</v>
      </c>
      <c r="I580" s="186" t="s">
        <v>314</v>
      </c>
      <c r="J580" s="186" t="s">
        <v>218</v>
      </c>
      <c r="K580" s="193">
        <v>72</v>
      </c>
      <c r="L580" s="141">
        <v>56.383000000000003</v>
      </c>
      <c r="M580" s="124">
        <f t="shared" si="80"/>
        <v>15.616999999999997</v>
      </c>
      <c r="N580" s="113">
        <f t="shared" si="81"/>
        <v>0.78309722222222222</v>
      </c>
    </row>
    <row r="581" spans="1:14">
      <c r="A581" s="186" t="s">
        <v>367</v>
      </c>
      <c r="B581" s="186" t="s">
        <v>323</v>
      </c>
      <c r="C581" s="98">
        <v>44007</v>
      </c>
      <c r="D581" s="186">
        <v>1444</v>
      </c>
      <c r="E581" s="186" t="s">
        <v>324</v>
      </c>
      <c r="F581" s="186" t="s">
        <v>325</v>
      </c>
      <c r="G581" s="125" t="s">
        <v>577</v>
      </c>
      <c r="H581" s="125">
        <v>958078</v>
      </c>
      <c r="I581" s="186" t="s">
        <v>314</v>
      </c>
      <c r="J581" s="186" t="s">
        <v>217</v>
      </c>
      <c r="K581" s="193">
        <v>102</v>
      </c>
      <c r="L581" s="125"/>
      <c r="M581" s="124">
        <f t="shared" si="80"/>
        <v>102</v>
      </c>
      <c r="N581" s="113">
        <f t="shared" si="81"/>
        <v>0</v>
      </c>
    </row>
    <row r="582" spans="1:14">
      <c r="A582" s="186" t="s">
        <v>367</v>
      </c>
      <c r="B582" s="186" t="s">
        <v>323</v>
      </c>
      <c r="C582" s="98">
        <v>44007</v>
      </c>
      <c r="D582" s="186">
        <v>1444</v>
      </c>
      <c r="E582" s="186" t="s">
        <v>324</v>
      </c>
      <c r="F582" s="186" t="s">
        <v>325</v>
      </c>
      <c r="G582" s="186" t="s">
        <v>577</v>
      </c>
      <c r="H582" s="186">
        <v>958078</v>
      </c>
      <c r="I582" s="186" t="s">
        <v>314</v>
      </c>
      <c r="J582" s="186" t="s">
        <v>218</v>
      </c>
      <c r="K582" s="193">
        <v>165</v>
      </c>
      <c r="L582" s="141">
        <v>1.4319999999999999</v>
      </c>
      <c r="M582" s="124">
        <f t="shared" si="80"/>
        <v>163.56800000000001</v>
      </c>
      <c r="N582" s="113">
        <f t="shared" si="81"/>
        <v>8.6787878787878778E-3</v>
      </c>
    </row>
    <row r="583" spans="1:14">
      <c r="A583" s="186" t="s">
        <v>367</v>
      </c>
      <c r="B583" s="186" t="s">
        <v>323</v>
      </c>
      <c r="C583" s="98">
        <v>44007</v>
      </c>
      <c r="D583" s="186">
        <v>1444</v>
      </c>
      <c r="E583" s="186" t="s">
        <v>324</v>
      </c>
      <c r="F583" s="186" t="s">
        <v>325</v>
      </c>
      <c r="G583" s="125" t="s">
        <v>578</v>
      </c>
      <c r="H583" s="125">
        <v>958713</v>
      </c>
      <c r="I583" s="186" t="s">
        <v>314</v>
      </c>
      <c r="J583" s="186" t="s">
        <v>217</v>
      </c>
      <c r="K583" s="193">
        <v>86</v>
      </c>
      <c r="L583" s="125"/>
      <c r="M583" s="124">
        <f t="shared" si="80"/>
        <v>86</v>
      </c>
      <c r="N583" s="113">
        <f t="shared" si="81"/>
        <v>0</v>
      </c>
    </row>
    <row r="584" spans="1:14">
      <c r="A584" s="186" t="s">
        <v>367</v>
      </c>
      <c r="B584" s="186" t="s">
        <v>323</v>
      </c>
      <c r="C584" s="98">
        <v>44007</v>
      </c>
      <c r="D584" s="186">
        <v>1444</v>
      </c>
      <c r="E584" s="186" t="s">
        <v>324</v>
      </c>
      <c r="F584" s="186" t="s">
        <v>325</v>
      </c>
      <c r="G584" s="186" t="s">
        <v>578</v>
      </c>
      <c r="H584" s="186">
        <v>958713</v>
      </c>
      <c r="I584" s="186" t="s">
        <v>314</v>
      </c>
      <c r="J584" s="186" t="s">
        <v>218</v>
      </c>
      <c r="K584" s="193">
        <v>139</v>
      </c>
      <c r="L584" s="125"/>
      <c r="M584" s="124">
        <f t="shared" si="80"/>
        <v>139</v>
      </c>
      <c r="N584" s="113">
        <f t="shared" si="81"/>
        <v>0</v>
      </c>
    </row>
    <row r="585" spans="1:14">
      <c r="A585" s="186" t="s">
        <v>367</v>
      </c>
      <c r="B585" s="186" t="s">
        <v>323</v>
      </c>
      <c r="C585" s="98">
        <v>44007</v>
      </c>
      <c r="D585" s="186">
        <v>1444</v>
      </c>
      <c r="E585" s="186" t="s">
        <v>324</v>
      </c>
      <c r="F585" s="186" t="s">
        <v>325</v>
      </c>
      <c r="G585" s="125" t="s">
        <v>579</v>
      </c>
      <c r="H585" s="125">
        <v>956236</v>
      </c>
      <c r="I585" s="186" t="s">
        <v>314</v>
      </c>
      <c r="J585" s="186" t="s">
        <v>217</v>
      </c>
      <c r="K585" s="193">
        <v>65</v>
      </c>
      <c r="L585" s="125"/>
      <c r="M585" s="124">
        <f t="shared" si="80"/>
        <v>65</v>
      </c>
      <c r="N585" s="113">
        <f t="shared" si="81"/>
        <v>0</v>
      </c>
    </row>
    <row r="586" spans="1:14">
      <c r="A586" s="186" t="s">
        <v>367</v>
      </c>
      <c r="B586" s="186" t="s">
        <v>323</v>
      </c>
      <c r="C586" s="98">
        <v>44007</v>
      </c>
      <c r="D586" s="186">
        <v>1444</v>
      </c>
      <c r="E586" s="186" t="s">
        <v>324</v>
      </c>
      <c r="F586" s="186" t="s">
        <v>325</v>
      </c>
      <c r="G586" s="186" t="s">
        <v>579</v>
      </c>
      <c r="H586" s="186">
        <v>956236</v>
      </c>
      <c r="I586" s="186" t="s">
        <v>314</v>
      </c>
      <c r="J586" s="186" t="s">
        <v>218</v>
      </c>
      <c r="K586" s="193">
        <v>106</v>
      </c>
      <c r="L586" s="125"/>
      <c r="M586" s="124">
        <f t="shared" si="80"/>
        <v>106</v>
      </c>
      <c r="N586" s="113">
        <f t="shared" si="81"/>
        <v>0</v>
      </c>
    </row>
    <row r="587" spans="1:14">
      <c r="A587" s="186" t="s">
        <v>367</v>
      </c>
      <c r="B587" s="186" t="s">
        <v>323</v>
      </c>
      <c r="C587" s="98">
        <v>44007</v>
      </c>
      <c r="D587" s="186">
        <v>1444</v>
      </c>
      <c r="E587" s="186" t="s">
        <v>324</v>
      </c>
      <c r="F587" s="186" t="s">
        <v>325</v>
      </c>
      <c r="G587" s="125" t="s">
        <v>580</v>
      </c>
      <c r="H587" s="125">
        <v>923000</v>
      </c>
      <c r="I587" s="186" t="s">
        <v>314</v>
      </c>
      <c r="J587" s="186" t="s">
        <v>217</v>
      </c>
      <c r="K587" s="193">
        <v>67</v>
      </c>
      <c r="L587" s="125"/>
      <c r="M587" s="124">
        <f t="shared" si="80"/>
        <v>67</v>
      </c>
      <c r="N587" s="113">
        <f t="shared" si="81"/>
        <v>0</v>
      </c>
    </row>
    <row r="588" spans="1:14">
      <c r="A588" s="186" t="s">
        <v>367</v>
      </c>
      <c r="B588" s="186" t="s">
        <v>323</v>
      </c>
      <c r="C588" s="98">
        <v>44007</v>
      </c>
      <c r="D588" s="186">
        <v>1444</v>
      </c>
      <c r="E588" s="186" t="s">
        <v>324</v>
      </c>
      <c r="F588" s="186" t="s">
        <v>325</v>
      </c>
      <c r="G588" s="186" t="s">
        <v>580</v>
      </c>
      <c r="H588" s="186">
        <v>923000</v>
      </c>
      <c r="I588" s="186" t="s">
        <v>314</v>
      </c>
      <c r="J588" s="186" t="s">
        <v>218</v>
      </c>
      <c r="K588" s="193">
        <v>108</v>
      </c>
      <c r="L588" s="125"/>
      <c r="M588" s="124">
        <f t="shared" si="80"/>
        <v>108</v>
      </c>
      <c r="N588" s="113">
        <f t="shared" si="81"/>
        <v>0</v>
      </c>
    </row>
    <row r="589" spans="1:14">
      <c r="A589" s="186" t="s">
        <v>367</v>
      </c>
      <c r="B589" s="186" t="s">
        <v>323</v>
      </c>
      <c r="C589" s="98">
        <v>44007</v>
      </c>
      <c r="D589" s="186">
        <v>1444</v>
      </c>
      <c r="E589" s="186" t="s">
        <v>324</v>
      </c>
      <c r="F589" s="186" t="s">
        <v>325</v>
      </c>
      <c r="G589" s="125" t="s">
        <v>434</v>
      </c>
      <c r="H589" s="125">
        <v>924718</v>
      </c>
      <c r="I589" s="186" t="s">
        <v>314</v>
      </c>
      <c r="J589" s="186" t="s">
        <v>217</v>
      </c>
      <c r="K589" s="193">
        <v>83</v>
      </c>
      <c r="L589" s="125"/>
      <c r="M589" s="124">
        <f t="shared" si="80"/>
        <v>83</v>
      </c>
      <c r="N589" s="113">
        <f t="shared" si="81"/>
        <v>0</v>
      </c>
    </row>
    <row r="590" spans="1:14">
      <c r="A590" s="186" t="s">
        <v>367</v>
      </c>
      <c r="B590" s="186" t="s">
        <v>323</v>
      </c>
      <c r="C590" s="98">
        <v>44007</v>
      </c>
      <c r="D590" s="186">
        <v>1444</v>
      </c>
      <c r="E590" s="186" t="s">
        <v>324</v>
      </c>
      <c r="F590" s="186" t="s">
        <v>325</v>
      </c>
      <c r="G590" s="186" t="s">
        <v>434</v>
      </c>
      <c r="H590" s="186">
        <v>924718</v>
      </c>
      <c r="I590" s="186" t="s">
        <v>314</v>
      </c>
      <c r="J590" s="186" t="s">
        <v>218</v>
      </c>
      <c r="K590" s="193">
        <v>135</v>
      </c>
      <c r="L590" s="125"/>
      <c r="M590" s="124">
        <f t="shared" si="80"/>
        <v>135</v>
      </c>
      <c r="N590" s="113">
        <f t="shared" si="81"/>
        <v>0</v>
      </c>
    </row>
    <row r="591" spans="1:14">
      <c r="A591" s="186" t="s">
        <v>367</v>
      </c>
      <c r="B591" s="186" t="s">
        <v>323</v>
      </c>
      <c r="C591" s="98">
        <v>44007</v>
      </c>
      <c r="D591" s="186">
        <v>1444</v>
      </c>
      <c r="E591" s="186" t="s">
        <v>324</v>
      </c>
      <c r="F591" s="186" t="s">
        <v>325</v>
      </c>
      <c r="G591" s="125" t="s">
        <v>581</v>
      </c>
      <c r="H591" s="118">
        <v>951497</v>
      </c>
      <c r="I591" s="186" t="s">
        <v>314</v>
      </c>
      <c r="J591" s="186" t="s">
        <v>217</v>
      </c>
      <c r="K591" s="193">
        <v>67</v>
      </c>
      <c r="L591" s="125"/>
      <c r="M591" s="124">
        <f t="shared" si="80"/>
        <v>67</v>
      </c>
      <c r="N591" s="113">
        <f t="shared" si="81"/>
        <v>0</v>
      </c>
    </row>
    <row r="592" spans="1:14">
      <c r="A592" s="186" t="s">
        <v>367</v>
      </c>
      <c r="B592" s="186" t="s">
        <v>323</v>
      </c>
      <c r="C592" s="98">
        <v>44007</v>
      </c>
      <c r="D592" s="186">
        <v>1444</v>
      </c>
      <c r="E592" s="186" t="s">
        <v>324</v>
      </c>
      <c r="F592" s="186" t="s">
        <v>325</v>
      </c>
      <c r="G592" s="186" t="s">
        <v>581</v>
      </c>
      <c r="H592" s="187">
        <v>951497</v>
      </c>
      <c r="I592" s="186" t="s">
        <v>314</v>
      </c>
      <c r="J592" s="186" t="s">
        <v>218</v>
      </c>
      <c r="K592" s="193">
        <v>108</v>
      </c>
      <c r="L592" s="125"/>
      <c r="M592" s="124">
        <f t="shared" si="80"/>
        <v>108</v>
      </c>
      <c r="N592" s="113">
        <f t="shared" si="81"/>
        <v>0</v>
      </c>
    </row>
    <row r="593" spans="1:14">
      <c r="A593" s="186" t="s">
        <v>367</v>
      </c>
      <c r="B593" s="186" t="s">
        <v>323</v>
      </c>
      <c r="C593" s="98">
        <v>44007</v>
      </c>
      <c r="D593" s="186">
        <v>1444</v>
      </c>
      <c r="E593" s="186" t="s">
        <v>324</v>
      </c>
      <c r="F593" s="186" t="s">
        <v>325</v>
      </c>
      <c r="G593" s="125" t="s">
        <v>543</v>
      </c>
      <c r="H593" s="118">
        <v>950818</v>
      </c>
      <c r="I593" s="186" t="s">
        <v>314</v>
      </c>
      <c r="J593" s="186" t="s">
        <v>217</v>
      </c>
      <c r="K593" s="193">
        <v>51</v>
      </c>
      <c r="L593" s="125"/>
      <c r="M593" s="124">
        <f t="shared" si="80"/>
        <v>51</v>
      </c>
      <c r="N593" s="113">
        <f t="shared" si="81"/>
        <v>0</v>
      </c>
    </row>
    <row r="594" spans="1:14">
      <c r="A594" s="186" t="s">
        <v>367</v>
      </c>
      <c r="B594" s="186" t="s">
        <v>323</v>
      </c>
      <c r="C594" s="98">
        <v>44007</v>
      </c>
      <c r="D594" s="186">
        <v>1444</v>
      </c>
      <c r="E594" s="186" t="s">
        <v>324</v>
      </c>
      <c r="F594" s="186" t="s">
        <v>325</v>
      </c>
      <c r="G594" s="186" t="s">
        <v>543</v>
      </c>
      <c r="H594" s="187">
        <v>950818</v>
      </c>
      <c r="I594" s="186" t="s">
        <v>314</v>
      </c>
      <c r="J594" s="186" t="s">
        <v>218</v>
      </c>
      <c r="K594" s="193">
        <v>82</v>
      </c>
      <c r="L594" s="141">
        <v>63.005000000000003</v>
      </c>
      <c r="M594" s="124">
        <f t="shared" si="80"/>
        <v>18.994999999999997</v>
      </c>
      <c r="N594" s="113">
        <f t="shared" si="81"/>
        <v>0.76835365853658544</v>
      </c>
    </row>
    <row r="595" spans="1:14">
      <c r="A595" s="186" t="s">
        <v>367</v>
      </c>
      <c r="B595" s="186" t="s">
        <v>323</v>
      </c>
      <c r="C595" s="98">
        <v>44007</v>
      </c>
      <c r="D595" s="186">
        <v>1444</v>
      </c>
      <c r="E595" s="186" t="s">
        <v>324</v>
      </c>
      <c r="F595" s="186" t="s">
        <v>325</v>
      </c>
      <c r="G595" s="125" t="s">
        <v>582</v>
      </c>
      <c r="H595" s="118">
        <v>959954</v>
      </c>
      <c r="I595" s="186" t="s">
        <v>314</v>
      </c>
      <c r="J595" s="186" t="s">
        <v>217</v>
      </c>
      <c r="K595" s="193">
        <v>102</v>
      </c>
      <c r="L595" s="125"/>
      <c r="M595" s="124">
        <f t="shared" si="80"/>
        <v>102</v>
      </c>
      <c r="N595" s="113">
        <f t="shared" si="81"/>
        <v>0</v>
      </c>
    </row>
    <row r="596" spans="1:14">
      <c r="A596" s="186" t="s">
        <v>367</v>
      </c>
      <c r="B596" s="186" t="s">
        <v>323</v>
      </c>
      <c r="C596" s="98">
        <v>44007</v>
      </c>
      <c r="D596" s="186">
        <v>1444</v>
      </c>
      <c r="E596" s="186" t="s">
        <v>324</v>
      </c>
      <c r="F596" s="186" t="s">
        <v>325</v>
      </c>
      <c r="G596" s="186" t="s">
        <v>582</v>
      </c>
      <c r="H596" s="187">
        <v>959954</v>
      </c>
      <c r="I596" s="186" t="s">
        <v>314</v>
      </c>
      <c r="J596" s="186" t="s">
        <v>218</v>
      </c>
      <c r="K596" s="193">
        <v>165</v>
      </c>
      <c r="L596" s="125"/>
      <c r="M596" s="124">
        <f t="shared" si="80"/>
        <v>165</v>
      </c>
      <c r="N596" s="113">
        <f t="shared" si="81"/>
        <v>0</v>
      </c>
    </row>
    <row r="597" spans="1:14">
      <c r="A597" s="186" t="s">
        <v>367</v>
      </c>
      <c r="B597" s="186" t="s">
        <v>323</v>
      </c>
      <c r="C597" s="98">
        <v>44007</v>
      </c>
      <c r="D597" s="186">
        <v>1444</v>
      </c>
      <c r="E597" s="186" t="s">
        <v>324</v>
      </c>
      <c r="F597" s="186" t="s">
        <v>325</v>
      </c>
      <c r="G597" s="125" t="s">
        <v>583</v>
      </c>
      <c r="H597" s="125">
        <v>952452</v>
      </c>
      <c r="I597" s="186" t="s">
        <v>314</v>
      </c>
      <c r="J597" s="186" t="s">
        <v>217</v>
      </c>
      <c r="K597" s="193">
        <v>102</v>
      </c>
      <c r="L597" s="125"/>
      <c r="M597" s="124">
        <f t="shared" si="80"/>
        <v>102</v>
      </c>
      <c r="N597" s="113">
        <f t="shared" si="81"/>
        <v>0</v>
      </c>
    </row>
    <row r="598" spans="1:14">
      <c r="A598" s="186" t="s">
        <v>367</v>
      </c>
      <c r="B598" s="186" t="s">
        <v>323</v>
      </c>
      <c r="C598" s="98">
        <v>44007</v>
      </c>
      <c r="D598" s="186">
        <v>1444</v>
      </c>
      <c r="E598" s="186" t="s">
        <v>324</v>
      </c>
      <c r="F598" s="186" t="s">
        <v>325</v>
      </c>
      <c r="G598" s="186" t="s">
        <v>583</v>
      </c>
      <c r="H598" s="186">
        <v>952452</v>
      </c>
      <c r="I598" s="186" t="s">
        <v>314</v>
      </c>
      <c r="J598" s="186" t="s">
        <v>218</v>
      </c>
      <c r="K598" s="193">
        <v>165</v>
      </c>
      <c r="L598" s="125"/>
      <c r="M598" s="124">
        <f t="shared" si="80"/>
        <v>165</v>
      </c>
      <c r="N598" s="113">
        <f t="shared" si="81"/>
        <v>0</v>
      </c>
    </row>
    <row r="599" spans="1:14">
      <c r="A599" s="186" t="s">
        <v>367</v>
      </c>
      <c r="B599" s="186" t="s">
        <v>323</v>
      </c>
      <c r="C599" s="98">
        <v>44007</v>
      </c>
      <c r="D599" s="186">
        <v>1444</v>
      </c>
      <c r="E599" s="186" t="s">
        <v>324</v>
      </c>
      <c r="F599" s="186" t="s">
        <v>325</v>
      </c>
      <c r="G599" s="125" t="s">
        <v>584</v>
      </c>
      <c r="H599" s="125">
        <v>951916</v>
      </c>
      <c r="I599" s="186" t="s">
        <v>314</v>
      </c>
      <c r="J599" s="186" t="s">
        <v>217</v>
      </c>
      <c r="K599" s="193">
        <v>102</v>
      </c>
      <c r="L599" s="125"/>
      <c r="M599" s="124">
        <f t="shared" si="80"/>
        <v>102</v>
      </c>
      <c r="N599" s="113">
        <f t="shared" si="81"/>
        <v>0</v>
      </c>
    </row>
    <row r="600" spans="1:14">
      <c r="A600" s="186" t="s">
        <v>367</v>
      </c>
      <c r="B600" s="186" t="s">
        <v>323</v>
      </c>
      <c r="C600" s="98">
        <v>44007</v>
      </c>
      <c r="D600" s="186">
        <v>1444</v>
      </c>
      <c r="E600" s="186" t="s">
        <v>324</v>
      </c>
      <c r="F600" s="186" t="s">
        <v>325</v>
      </c>
      <c r="G600" s="186" t="s">
        <v>584</v>
      </c>
      <c r="H600" s="186">
        <v>951916</v>
      </c>
      <c r="I600" s="186" t="s">
        <v>314</v>
      </c>
      <c r="J600" s="186" t="s">
        <v>218</v>
      </c>
      <c r="K600" s="193">
        <v>165</v>
      </c>
      <c r="L600" s="125"/>
      <c r="M600" s="124">
        <f t="shared" si="80"/>
        <v>165</v>
      </c>
      <c r="N600" s="113">
        <f t="shared" si="81"/>
        <v>0</v>
      </c>
    </row>
    <row r="601" spans="1:14">
      <c r="A601" s="186" t="s">
        <v>367</v>
      </c>
      <c r="B601" s="186" t="s">
        <v>323</v>
      </c>
      <c r="C601" s="98">
        <v>44007</v>
      </c>
      <c r="D601" s="186">
        <v>1444</v>
      </c>
      <c r="E601" s="186" t="s">
        <v>324</v>
      </c>
      <c r="F601" s="186" t="s">
        <v>325</v>
      </c>
      <c r="G601" s="125" t="s">
        <v>585</v>
      </c>
      <c r="H601" s="125">
        <v>966129</v>
      </c>
      <c r="I601" s="186" t="s">
        <v>314</v>
      </c>
      <c r="J601" s="186" t="s">
        <v>217</v>
      </c>
      <c r="K601" s="193">
        <v>100</v>
      </c>
      <c r="L601" s="125"/>
      <c r="M601" s="124">
        <f t="shared" si="80"/>
        <v>100</v>
      </c>
      <c r="N601" s="113">
        <f t="shared" si="81"/>
        <v>0</v>
      </c>
    </row>
    <row r="602" spans="1:14">
      <c r="A602" s="186" t="s">
        <v>367</v>
      </c>
      <c r="B602" s="186" t="s">
        <v>323</v>
      </c>
      <c r="C602" s="98">
        <v>44007</v>
      </c>
      <c r="D602" s="186">
        <v>1444</v>
      </c>
      <c r="E602" s="186" t="s">
        <v>324</v>
      </c>
      <c r="F602" s="186" t="s">
        <v>325</v>
      </c>
      <c r="G602" s="186" t="s">
        <v>585</v>
      </c>
      <c r="H602" s="186">
        <v>966129</v>
      </c>
      <c r="I602" s="186" t="s">
        <v>314</v>
      </c>
      <c r="J602" s="186" t="s">
        <v>218</v>
      </c>
      <c r="K602" s="193">
        <v>160</v>
      </c>
      <c r="L602" s="125"/>
      <c r="M602" s="124">
        <f t="shared" si="80"/>
        <v>160</v>
      </c>
      <c r="N602" s="113">
        <f t="shared" si="81"/>
        <v>0</v>
      </c>
    </row>
    <row r="603" spans="1:14">
      <c r="A603" s="186" t="s">
        <v>367</v>
      </c>
      <c r="B603" s="186" t="s">
        <v>323</v>
      </c>
      <c r="C603" s="98">
        <v>44007</v>
      </c>
      <c r="D603" s="186">
        <v>1444</v>
      </c>
      <c r="E603" s="186" t="s">
        <v>324</v>
      </c>
      <c r="F603" s="186" t="s">
        <v>325</v>
      </c>
      <c r="G603" s="125" t="s">
        <v>586</v>
      </c>
      <c r="H603" s="125">
        <v>958085</v>
      </c>
      <c r="I603" s="186" t="s">
        <v>314</v>
      </c>
      <c r="J603" s="186" t="s">
        <v>217</v>
      </c>
      <c r="K603" s="193">
        <v>51</v>
      </c>
      <c r="L603" s="125"/>
      <c r="M603" s="124">
        <f t="shared" si="80"/>
        <v>51</v>
      </c>
      <c r="N603" s="113">
        <f t="shared" si="81"/>
        <v>0</v>
      </c>
    </row>
    <row r="604" spans="1:14">
      <c r="A604" s="186" t="s">
        <v>367</v>
      </c>
      <c r="B604" s="186" t="s">
        <v>323</v>
      </c>
      <c r="C604" s="98">
        <v>44007</v>
      </c>
      <c r="D604" s="186">
        <v>1444</v>
      </c>
      <c r="E604" s="186" t="s">
        <v>324</v>
      </c>
      <c r="F604" s="186" t="s">
        <v>325</v>
      </c>
      <c r="G604" s="186" t="s">
        <v>586</v>
      </c>
      <c r="H604" s="186">
        <v>958085</v>
      </c>
      <c r="I604" s="186" t="s">
        <v>314</v>
      </c>
      <c r="J604" s="186" t="s">
        <v>218</v>
      </c>
      <c r="K604" s="193">
        <v>82</v>
      </c>
      <c r="L604" s="125"/>
      <c r="M604" s="124">
        <f t="shared" si="80"/>
        <v>82</v>
      </c>
      <c r="N604" s="113">
        <f t="shared" si="81"/>
        <v>0</v>
      </c>
    </row>
    <row r="605" spans="1:14">
      <c r="A605" s="186" t="s">
        <v>367</v>
      </c>
      <c r="B605" s="186" t="s">
        <v>323</v>
      </c>
      <c r="C605" s="98">
        <v>44007</v>
      </c>
      <c r="D605" s="186">
        <v>1444</v>
      </c>
      <c r="E605" s="186" t="s">
        <v>324</v>
      </c>
      <c r="F605" s="186" t="s">
        <v>325</v>
      </c>
      <c r="G605" s="125" t="s">
        <v>587</v>
      </c>
      <c r="H605" s="125">
        <v>960959</v>
      </c>
      <c r="I605" s="186" t="s">
        <v>314</v>
      </c>
      <c r="J605" s="186" t="s">
        <v>217</v>
      </c>
      <c r="K605" s="193">
        <v>82</v>
      </c>
      <c r="L605" s="125"/>
      <c r="M605" s="124">
        <f t="shared" si="80"/>
        <v>82</v>
      </c>
      <c r="N605" s="113">
        <f t="shared" si="81"/>
        <v>0</v>
      </c>
    </row>
    <row r="606" spans="1:14">
      <c r="A606" s="186" t="s">
        <v>367</v>
      </c>
      <c r="B606" s="186" t="s">
        <v>323</v>
      </c>
      <c r="C606" s="98">
        <v>44007</v>
      </c>
      <c r="D606" s="186">
        <v>1444</v>
      </c>
      <c r="E606" s="186" t="s">
        <v>324</v>
      </c>
      <c r="F606" s="186" t="s">
        <v>325</v>
      </c>
      <c r="G606" s="186" t="s">
        <v>587</v>
      </c>
      <c r="H606" s="186">
        <v>960959</v>
      </c>
      <c r="I606" s="186" t="s">
        <v>314</v>
      </c>
      <c r="J606" s="186" t="s">
        <v>218</v>
      </c>
      <c r="K606" s="193">
        <v>132</v>
      </c>
      <c r="L606" s="125"/>
      <c r="M606" s="124">
        <f t="shared" si="80"/>
        <v>132</v>
      </c>
      <c r="N606" s="113">
        <f t="shared" si="81"/>
        <v>0</v>
      </c>
    </row>
    <row r="607" spans="1:14">
      <c r="A607" s="186" t="s">
        <v>367</v>
      </c>
      <c r="B607" s="186" t="s">
        <v>323</v>
      </c>
      <c r="C607" s="98">
        <v>44007</v>
      </c>
      <c r="D607" s="186">
        <v>1444</v>
      </c>
      <c r="E607" s="186" t="s">
        <v>324</v>
      </c>
      <c r="F607" s="186" t="s">
        <v>325</v>
      </c>
      <c r="G607" s="125" t="s">
        <v>588</v>
      </c>
      <c r="H607" s="125">
        <v>957939</v>
      </c>
      <c r="I607" s="186" t="s">
        <v>314</v>
      </c>
      <c r="J607" s="186" t="s">
        <v>217</v>
      </c>
      <c r="K607" s="193">
        <v>79</v>
      </c>
      <c r="L607" s="125"/>
      <c r="M607" s="124">
        <f t="shared" si="80"/>
        <v>79</v>
      </c>
      <c r="N607" s="113">
        <f t="shared" si="81"/>
        <v>0</v>
      </c>
    </row>
    <row r="608" spans="1:14">
      <c r="A608" s="186" t="s">
        <v>367</v>
      </c>
      <c r="B608" s="186" t="s">
        <v>323</v>
      </c>
      <c r="C608" s="98">
        <v>44007</v>
      </c>
      <c r="D608" s="186">
        <v>1444</v>
      </c>
      <c r="E608" s="186" t="s">
        <v>324</v>
      </c>
      <c r="F608" s="186" t="s">
        <v>325</v>
      </c>
      <c r="G608" s="186" t="s">
        <v>588</v>
      </c>
      <c r="H608" s="186">
        <v>957939</v>
      </c>
      <c r="I608" s="186" t="s">
        <v>314</v>
      </c>
      <c r="J608" s="186" t="s">
        <v>218</v>
      </c>
      <c r="K608" s="193">
        <v>127</v>
      </c>
      <c r="L608" s="125"/>
      <c r="M608" s="124">
        <f t="shared" si="80"/>
        <v>127</v>
      </c>
      <c r="N608" s="113">
        <f t="shared" si="81"/>
        <v>0</v>
      </c>
    </row>
    <row r="609" spans="1:14">
      <c r="A609" s="186" t="s">
        <v>367</v>
      </c>
      <c r="B609" s="186" t="s">
        <v>323</v>
      </c>
      <c r="C609" s="98">
        <v>44007</v>
      </c>
      <c r="D609" s="186">
        <v>1444</v>
      </c>
      <c r="E609" s="186" t="s">
        <v>324</v>
      </c>
      <c r="F609" s="186" t="s">
        <v>325</v>
      </c>
      <c r="G609" s="125" t="s">
        <v>589</v>
      </c>
      <c r="H609" s="125">
        <v>966577</v>
      </c>
      <c r="I609" s="186" t="s">
        <v>314</v>
      </c>
      <c r="J609" s="186" t="s">
        <v>217</v>
      </c>
      <c r="K609" s="193">
        <v>78</v>
      </c>
      <c r="L609" s="125"/>
      <c r="M609" s="124">
        <f t="shared" si="80"/>
        <v>78</v>
      </c>
      <c r="N609" s="113">
        <f t="shared" si="81"/>
        <v>0</v>
      </c>
    </row>
    <row r="610" spans="1:14">
      <c r="A610" s="186" t="s">
        <v>367</v>
      </c>
      <c r="B610" s="186" t="s">
        <v>323</v>
      </c>
      <c r="C610" s="98">
        <v>44007</v>
      </c>
      <c r="D610" s="186">
        <v>1444</v>
      </c>
      <c r="E610" s="186" t="s">
        <v>324</v>
      </c>
      <c r="F610" s="186" t="s">
        <v>325</v>
      </c>
      <c r="G610" s="186" t="s">
        <v>589</v>
      </c>
      <c r="H610" s="186">
        <v>966577</v>
      </c>
      <c r="I610" s="186" t="s">
        <v>314</v>
      </c>
      <c r="J610" s="186" t="s">
        <v>218</v>
      </c>
      <c r="K610" s="193">
        <v>126</v>
      </c>
      <c r="L610" s="125"/>
      <c r="M610" s="124">
        <f t="shared" si="80"/>
        <v>126</v>
      </c>
      <c r="N610" s="113">
        <f t="shared" si="81"/>
        <v>0</v>
      </c>
    </row>
    <row r="611" spans="1:14">
      <c r="A611" s="186" t="s">
        <v>367</v>
      </c>
      <c r="B611" s="186" t="s">
        <v>323</v>
      </c>
      <c r="C611" s="98">
        <v>44007</v>
      </c>
      <c r="D611" s="186">
        <v>1444</v>
      </c>
      <c r="E611" s="186" t="s">
        <v>324</v>
      </c>
      <c r="F611" s="186" t="s">
        <v>325</v>
      </c>
      <c r="G611" s="125" t="s">
        <v>590</v>
      </c>
      <c r="H611" s="125">
        <v>952296</v>
      </c>
      <c r="I611" s="186" t="s">
        <v>314</v>
      </c>
      <c r="J611" s="186" t="s">
        <v>217</v>
      </c>
      <c r="K611" s="193">
        <v>167</v>
      </c>
      <c r="L611" s="125"/>
      <c r="M611" s="124">
        <f t="shared" si="80"/>
        <v>167</v>
      </c>
      <c r="N611" s="113">
        <f t="shared" si="81"/>
        <v>0</v>
      </c>
    </row>
    <row r="612" spans="1:14">
      <c r="A612" s="186" t="s">
        <v>367</v>
      </c>
      <c r="B612" s="186" t="s">
        <v>323</v>
      </c>
      <c r="C612" s="98">
        <v>44007</v>
      </c>
      <c r="D612" s="186">
        <v>1444</v>
      </c>
      <c r="E612" s="186" t="s">
        <v>324</v>
      </c>
      <c r="F612" s="186" t="s">
        <v>325</v>
      </c>
      <c r="G612" s="186" t="s">
        <v>590</v>
      </c>
      <c r="H612" s="186">
        <v>952296</v>
      </c>
      <c r="I612" s="186" t="s">
        <v>314</v>
      </c>
      <c r="J612" s="186" t="s">
        <v>218</v>
      </c>
      <c r="K612" s="193">
        <v>269</v>
      </c>
      <c r="L612" s="125"/>
      <c r="M612" s="124">
        <f t="shared" si="80"/>
        <v>269</v>
      </c>
      <c r="N612" s="113">
        <f t="shared" si="81"/>
        <v>0</v>
      </c>
    </row>
    <row r="613" spans="1:14">
      <c r="A613" s="186" t="s">
        <v>367</v>
      </c>
      <c r="B613" s="186" t="s">
        <v>323</v>
      </c>
      <c r="C613" s="98">
        <v>44007</v>
      </c>
      <c r="D613" s="186">
        <v>1444</v>
      </c>
      <c r="E613" s="186" t="s">
        <v>324</v>
      </c>
      <c r="F613" s="186" t="s">
        <v>325</v>
      </c>
      <c r="G613" s="125" t="s">
        <v>591</v>
      </c>
      <c r="H613" s="125">
        <v>30822</v>
      </c>
      <c r="I613" s="186" t="s">
        <v>314</v>
      </c>
      <c r="J613" s="186" t="s">
        <v>217</v>
      </c>
      <c r="K613" s="193">
        <v>102</v>
      </c>
      <c r="L613" s="125"/>
      <c r="M613" s="124">
        <f t="shared" si="80"/>
        <v>102</v>
      </c>
      <c r="N613" s="113">
        <f t="shared" si="81"/>
        <v>0</v>
      </c>
    </row>
    <row r="614" spans="1:14">
      <c r="A614" s="186" t="s">
        <v>367</v>
      </c>
      <c r="B614" s="186" t="s">
        <v>323</v>
      </c>
      <c r="C614" s="98">
        <v>44007</v>
      </c>
      <c r="D614" s="186">
        <v>1444</v>
      </c>
      <c r="E614" s="186" t="s">
        <v>324</v>
      </c>
      <c r="F614" s="186" t="s">
        <v>325</v>
      </c>
      <c r="G614" s="186" t="s">
        <v>591</v>
      </c>
      <c r="H614" s="186">
        <v>30822</v>
      </c>
      <c r="I614" s="186" t="s">
        <v>314</v>
      </c>
      <c r="J614" s="186" t="s">
        <v>218</v>
      </c>
      <c r="K614" s="193">
        <v>165</v>
      </c>
      <c r="L614" s="141">
        <v>65.653000000000006</v>
      </c>
      <c r="M614" s="124">
        <f t="shared" si="80"/>
        <v>99.346999999999994</v>
      </c>
      <c r="N614" s="113">
        <f t="shared" si="81"/>
        <v>0.39789696969696975</v>
      </c>
    </row>
    <row r="615" spans="1:14">
      <c r="A615" s="186" t="s">
        <v>367</v>
      </c>
      <c r="B615" s="186" t="s">
        <v>323</v>
      </c>
      <c r="C615" s="98">
        <v>44007</v>
      </c>
      <c r="D615" s="186">
        <v>1444</v>
      </c>
      <c r="E615" s="186" t="s">
        <v>324</v>
      </c>
      <c r="F615" s="186" t="s">
        <v>325</v>
      </c>
      <c r="G615" s="125" t="s">
        <v>592</v>
      </c>
      <c r="H615" s="125">
        <v>959986</v>
      </c>
      <c r="I615" s="186" t="s">
        <v>314</v>
      </c>
      <c r="J615" s="186" t="s">
        <v>217</v>
      </c>
      <c r="K615" s="193">
        <v>80</v>
      </c>
      <c r="L615" s="125"/>
      <c r="M615" s="124">
        <f t="shared" si="80"/>
        <v>80</v>
      </c>
      <c r="N615" s="113">
        <f t="shared" si="81"/>
        <v>0</v>
      </c>
    </row>
    <row r="616" spans="1:14">
      <c r="A616" s="186" t="s">
        <v>367</v>
      </c>
      <c r="B616" s="186" t="s">
        <v>323</v>
      </c>
      <c r="C616" s="98">
        <v>44007</v>
      </c>
      <c r="D616" s="186">
        <v>1444</v>
      </c>
      <c r="E616" s="186" t="s">
        <v>324</v>
      </c>
      <c r="F616" s="186" t="s">
        <v>325</v>
      </c>
      <c r="G616" s="186" t="s">
        <v>592</v>
      </c>
      <c r="H616" s="186">
        <v>959986</v>
      </c>
      <c r="I616" s="186" t="s">
        <v>314</v>
      </c>
      <c r="J616" s="186" t="s">
        <v>218</v>
      </c>
      <c r="K616" s="193">
        <v>128</v>
      </c>
      <c r="L616" s="125"/>
      <c r="M616" s="124">
        <f t="shared" si="80"/>
        <v>128</v>
      </c>
      <c r="N616" s="113">
        <f t="shared" si="81"/>
        <v>0</v>
      </c>
    </row>
    <row r="617" spans="1:14">
      <c r="A617" s="186" t="s">
        <v>367</v>
      </c>
      <c r="B617" s="186" t="s">
        <v>323</v>
      </c>
      <c r="C617" s="98">
        <v>44007</v>
      </c>
      <c r="D617" s="186">
        <v>1444</v>
      </c>
      <c r="E617" s="186" t="s">
        <v>324</v>
      </c>
      <c r="F617" s="186" t="s">
        <v>325</v>
      </c>
      <c r="G617" s="125" t="s">
        <v>593</v>
      </c>
      <c r="H617" s="125">
        <v>959366</v>
      </c>
      <c r="I617" s="186" t="s">
        <v>314</v>
      </c>
      <c r="J617" s="186" t="s">
        <v>217</v>
      </c>
      <c r="K617" s="193">
        <v>83</v>
      </c>
      <c r="L617" s="125"/>
      <c r="M617" s="124">
        <f t="shared" si="80"/>
        <v>83</v>
      </c>
      <c r="N617" s="113">
        <f t="shared" si="81"/>
        <v>0</v>
      </c>
    </row>
    <row r="618" spans="1:14">
      <c r="A618" s="186" t="s">
        <v>367</v>
      </c>
      <c r="B618" s="186" t="s">
        <v>323</v>
      </c>
      <c r="C618" s="98">
        <v>44007</v>
      </c>
      <c r="D618" s="186">
        <v>1444</v>
      </c>
      <c r="E618" s="186" t="s">
        <v>324</v>
      </c>
      <c r="F618" s="186" t="s">
        <v>325</v>
      </c>
      <c r="G618" s="186" t="s">
        <v>593</v>
      </c>
      <c r="H618" s="186">
        <v>959366</v>
      </c>
      <c r="I618" s="186" t="s">
        <v>314</v>
      </c>
      <c r="J618" s="186" t="s">
        <v>218</v>
      </c>
      <c r="K618" s="193">
        <v>133</v>
      </c>
      <c r="L618" s="125"/>
      <c r="M618" s="124">
        <f t="shared" si="80"/>
        <v>133</v>
      </c>
      <c r="N618" s="113">
        <f t="shared" si="81"/>
        <v>0</v>
      </c>
    </row>
    <row r="619" spans="1:14">
      <c r="A619" s="186" t="s">
        <v>367</v>
      </c>
      <c r="B619" s="186" t="s">
        <v>323</v>
      </c>
      <c r="C619" s="98">
        <v>44007</v>
      </c>
      <c r="D619" s="186">
        <v>1444</v>
      </c>
      <c r="E619" s="186" t="s">
        <v>324</v>
      </c>
      <c r="F619" s="186" t="s">
        <v>325</v>
      </c>
      <c r="G619" s="125" t="s">
        <v>432</v>
      </c>
      <c r="H619" s="125">
        <v>959987</v>
      </c>
      <c r="I619" s="186" t="s">
        <v>314</v>
      </c>
      <c r="J619" s="186" t="s">
        <v>217</v>
      </c>
      <c r="K619" s="193">
        <v>85</v>
      </c>
      <c r="L619" s="125"/>
      <c r="M619" s="124">
        <f t="shared" si="80"/>
        <v>85</v>
      </c>
      <c r="N619" s="113">
        <f t="shared" si="81"/>
        <v>0</v>
      </c>
    </row>
    <row r="620" spans="1:14">
      <c r="A620" s="186" t="s">
        <v>367</v>
      </c>
      <c r="B620" s="186" t="s">
        <v>323</v>
      </c>
      <c r="C620" s="98">
        <v>44007</v>
      </c>
      <c r="D620" s="186">
        <v>1444</v>
      </c>
      <c r="E620" s="186" t="s">
        <v>324</v>
      </c>
      <c r="F620" s="186" t="s">
        <v>325</v>
      </c>
      <c r="G620" s="186" t="s">
        <v>432</v>
      </c>
      <c r="H620" s="186">
        <v>959987</v>
      </c>
      <c r="I620" s="186" t="s">
        <v>314</v>
      </c>
      <c r="J620" s="186" t="s">
        <v>218</v>
      </c>
      <c r="K620" s="193">
        <v>135</v>
      </c>
      <c r="L620" s="125"/>
      <c r="M620" s="124">
        <f t="shared" si="80"/>
        <v>135</v>
      </c>
      <c r="N620" s="113">
        <f t="shared" si="81"/>
        <v>0</v>
      </c>
    </row>
    <row r="621" spans="1:14">
      <c r="A621" s="186" t="s">
        <v>367</v>
      </c>
      <c r="B621" s="186" t="s">
        <v>323</v>
      </c>
      <c r="C621" s="98">
        <v>44007</v>
      </c>
      <c r="D621" s="186">
        <v>1444</v>
      </c>
      <c r="E621" s="186" t="s">
        <v>324</v>
      </c>
      <c r="F621" s="186" t="s">
        <v>325</v>
      </c>
      <c r="G621" s="125" t="s">
        <v>433</v>
      </c>
      <c r="H621" s="125">
        <v>967393</v>
      </c>
      <c r="I621" s="186" t="s">
        <v>314</v>
      </c>
      <c r="J621" s="186" t="s">
        <v>217</v>
      </c>
      <c r="K621" s="193">
        <v>83</v>
      </c>
      <c r="L621" s="125"/>
      <c r="M621" s="124">
        <f t="shared" si="80"/>
        <v>83</v>
      </c>
      <c r="N621" s="113">
        <f t="shared" si="81"/>
        <v>0</v>
      </c>
    </row>
    <row r="622" spans="1:14">
      <c r="A622" s="186" t="s">
        <v>367</v>
      </c>
      <c r="B622" s="186" t="s">
        <v>323</v>
      </c>
      <c r="C622" s="98">
        <v>44007</v>
      </c>
      <c r="D622" s="186">
        <v>1444</v>
      </c>
      <c r="E622" s="186" t="s">
        <v>324</v>
      </c>
      <c r="F622" s="186" t="s">
        <v>325</v>
      </c>
      <c r="G622" s="186" t="s">
        <v>433</v>
      </c>
      <c r="H622" s="186">
        <v>967393</v>
      </c>
      <c r="I622" s="186" t="s">
        <v>314</v>
      </c>
      <c r="J622" s="186" t="s">
        <v>218</v>
      </c>
      <c r="K622" s="193">
        <v>135</v>
      </c>
      <c r="L622" s="125"/>
      <c r="M622" s="124">
        <f t="shared" si="80"/>
        <v>135</v>
      </c>
      <c r="N622" s="113">
        <f t="shared" si="81"/>
        <v>0</v>
      </c>
    </row>
    <row r="623" spans="1:14">
      <c r="A623" s="186" t="s">
        <v>367</v>
      </c>
      <c r="B623" s="186" t="s">
        <v>323</v>
      </c>
      <c r="C623" s="98">
        <v>44007</v>
      </c>
      <c r="D623" s="186">
        <v>1444</v>
      </c>
      <c r="E623" s="186" t="s">
        <v>324</v>
      </c>
      <c r="F623" s="186" t="s">
        <v>325</v>
      </c>
      <c r="G623" s="125" t="s">
        <v>594</v>
      </c>
      <c r="H623" s="125">
        <v>968727</v>
      </c>
      <c r="I623" s="186" t="s">
        <v>314</v>
      </c>
      <c r="J623" s="186" t="s">
        <v>217</v>
      </c>
      <c r="K623" s="193">
        <v>90</v>
      </c>
      <c r="L623" s="125"/>
      <c r="M623" s="124">
        <f t="shared" si="80"/>
        <v>90</v>
      </c>
      <c r="N623" s="113">
        <f t="shared" si="81"/>
        <v>0</v>
      </c>
    </row>
    <row r="624" spans="1:14">
      <c r="A624" s="186" t="s">
        <v>367</v>
      </c>
      <c r="B624" s="186" t="s">
        <v>323</v>
      </c>
      <c r="C624" s="98">
        <v>44007</v>
      </c>
      <c r="D624" s="186">
        <v>1444</v>
      </c>
      <c r="E624" s="186" t="s">
        <v>324</v>
      </c>
      <c r="F624" s="186" t="s">
        <v>325</v>
      </c>
      <c r="G624" s="186" t="s">
        <v>594</v>
      </c>
      <c r="H624" s="186">
        <v>968727</v>
      </c>
      <c r="I624" s="186" t="s">
        <v>314</v>
      </c>
      <c r="J624" s="186" t="s">
        <v>218</v>
      </c>
      <c r="K624" s="193">
        <v>146</v>
      </c>
      <c r="L624" s="125"/>
      <c r="M624" s="124">
        <f t="shared" si="80"/>
        <v>146</v>
      </c>
      <c r="N624" s="113">
        <f t="shared" si="81"/>
        <v>0</v>
      </c>
    </row>
    <row r="625" spans="1:14" hidden="1">
      <c r="A625" s="125" t="s">
        <v>441</v>
      </c>
      <c r="B625" s="189" t="s">
        <v>323</v>
      </c>
      <c r="C625" s="98">
        <v>44007</v>
      </c>
      <c r="D625" s="125">
        <v>1465</v>
      </c>
      <c r="E625" s="189" t="s">
        <v>324</v>
      </c>
      <c r="F625" s="189" t="s">
        <v>325</v>
      </c>
      <c r="G625" s="125" t="s">
        <v>443</v>
      </c>
      <c r="H625" s="125">
        <v>963875</v>
      </c>
      <c r="I625" s="189" t="s">
        <v>314</v>
      </c>
      <c r="J625" s="189" t="s">
        <v>217</v>
      </c>
      <c r="K625" s="193">
        <v>61</v>
      </c>
      <c r="L625" s="125"/>
      <c r="M625" s="124">
        <f t="shared" si="80"/>
        <v>61</v>
      </c>
      <c r="N625" s="113">
        <f t="shared" si="81"/>
        <v>0</v>
      </c>
    </row>
    <row r="626" spans="1:14" hidden="1">
      <c r="A626" s="189" t="s">
        <v>441</v>
      </c>
      <c r="B626" s="189" t="s">
        <v>323</v>
      </c>
      <c r="C626" s="98">
        <v>44007</v>
      </c>
      <c r="D626" s="189">
        <v>1465</v>
      </c>
      <c r="E626" s="189" t="s">
        <v>324</v>
      </c>
      <c r="F626" s="189" t="s">
        <v>325</v>
      </c>
      <c r="G626" s="189" t="s">
        <v>443</v>
      </c>
      <c r="H626" s="189">
        <v>963875</v>
      </c>
      <c r="I626" s="189" t="s">
        <v>314</v>
      </c>
      <c r="J626" s="189" t="s">
        <v>218</v>
      </c>
      <c r="K626" s="193">
        <v>39</v>
      </c>
      <c r="L626" s="125"/>
      <c r="M626" s="124">
        <f t="shared" si="80"/>
        <v>39</v>
      </c>
      <c r="N626" s="113">
        <f t="shared" si="81"/>
        <v>0</v>
      </c>
    </row>
    <row r="627" spans="1:14" hidden="1">
      <c r="A627" s="189" t="s">
        <v>441</v>
      </c>
      <c r="B627" s="189" t="s">
        <v>323</v>
      </c>
      <c r="C627" s="98">
        <v>44007</v>
      </c>
      <c r="D627" s="189">
        <v>1465</v>
      </c>
      <c r="E627" s="189" t="s">
        <v>324</v>
      </c>
      <c r="F627" s="189" t="s">
        <v>325</v>
      </c>
      <c r="G627" s="125" t="s">
        <v>438</v>
      </c>
      <c r="H627" s="125">
        <v>968436</v>
      </c>
      <c r="I627" s="189" t="s">
        <v>314</v>
      </c>
      <c r="J627" s="189" t="s">
        <v>217</v>
      </c>
      <c r="K627" s="193">
        <v>232</v>
      </c>
      <c r="L627" s="125"/>
      <c r="M627" s="124">
        <f t="shared" si="80"/>
        <v>232</v>
      </c>
      <c r="N627" s="113">
        <f t="shared" si="81"/>
        <v>0</v>
      </c>
    </row>
    <row r="628" spans="1:14" hidden="1">
      <c r="A628" s="189" t="s">
        <v>441</v>
      </c>
      <c r="B628" s="189" t="s">
        <v>323</v>
      </c>
      <c r="C628" s="98">
        <v>44007</v>
      </c>
      <c r="D628" s="189">
        <v>1465</v>
      </c>
      <c r="E628" s="189" t="s">
        <v>324</v>
      </c>
      <c r="F628" s="189" t="s">
        <v>325</v>
      </c>
      <c r="G628" s="189" t="s">
        <v>438</v>
      </c>
      <c r="H628" s="189">
        <v>968436</v>
      </c>
      <c r="I628" s="189" t="s">
        <v>314</v>
      </c>
      <c r="J628" s="189" t="s">
        <v>218</v>
      </c>
      <c r="K628" s="193">
        <v>168</v>
      </c>
      <c r="L628" s="125"/>
      <c r="M628" s="124">
        <f t="shared" si="80"/>
        <v>168</v>
      </c>
      <c r="N628" s="113">
        <f t="shared" si="81"/>
        <v>0</v>
      </c>
    </row>
    <row r="629" spans="1:14" hidden="1">
      <c r="A629" s="189" t="s">
        <v>441</v>
      </c>
      <c r="B629" s="189" t="s">
        <v>323</v>
      </c>
      <c r="C629" s="98">
        <v>44007</v>
      </c>
      <c r="D629" s="189">
        <v>1465</v>
      </c>
      <c r="E629" s="189" t="s">
        <v>324</v>
      </c>
      <c r="F629" s="189" t="s">
        <v>325</v>
      </c>
      <c r="G629" s="125" t="s">
        <v>457</v>
      </c>
      <c r="H629" s="125">
        <v>966410</v>
      </c>
      <c r="I629" s="189" t="s">
        <v>314</v>
      </c>
      <c r="J629" s="189" t="s">
        <v>217</v>
      </c>
      <c r="K629" s="193">
        <v>123</v>
      </c>
      <c r="L629" s="125"/>
      <c r="M629" s="124">
        <f t="shared" si="80"/>
        <v>123</v>
      </c>
      <c r="N629" s="113">
        <f t="shared" si="81"/>
        <v>0</v>
      </c>
    </row>
    <row r="630" spans="1:14" hidden="1">
      <c r="A630" s="189" t="s">
        <v>441</v>
      </c>
      <c r="B630" s="189" t="s">
        <v>323</v>
      </c>
      <c r="C630" s="98">
        <v>44007</v>
      </c>
      <c r="D630" s="189">
        <v>1465</v>
      </c>
      <c r="E630" s="189" t="s">
        <v>324</v>
      </c>
      <c r="F630" s="189" t="s">
        <v>325</v>
      </c>
      <c r="G630" s="189" t="s">
        <v>457</v>
      </c>
      <c r="H630" s="189">
        <v>966410</v>
      </c>
      <c r="I630" s="189" t="s">
        <v>314</v>
      </c>
      <c r="J630" s="189" t="s">
        <v>218</v>
      </c>
      <c r="K630" s="193">
        <v>77</v>
      </c>
      <c r="L630" s="125"/>
      <c r="M630" s="124">
        <f t="shared" si="80"/>
        <v>77</v>
      </c>
      <c r="N630" s="113">
        <f t="shared" si="81"/>
        <v>0</v>
      </c>
    </row>
    <row r="631" spans="1:14" hidden="1">
      <c r="A631" s="189" t="s">
        <v>441</v>
      </c>
      <c r="B631" s="189" t="s">
        <v>323</v>
      </c>
      <c r="C631" s="98">
        <v>44007</v>
      </c>
      <c r="D631" s="189">
        <v>1465</v>
      </c>
      <c r="E631" s="189" t="s">
        <v>324</v>
      </c>
      <c r="F631" s="189" t="s">
        <v>325</v>
      </c>
      <c r="G631" s="125" t="s">
        <v>451</v>
      </c>
      <c r="H631" s="125">
        <v>962102</v>
      </c>
      <c r="I631" s="189" t="s">
        <v>314</v>
      </c>
      <c r="J631" s="189" t="s">
        <v>217</v>
      </c>
      <c r="K631" s="193">
        <v>61</v>
      </c>
      <c r="L631" s="125"/>
      <c r="M631" s="124">
        <f t="shared" si="80"/>
        <v>61</v>
      </c>
      <c r="N631" s="113">
        <f t="shared" si="81"/>
        <v>0</v>
      </c>
    </row>
    <row r="632" spans="1:14" hidden="1">
      <c r="A632" s="189" t="s">
        <v>441</v>
      </c>
      <c r="B632" s="189" t="s">
        <v>323</v>
      </c>
      <c r="C632" s="98">
        <v>44007</v>
      </c>
      <c r="D632" s="189">
        <v>1465</v>
      </c>
      <c r="E632" s="189" t="s">
        <v>324</v>
      </c>
      <c r="F632" s="189" t="s">
        <v>325</v>
      </c>
      <c r="G632" s="189" t="s">
        <v>451</v>
      </c>
      <c r="H632" s="189">
        <v>962102</v>
      </c>
      <c r="I632" s="189" t="s">
        <v>314</v>
      </c>
      <c r="J632" s="189" t="s">
        <v>218</v>
      </c>
      <c r="K632" s="193">
        <v>39</v>
      </c>
      <c r="L632" s="125"/>
      <c r="M632" s="124">
        <f t="shared" si="80"/>
        <v>39</v>
      </c>
      <c r="N632" s="113">
        <f t="shared" si="81"/>
        <v>0</v>
      </c>
    </row>
    <row r="633" spans="1:14" hidden="1">
      <c r="A633" s="189" t="s">
        <v>367</v>
      </c>
      <c r="B633" s="189" t="s">
        <v>309</v>
      </c>
      <c r="C633" s="98">
        <v>44007</v>
      </c>
      <c r="D633" s="125">
        <v>1484</v>
      </c>
      <c r="E633" s="189" t="s">
        <v>324</v>
      </c>
      <c r="F633" s="189" t="s">
        <v>325</v>
      </c>
      <c r="G633" s="125" t="s">
        <v>316</v>
      </c>
      <c r="H633" s="125">
        <v>967145</v>
      </c>
      <c r="I633" s="189" t="s">
        <v>314</v>
      </c>
      <c r="J633" s="189" t="s">
        <v>217</v>
      </c>
      <c r="K633" s="257">
        <v>190</v>
      </c>
      <c r="L633" s="125"/>
      <c r="M633" s="259">
        <f t="shared" ref="M633" si="82">K633-(L633+L634)</f>
        <v>190</v>
      </c>
      <c r="N633" s="261">
        <f t="shared" ref="N633" si="83">(L633+L634)/K633</f>
        <v>0</v>
      </c>
    </row>
    <row r="634" spans="1:14" hidden="1">
      <c r="A634" s="189" t="s">
        <v>367</v>
      </c>
      <c r="B634" s="189" t="s">
        <v>309</v>
      </c>
      <c r="C634" s="98">
        <v>44007</v>
      </c>
      <c r="D634" s="189">
        <v>1484</v>
      </c>
      <c r="E634" s="189" t="s">
        <v>324</v>
      </c>
      <c r="F634" s="189" t="s">
        <v>325</v>
      </c>
      <c r="G634" s="125" t="s">
        <v>328</v>
      </c>
      <c r="H634" s="125">
        <v>966995</v>
      </c>
      <c r="I634" s="189" t="s">
        <v>314</v>
      </c>
      <c r="J634" s="189" t="s">
        <v>217</v>
      </c>
      <c r="K634" s="258"/>
      <c r="L634" s="125"/>
      <c r="M634" s="260"/>
      <c r="N634" s="262"/>
    </row>
    <row r="635" spans="1:14" hidden="1">
      <c r="A635" s="189" t="s">
        <v>367</v>
      </c>
      <c r="B635" s="189" t="s">
        <v>309</v>
      </c>
      <c r="C635" s="98">
        <v>44007</v>
      </c>
      <c r="D635" s="189">
        <v>1484</v>
      </c>
      <c r="E635" s="189" t="s">
        <v>324</v>
      </c>
      <c r="F635" s="189" t="s">
        <v>325</v>
      </c>
      <c r="G635" s="189" t="s">
        <v>316</v>
      </c>
      <c r="H635" s="189">
        <v>967145</v>
      </c>
      <c r="I635" s="189" t="s">
        <v>314</v>
      </c>
      <c r="J635" s="189" t="s">
        <v>218</v>
      </c>
      <c r="K635" s="257">
        <v>310</v>
      </c>
      <c r="L635" s="125"/>
      <c r="M635" s="259">
        <f t="shared" ref="M635" si="84">K635-(L635+L636)</f>
        <v>310</v>
      </c>
      <c r="N635" s="261">
        <f t="shared" ref="N635" si="85">(L635+L636)/K635</f>
        <v>0</v>
      </c>
    </row>
    <row r="636" spans="1:14" hidden="1">
      <c r="A636" s="189" t="s">
        <v>367</v>
      </c>
      <c r="B636" s="189" t="s">
        <v>309</v>
      </c>
      <c r="C636" s="98">
        <v>44007</v>
      </c>
      <c r="D636" s="189">
        <v>1484</v>
      </c>
      <c r="E636" s="189" t="s">
        <v>324</v>
      </c>
      <c r="F636" s="189" t="s">
        <v>325</v>
      </c>
      <c r="G636" s="189" t="s">
        <v>328</v>
      </c>
      <c r="H636" s="189">
        <v>966995</v>
      </c>
      <c r="I636" s="189" t="s">
        <v>314</v>
      </c>
      <c r="J636" s="189" t="s">
        <v>218</v>
      </c>
      <c r="K636" s="258"/>
      <c r="L636" s="125"/>
      <c r="M636" s="260"/>
      <c r="N636" s="262"/>
    </row>
    <row r="637" spans="1:14" hidden="1">
      <c r="A637" s="189" t="s">
        <v>483</v>
      </c>
      <c r="B637" s="189" t="s">
        <v>323</v>
      </c>
      <c r="C637" s="98">
        <v>44007</v>
      </c>
      <c r="D637" s="125">
        <v>1485</v>
      </c>
      <c r="E637" s="189" t="s">
        <v>324</v>
      </c>
      <c r="F637" s="189" t="s">
        <v>325</v>
      </c>
      <c r="G637" s="125" t="s">
        <v>595</v>
      </c>
      <c r="H637" s="125">
        <v>961564</v>
      </c>
      <c r="I637" s="189" t="s">
        <v>314</v>
      </c>
      <c r="J637" s="189" t="s">
        <v>217</v>
      </c>
      <c r="K637" s="193">
        <v>58</v>
      </c>
      <c r="L637" s="125"/>
      <c r="M637" s="124">
        <f t="shared" ref="M637" si="86">K637-L637</f>
        <v>58</v>
      </c>
      <c r="N637" s="113">
        <f t="shared" ref="N637" si="87">L637/K637</f>
        <v>0</v>
      </c>
    </row>
    <row r="638" spans="1:14" hidden="1">
      <c r="A638" s="189" t="s">
        <v>483</v>
      </c>
      <c r="B638" s="189" t="s">
        <v>323</v>
      </c>
      <c r="C638" s="98">
        <v>44007</v>
      </c>
      <c r="D638" s="189">
        <v>1485</v>
      </c>
      <c r="E638" s="189" t="s">
        <v>324</v>
      </c>
      <c r="F638" s="189" t="s">
        <v>325</v>
      </c>
      <c r="G638" s="189" t="s">
        <v>595</v>
      </c>
      <c r="H638" s="189">
        <v>961564</v>
      </c>
      <c r="I638" s="189" t="s">
        <v>314</v>
      </c>
      <c r="J638" s="189" t="s">
        <v>218</v>
      </c>
      <c r="K638" s="193">
        <v>142</v>
      </c>
      <c r="L638" s="125"/>
      <c r="M638" s="124">
        <f t="shared" ref="M638:M694" si="88">K638-L638</f>
        <v>142</v>
      </c>
      <c r="N638" s="113">
        <f t="shared" ref="N638:N694" si="89">L638/K638</f>
        <v>0</v>
      </c>
    </row>
    <row r="639" spans="1:14" hidden="1">
      <c r="A639" s="189" t="s">
        <v>483</v>
      </c>
      <c r="B639" s="189" t="s">
        <v>323</v>
      </c>
      <c r="C639" s="98">
        <v>44007</v>
      </c>
      <c r="D639" s="189">
        <v>1485</v>
      </c>
      <c r="E639" s="189" t="s">
        <v>324</v>
      </c>
      <c r="F639" s="189" t="s">
        <v>325</v>
      </c>
      <c r="G639" s="125" t="s">
        <v>484</v>
      </c>
      <c r="H639" s="125">
        <v>960952</v>
      </c>
      <c r="I639" s="189" t="s">
        <v>314</v>
      </c>
      <c r="J639" s="189" t="s">
        <v>217</v>
      </c>
      <c r="K639" s="193">
        <v>43</v>
      </c>
      <c r="L639" s="125"/>
      <c r="M639" s="124">
        <f t="shared" si="88"/>
        <v>43</v>
      </c>
      <c r="N639" s="113">
        <f t="shared" si="89"/>
        <v>0</v>
      </c>
    </row>
    <row r="640" spans="1:14" hidden="1">
      <c r="A640" s="189" t="s">
        <v>483</v>
      </c>
      <c r="B640" s="189" t="s">
        <v>323</v>
      </c>
      <c r="C640" s="98">
        <v>44007</v>
      </c>
      <c r="D640" s="189">
        <v>1485</v>
      </c>
      <c r="E640" s="189" t="s">
        <v>324</v>
      </c>
      <c r="F640" s="189" t="s">
        <v>325</v>
      </c>
      <c r="G640" s="189" t="s">
        <v>484</v>
      </c>
      <c r="H640" s="189">
        <v>960952</v>
      </c>
      <c r="I640" s="189" t="s">
        <v>314</v>
      </c>
      <c r="J640" s="189" t="s">
        <v>218</v>
      </c>
      <c r="K640" s="193">
        <v>107</v>
      </c>
      <c r="L640" s="125"/>
      <c r="M640" s="124">
        <f t="shared" si="88"/>
        <v>107</v>
      </c>
      <c r="N640" s="113">
        <f t="shared" si="89"/>
        <v>0</v>
      </c>
    </row>
    <row r="641" spans="1:14" hidden="1">
      <c r="A641" s="125" t="s">
        <v>462</v>
      </c>
      <c r="B641" s="190" t="s">
        <v>323</v>
      </c>
      <c r="C641" s="98">
        <v>43987</v>
      </c>
      <c r="D641" s="125">
        <v>1351</v>
      </c>
      <c r="E641" s="190" t="s">
        <v>324</v>
      </c>
      <c r="F641" s="190" t="s">
        <v>325</v>
      </c>
      <c r="G641" s="125" t="s">
        <v>597</v>
      </c>
      <c r="H641" s="125">
        <v>963890</v>
      </c>
      <c r="I641" s="190" t="s">
        <v>314</v>
      </c>
      <c r="J641" s="190" t="s">
        <v>217</v>
      </c>
      <c r="K641" s="193">
        <v>70</v>
      </c>
      <c r="L641" s="141">
        <v>49.616</v>
      </c>
      <c r="M641" s="124">
        <f t="shared" si="88"/>
        <v>20.384</v>
      </c>
      <c r="N641" s="113">
        <f t="shared" si="89"/>
        <v>0.70879999999999999</v>
      </c>
    </row>
    <row r="642" spans="1:14" hidden="1">
      <c r="A642" s="190" t="s">
        <v>462</v>
      </c>
      <c r="B642" s="190" t="s">
        <v>323</v>
      </c>
      <c r="C642" s="98">
        <v>43987</v>
      </c>
      <c r="D642" s="190">
        <v>1351</v>
      </c>
      <c r="E642" s="190" t="s">
        <v>324</v>
      </c>
      <c r="F642" s="190" t="s">
        <v>325</v>
      </c>
      <c r="G642" s="190" t="s">
        <v>597</v>
      </c>
      <c r="H642" s="190">
        <v>963890</v>
      </c>
      <c r="I642" s="190" t="s">
        <v>314</v>
      </c>
      <c r="J642" s="190" t="s">
        <v>218</v>
      </c>
      <c r="K642" s="193">
        <v>170</v>
      </c>
      <c r="L642" s="141">
        <v>19.893999999999998</v>
      </c>
      <c r="M642" s="124">
        <f t="shared" si="88"/>
        <v>150.10599999999999</v>
      </c>
      <c r="N642" s="113">
        <f t="shared" si="89"/>
        <v>0.11702352941176469</v>
      </c>
    </row>
    <row r="643" spans="1:14" hidden="1">
      <c r="A643" s="190" t="s">
        <v>462</v>
      </c>
      <c r="B643" s="190" t="s">
        <v>323</v>
      </c>
      <c r="C643" s="98">
        <v>43987</v>
      </c>
      <c r="D643" s="190">
        <v>1351</v>
      </c>
      <c r="E643" s="190" t="s">
        <v>324</v>
      </c>
      <c r="F643" s="190" t="s">
        <v>325</v>
      </c>
      <c r="G643" s="125" t="s">
        <v>598</v>
      </c>
      <c r="H643" s="125">
        <v>922515</v>
      </c>
      <c r="I643" s="190" t="s">
        <v>314</v>
      </c>
      <c r="J643" s="190" t="s">
        <v>217</v>
      </c>
      <c r="K643" s="193">
        <v>70</v>
      </c>
      <c r="L643" s="125"/>
      <c r="M643" s="124">
        <f t="shared" si="88"/>
        <v>70</v>
      </c>
      <c r="N643" s="113">
        <f t="shared" si="89"/>
        <v>0</v>
      </c>
    </row>
    <row r="644" spans="1:14" hidden="1">
      <c r="A644" s="190" t="s">
        <v>462</v>
      </c>
      <c r="B644" s="190" t="s">
        <v>323</v>
      </c>
      <c r="C644" s="98">
        <v>43987</v>
      </c>
      <c r="D644" s="190">
        <v>1351</v>
      </c>
      <c r="E644" s="190" t="s">
        <v>324</v>
      </c>
      <c r="F644" s="190" t="s">
        <v>325</v>
      </c>
      <c r="G644" s="190" t="s">
        <v>598</v>
      </c>
      <c r="H644" s="190">
        <v>922515</v>
      </c>
      <c r="I644" s="190" t="s">
        <v>314</v>
      </c>
      <c r="J644" s="190" t="s">
        <v>218</v>
      </c>
      <c r="K644" s="193">
        <v>170</v>
      </c>
      <c r="L644" s="141">
        <v>3.05</v>
      </c>
      <c r="M644" s="124">
        <f t="shared" si="88"/>
        <v>166.95</v>
      </c>
      <c r="N644" s="113">
        <f t="shared" si="89"/>
        <v>1.7941176470588235E-2</v>
      </c>
    </row>
    <row r="645" spans="1:14" hidden="1">
      <c r="A645" s="190" t="s">
        <v>462</v>
      </c>
      <c r="B645" s="190" t="s">
        <v>323</v>
      </c>
      <c r="C645" s="98">
        <v>43987</v>
      </c>
      <c r="D645" s="190">
        <v>1351</v>
      </c>
      <c r="E645" s="190" t="s">
        <v>324</v>
      </c>
      <c r="F645" s="190" t="s">
        <v>325</v>
      </c>
      <c r="G645" s="125" t="s">
        <v>599</v>
      </c>
      <c r="H645" s="125">
        <v>954711</v>
      </c>
      <c r="I645" s="190" t="s">
        <v>314</v>
      </c>
      <c r="J645" s="190" t="s">
        <v>217</v>
      </c>
      <c r="K645" s="193">
        <v>35</v>
      </c>
      <c r="L645" s="125"/>
      <c r="M645" s="124">
        <f t="shared" si="88"/>
        <v>35</v>
      </c>
      <c r="N645" s="113">
        <f t="shared" si="89"/>
        <v>0</v>
      </c>
    </row>
    <row r="646" spans="1:14" hidden="1">
      <c r="A646" s="190" t="s">
        <v>462</v>
      </c>
      <c r="B646" s="190" t="s">
        <v>323</v>
      </c>
      <c r="C646" s="98">
        <v>43987</v>
      </c>
      <c r="D646" s="190">
        <v>1351</v>
      </c>
      <c r="E646" s="190" t="s">
        <v>324</v>
      </c>
      <c r="F646" s="190" t="s">
        <v>325</v>
      </c>
      <c r="G646" s="190" t="s">
        <v>599</v>
      </c>
      <c r="H646" s="190">
        <v>954711</v>
      </c>
      <c r="I646" s="190" t="s">
        <v>314</v>
      </c>
      <c r="J646" s="190" t="s">
        <v>218</v>
      </c>
      <c r="K646" s="193">
        <v>85</v>
      </c>
      <c r="L646" s="125"/>
      <c r="M646" s="124">
        <f t="shared" si="88"/>
        <v>85</v>
      </c>
      <c r="N646" s="113">
        <f t="shared" si="89"/>
        <v>0</v>
      </c>
    </row>
    <row r="647" spans="1:14" hidden="1">
      <c r="A647" s="190" t="s">
        <v>462</v>
      </c>
      <c r="B647" s="190" t="s">
        <v>323</v>
      </c>
      <c r="C647" s="98">
        <v>43987</v>
      </c>
      <c r="D647" s="190">
        <v>1351</v>
      </c>
      <c r="E647" s="190" t="s">
        <v>324</v>
      </c>
      <c r="F647" s="190" t="s">
        <v>325</v>
      </c>
      <c r="G647" s="125" t="s">
        <v>600</v>
      </c>
      <c r="H647" s="125">
        <v>902733</v>
      </c>
      <c r="I647" s="190" t="s">
        <v>314</v>
      </c>
      <c r="J647" s="190" t="s">
        <v>217</v>
      </c>
      <c r="K647" s="193">
        <v>100</v>
      </c>
      <c r="L647" s="141">
        <v>20.687999999999999</v>
      </c>
      <c r="M647" s="124">
        <f t="shared" si="88"/>
        <v>79.311999999999998</v>
      </c>
      <c r="N647" s="113">
        <f t="shared" si="89"/>
        <v>0.20687999999999998</v>
      </c>
    </row>
    <row r="648" spans="1:14" hidden="1">
      <c r="A648" s="190" t="s">
        <v>462</v>
      </c>
      <c r="B648" s="190" t="s">
        <v>323</v>
      </c>
      <c r="C648" s="98">
        <v>43987</v>
      </c>
      <c r="D648" s="190">
        <v>1351</v>
      </c>
      <c r="E648" s="190" t="s">
        <v>324</v>
      </c>
      <c r="F648" s="190" t="s">
        <v>325</v>
      </c>
      <c r="G648" s="190" t="s">
        <v>600</v>
      </c>
      <c r="H648" s="190">
        <v>902733</v>
      </c>
      <c r="I648" s="190" t="s">
        <v>314</v>
      </c>
      <c r="J648" s="190" t="s">
        <v>218</v>
      </c>
      <c r="K648" s="193">
        <v>250</v>
      </c>
      <c r="L648" s="141">
        <v>14.792</v>
      </c>
      <c r="M648" s="124">
        <f t="shared" si="88"/>
        <v>235.208</v>
      </c>
      <c r="N648" s="113">
        <f t="shared" si="89"/>
        <v>5.9167999999999998E-2</v>
      </c>
    </row>
    <row r="649" spans="1:14" hidden="1">
      <c r="A649" s="190" t="s">
        <v>462</v>
      </c>
      <c r="B649" s="190" t="s">
        <v>323</v>
      </c>
      <c r="C649" s="98">
        <v>43987</v>
      </c>
      <c r="D649" s="190">
        <v>1351</v>
      </c>
      <c r="E649" s="190" t="s">
        <v>324</v>
      </c>
      <c r="F649" s="190" t="s">
        <v>325</v>
      </c>
      <c r="G649" s="125" t="s">
        <v>601</v>
      </c>
      <c r="H649" s="125">
        <v>968805</v>
      </c>
      <c r="I649" s="190" t="s">
        <v>314</v>
      </c>
      <c r="J649" s="190" t="s">
        <v>217</v>
      </c>
      <c r="K649" s="193">
        <v>70</v>
      </c>
      <c r="L649" s="125"/>
      <c r="M649" s="124">
        <f t="shared" si="88"/>
        <v>70</v>
      </c>
      <c r="N649" s="113">
        <f t="shared" si="89"/>
        <v>0</v>
      </c>
    </row>
    <row r="650" spans="1:14" hidden="1">
      <c r="A650" s="190" t="s">
        <v>462</v>
      </c>
      <c r="B650" s="190" t="s">
        <v>323</v>
      </c>
      <c r="C650" s="98">
        <v>43987</v>
      </c>
      <c r="D650" s="190">
        <v>1351</v>
      </c>
      <c r="E650" s="190" t="s">
        <v>324</v>
      </c>
      <c r="F650" s="190" t="s">
        <v>325</v>
      </c>
      <c r="G650" s="190" t="s">
        <v>601</v>
      </c>
      <c r="H650" s="190">
        <v>968805</v>
      </c>
      <c r="I650" s="190" t="s">
        <v>314</v>
      </c>
      <c r="J650" s="190" t="s">
        <v>218</v>
      </c>
      <c r="K650" s="193">
        <v>170</v>
      </c>
      <c r="L650" s="141">
        <v>81.260000000000005</v>
      </c>
      <c r="M650" s="124">
        <f t="shared" si="88"/>
        <v>88.74</v>
      </c>
      <c r="N650" s="113">
        <f t="shared" si="89"/>
        <v>0.47800000000000004</v>
      </c>
    </row>
    <row r="651" spans="1:14" hidden="1">
      <c r="A651" s="190" t="s">
        <v>462</v>
      </c>
      <c r="B651" s="190" t="s">
        <v>323</v>
      </c>
      <c r="C651" s="98">
        <v>43987</v>
      </c>
      <c r="D651" s="190">
        <v>1351</v>
      </c>
      <c r="E651" s="190" t="s">
        <v>324</v>
      </c>
      <c r="F651" s="190" t="s">
        <v>325</v>
      </c>
      <c r="G651" s="125" t="s">
        <v>602</v>
      </c>
      <c r="H651" s="125">
        <v>960060</v>
      </c>
      <c r="I651" s="190" t="s">
        <v>314</v>
      </c>
      <c r="J651" s="190" t="s">
        <v>217</v>
      </c>
      <c r="K651" s="193">
        <v>70</v>
      </c>
      <c r="L651" s="125"/>
      <c r="M651" s="124">
        <f t="shared" si="88"/>
        <v>70</v>
      </c>
      <c r="N651" s="113">
        <f t="shared" si="89"/>
        <v>0</v>
      </c>
    </row>
    <row r="652" spans="1:14" hidden="1">
      <c r="A652" s="190" t="s">
        <v>462</v>
      </c>
      <c r="B652" s="190" t="s">
        <v>323</v>
      </c>
      <c r="C652" s="98">
        <v>43987</v>
      </c>
      <c r="D652" s="190">
        <v>1351</v>
      </c>
      <c r="E652" s="190" t="s">
        <v>324</v>
      </c>
      <c r="F652" s="190" t="s">
        <v>325</v>
      </c>
      <c r="G652" s="190" t="s">
        <v>602</v>
      </c>
      <c r="H652" s="190">
        <v>960060</v>
      </c>
      <c r="I652" s="190" t="s">
        <v>314</v>
      </c>
      <c r="J652" s="190" t="s">
        <v>218</v>
      </c>
      <c r="K652" s="193">
        <v>170</v>
      </c>
      <c r="L652" s="141">
        <v>75.83</v>
      </c>
      <c r="M652" s="124">
        <f t="shared" si="88"/>
        <v>94.17</v>
      </c>
      <c r="N652" s="113">
        <f t="shared" si="89"/>
        <v>0.44605882352941173</v>
      </c>
    </row>
    <row r="653" spans="1:14" hidden="1">
      <c r="A653" s="190" t="s">
        <v>462</v>
      </c>
      <c r="B653" s="190" t="s">
        <v>323</v>
      </c>
      <c r="C653" s="98">
        <v>43987</v>
      </c>
      <c r="D653" s="190">
        <v>1351</v>
      </c>
      <c r="E653" s="190" t="s">
        <v>324</v>
      </c>
      <c r="F653" s="190" t="s">
        <v>325</v>
      </c>
      <c r="G653" s="125" t="s">
        <v>603</v>
      </c>
      <c r="H653" s="125">
        <v>966093</v>
      </c>
      <c r="I653" s="190" t="s">
        <v>314</v>
      </c>
      <c r="J653" s="190" t="s">
        <v>217</v>
      </c>
      <c r="K653" s="193">
        <v>35</v>
      </c>
      <c r="L653" s="125"/>
      <c r="M653" s="124">
        <f t="shared" si="88"/>
        <v>35</v>
      </c>
      <c r="N653" s="113">
        <f t="shared" si="89"/>
        <v>0</v>
      </c>
    </row>
    <row r="654" spans="1:14" hidden="1">
      <c r="A654" s="190" t="s">
        <v>462</v>
      </c>
      <c r="B654" s="190" t="s">
        <v>323</v>
      </c>
      <c r="C654" s="98">
        <v>43987</v>
      </c>
      <c r="D654" s="190">
        <v>1351</v>
      </c>
      <c r="E654" s="190" t="s">
        <v>324</v>
      </c>
      <c r="F654" s="190" t="s">
        <v>325</v>
      </c>
      <c r="G654" s="190" t="s">
        <v>603</v>
      </c>
      <c r="H654" s="190">
        <v>966093</v>
      </c>
      <c r="I654" s="190" t="s">
        <v>314</v>
      </c>
      <c r="J654" s="190" t="s">
        <v>218</v>
      </c>
      <c r="K654" s="193">
        <v>85</v>
      </c>
      <c r="L654" s="125"/>
      <c r="M654" s="124">
        <f t="shared" si="88"/>
        <v>85</v>
      </c>
      <c r="N654" s="113">
        <f t="shared" si="89"/>
        <v>0</v>
      </c>
    </row>
    <row r="655" spans="1:14" hidden="1">
      <c r="A655" s="190" t="s">
        <v>462</v>
      </c>
      <c r="B655" s="190" t="s">
        <v>323</v>
      </c>
      <c r="C655" s="98">
        <v>43987</v>
      </c>
      <c r="D655" s="190">
        <v>1351</v>
      </c>
      <c r="E655" s="190" t="s">
        <v>324</v>
      </c>
      <c r="F655" s="190" t="s">
        <v>325</v>
      </c>
      <c r="G655" s="125" t="s">
        <v>604</v>
      </c>
      <c r="H655" s="125">
        <v>951221</v>
      </c>
      <c r="I655" s="190" t="s">
        <v>314</v>
      </c>
      <c r="J655" s="190" t="s">
        <v>217</v>
      </c>
      <c r="K655" s="193">
        <v>30</v>
      </c>
      <c r="L655" s="125"/>
      <c r="M655" s="124">
        <f t="shared" si="88"/>
        <v>30</v>
      </c>
      <c r="N655" s="113">
        <f t="shared" si="89"/>
        <v>0</v>
      </c>
    </row>
    <row r="656" spans="1:14" hidden="1">
      <c r="A656" s="190" t="s">
        <v>462</v>
      </c>
      <c r="B656" s="190" t="s">
        <v>323</v>
      </c>
      <c r="C656" s="98">
        <v>43987</v>
      </c>
      <c r="D656" s="190">
        <v>1351</v>
      </c>
      <c r="E656" s="190" t="s">
        <v>324</v>
      </c>
      <c r="F656" s="190" t="s">
        <v>325</v>
      </c>
      <c r="G656" s="190" t="s">
        <v>604</v>
      </c>
      <c r="H656" s="190">
        <v>951221</v>
      </c>
      <c r="I656" s="190" t="s">
        <v>314</v>
      </c>
      <c r="J656" s="190" t="s">
        <v>218</v>
      </c>
      <c r="K656" s="193">
        <v>70</v>
      </c>
      <c r="L656" s="125"/>
      <c r="M656" s="124">
        <f t="shared" si="88"/>
        <v>70</v>
      </c>
      <c r="N656" s="113">
        <f t="shared" si="89"/>
        <v>0</v>
      </c>
    </row>
    <row r="657" spans="1:14" hidden="1">
      <c r="A657" s="190" t="s">
        <v>462</v>
      </c>
      <c r="B657" s="190" t="s">
        <v>323</v>
      </c>
      <c r="C657" s="98">
        <v>43987</v>
      </c>
      <c r="D657" s="190">
        <v>1351</v>
      </c>
      <c r="E657" s="190" t="s">
        <v>324</v>
      </c>
      <c r="F657" s="190" t="s">
        <v>325</v>
      </c>
      <c r="G657" s="125" t="s">
        <v>605</v>
      </c>
      <c r="H657" s="125">
        <v>961377</v>
      </c>
      <c r="I657" s="190" t="s">
        <v>314</v>
      </c>
      <c r="J657" s="190" t="s">
        <v>217</v>
      </c>
      <c r="K657" s="193">
        <v>70</v>
      </c>
      <c r="L657" s="125"/>
      <c r="M657" s="124">
        <f t="shared" si="88"/>
        <v>70</v>
      </c>
      <c r="N657" s="113">
        <f t="shared" si="89"/>
        <v>0</v>
      </c>
    </row>
    <row r="658" spans="1:14" hidden="1">
      <c r="A658" s="190" t="s">
        <v>462</v>
      </c>
      <c r="B658" s="190" t="s">
        <v>323</v>
      </c>
      <c r="C658" s="98">
        <v>43987</v>
      </c>
      <c r="D658" s="190">
        <v>1351</v>
      </c>
      <c r="E658" s="190" t="s">
        <v>324</v>
      </c>
      <c r="F658" s="190" t="s">
        <v>325</v>
      </c>
      <c r="G658" s="190" t="s">
        <v>605</v>
      </c>
      <c r="H658" s="190">
        <v>961377</v>
      </c>
      <c r="I658" s="190" t="s">
        <v>314</v>
      </c>
      <c r="J658" s="190" t="s">
        <v>218</v>
      </c>
      <c r="K658" s="193">
        <v>170</v>
      </c>
      <c r="L658" s="125"/>
      <c r="M658" s="124">
        <f t="shared" si="88"/>
        <v>170</v>
      </c>
      <c r="N658" s="113">
        <f t="shared" si="89"/>
        <v>0</v>
      </c>
    </row>
    <row r="659" spans="1:14" hidden="1">
      <c r="A659" s="190" t="s">
        <v>462</v>
      </c>
      <c r="B659" s="190" t="s">
        <v>323</v>
      </c>
      <c r="C659" s="98">
        <v>43987</v>
      </c>
      <c r="D659" s="190">
        <v>1351</v>
      </c>
      <c r="E659" s="190" t="s">
        <v>324</v>
      </c>
      <c r="F659" s="190" t="s">
        <v>325</v>
      </c>
      <c r="G659" s="125" t="s">
        <v>606</v>
      </c>
      <c r="H659" s="125">
        <v>968722</v>
      </c>
      <c r="I659" s="190" t="s">
        <v>314</v>
      </c>
      <c r="J659" s="190" t="s">
        <v>217</v>
      </c>
      <c r="K659" s="193">
        <v>35</v>
      </c>
      <c r="L659" s="125"/>
      <c r="M659" s="124">
        <f t="shared" si="88"/>
        <v>35</v>
      </c>
      <c r="N659" s="113">
        <f t="shared" si="89"/>
        <v>0</v>
      </c>
    </row>
    <row r="660" spans="1:14" hidden="1">
      <c r="A660" s="190" t="s">
        <v>462</v>
      </c>
      <c r="B660" s="190" t="s">
        <v>323</v>
      </c>
      <c r="C660" s="98">
        <v>43987</v>
      </c>
      <c r="D660" s="190">
        <v>1351</v>
      </c>
      <c r="E660" s="190" t="s">
        <v>324</v>
      </c>
      <c r="F660" s="190" t="s">
        <v>325</v>
      </c>
      <c r="G660" s="190" t="s">
        <v>606</v>
      </c>
      <c r="H660" s="190">
        <v>968722</v>
      </c>
      <c r="I660" s="190" t="s">
        <v>314</v>
      </c>
      <c r="J660" s="190" t="s">
        <v>218</v>
      </c>
      <c r="K660" s="193">
        <v>85</v>
      </c>
      <c r="L660" s="141">
        <v>9.68</v>
      </c>
      <c r="M660" s="124">
        <f t="shared" si="88"/>
        <v>75.319999999999993</v>
      </c>
      <c r="N660" s="113">
        <f t="shared" si="89"/>
        <v>0.11388235294117646</v>
      </c>
    </row>
    <row r="661" spans="1:14" hidden="1">
      <c r="A661" s="190" t="s">
        <v>462</v>
      </c>
      <c r="B661" s="190" t="s">
        <v>323</v>
      </c>
      <c r="C661" s="98">
        <v>43987</v>
      </c>
      <c r="D661" s="190">
        <v>1351</v>
      </c>
      <c r="E661" s="190" t="s">
        <v>324</v>
      </c>
      <c r="F661" s="190" t="s">
        <v>325</v>
      </c>
      <c r="G661" s="125" t="s">
        <v>607</v>
      </c>
      <c r="H661" s="125">
        <v>964344</v>
      </c>
      <c r="I661" s="190" t="s">
        <v>314</v>
      </c>
      <c r="J661" s="190" t="s">
        <v>217</v>
      </c>
      <c r="K661" s="193">
        <v>35</v>
      </c>
      <c r="L661" s="125"/>
      <c r="M661" s="124">
        <f t="shared" si="88"/>
        <v>35</v>
      </c>
      <c r="N661" s="113">
        <f t="shared" si="89"/>
        <v>0</v>
      </c>
    </row>
    <row r="662" spans="1:14" hidden="1">
      <c r="A662" s="190" t="s">
        <v>462</v>
      </c>
      <c r="B662" s="190" t="s">
        <v>323</v>
      </c>
      <c r="C662" s="98">
        <v>43987</v>
      </c>
      <c r="D662" s="190">
        <v>1351</v>
      </c>
      <c r="E662" s="190" t="s">
        <v>324</v>
      </c>
      <c r="F662" s="190" t="s">
        <v>325</v>
      </c>
      <c r="G662" s="190" t="s">
        <v>607</v>
      </c>
      <c r="H662" s="190">
        <v>964344</v>
      </c>
      <c r="I662" s="190" t="s">
        <v>314</v>
      </c>
      <c r="J662" s="190" t="s">
        <v>218</v>
      </c>
      <c r="K662" s="193">
        <v>85</v>
      </c>
      <c r="L662" s="125"/>
      <c r="M662" s="124">
        <f t="shared" si="88"/>
        <v>85</v>
      </c>
      <c r="N662" s="113">
        <f t="shared" si="89"/>
        <v>0</v>
      </c>
    </row>
    <row r="663" spans="1:14" hidden="1">
      <c r="A663" s="190" t="s">
        <v>462</v>
      </c>
      <c r="B663" s="190" t="s">
        <v>323</v>
      </c>
      <c r="C663" s="98">
        <v>43987</v>
      </c>
      <c r="D663" s="190">
        <v>1351</v>
      </c>
      <c r="E663" s="190" t="s">
        <v>324</v>
      </c>
      <c r="F663" s="190" t="s">
        <v>325</v>
      </c>
      <c r="G663" s="125" t="s">
        <v>467</v>
      </c>
      <c r="H663" s="125">
        <v>958563</v>
      </c>
      <c r="I663" s="190" t="s">
        <v>314</v>
      </c>
      <c r="J663" s="190" t="s">
        <v>217</v>
      </c>
      <c r="K663" s="193">
        <v>35</v>
      </c>
      <c r="L663" s="125"/>
      <c r="M663" s="124">
        <f t="shared" si="88"/>
        <v>35</v>
      </c>
      <c r="N663" s="113">
        <f t="shared" si="89"/>
        <v>0</v>
      </c>
    </row>
    <row r="664" spans="1:14" hidden="1">
      <c r="A664" s="190" t="s">
        <v>462</v>
      </c>
      <c r="B664" s="190" t="s">
        <v>323</v>
      </c>
      <c r="C664" s="98">
        <v>43987</v>
      </c>
      <c r="D664" s="190">
        <v>1351</v>
      </c>
      <c r="E664" s="190" t="s">
        <v>324</v>
      </c>
      <c r="F664" s="190" t="s">
        <v>325</v>
      </c>
      <c r="G664" s="190" t="s">
        <v>467</v>
      </c>
      <c r="H664" s="190">
        <v>958563</v>
      </c>
      <c r="I664" s="190" t="s">
        <v>314</v>
      </c>
      <c r="J664" s="190" t="s">
        <v>218</v>
      </c>
      <c r="K664" s="193">
        <v>85</v>
      </c>
      <c r="L664" s="125"/>
      <c r="M664" s="124">
        <f t="shared" si="88"/>
        <v>85</v>
      </c>
      <c r="N664" s="113">
        <f t="shared" si="89"/>
        <v>0</v>
      </c>
    </row>
    <row r="665" spans="1:14" hidden="1">
      <c r="A665" s="190" t="s">
        <v>462</v>
      </c>
      <c r="B665" s="190" t="s">
        <v>323</v>
      </c>
      <c r="C665" s="98">
        <v>43987</v>
      </c>
      <c r="D665" s="190">
        <v>1351</v>
      </c>
      <c r="E665" s="190" t="s">
        <v>324</v>
      </c>
      <c r="F665" s="190" t="s">
        <v>325</v>
      </c>
      <c r="G665" s="125" t="s">
        <v>608</v>
      </c>
      <c r="H665" s="125">
        <v>954062</v>
      </c>
      <c r="I665" s="190" t="s">
        <v>314</v>
      </c>
      <c r="J665" s="190" t="s">
        <v>217</v>
      </c>
      <c r="K665" s="193">
        <v>174</v>
      </c>
      <c r="L665" s="141">
        <v>145.94499999999999</v>
      </c>
      <c r="M665" s="124">
        <f t="shared" si="88"/>
        <v>28.055000000000007</v>
      </c>
      <c r="N665" s="113">
        <f t="shared" si="89"/>
        <v>0.83876436781609187</v>
      </c>
    </row>
    <row r="666" spans="1:14" hidden="1">
      <c r="A666" s="190" t="s">
        <v>462</v>
      </c>
      <c r="B666" s="190" t="s">
        <v>323</v>
      </c>
      <c r="C666" s="98">
        <v>43987</v>
      </c>
      <c r="D666" s="190">
        <v>1351</v>
      </c>
      <c r="E666" s="190" t="s">
        <v>324</v>
      </c>
      <c r="F666" s="190" t="s">
        <v>325</v>
      </c>
      <c r="G666" s="190" t="s">
        <v>608</v>
      </c>
      <c r="H666" s="190">
        <v>954062</v>
      </c>
      <c r="I666" s="190" t="s">
        <v>314</v>
      </c>
      <c r="J666" s="190" t="s">
        <v>218</v>
      </c>
      <c r="K666" s="193">
        <v>426</v>
      </c>
      <c r="L666" s="141">
        <v>67.918999999999997</v>
      </c>
      <c r="M666" s="124">
        <f t="shared" si="88"/>
        <v>358.08100000000002</v>
      </c>
      <c r="N666" s="113">
        <f t="shared" si="89"/>
        <v>0.15943427230046947</v>
      </c>
    </row>
    <row r="667" spans="1:14" hidden="1">
      <c r="A667" s="190" t="s">
        <v>462</v>
      </c>
      <c r="B667" s="190" t="s">
        <v>323</v>
      </c>
      <c r="C667" s="98">
        <v>43987</v>
      </c>
      <c r="D667" s="190">
        <v>1351</v>
      </c>
      <c r="E667" s="190" t="s">
        <v>324</v>
      </c>
      <c r="F667" s="190" t="s">
        <v>325</v>
      </c>
      <c r="G667" s="125" t="s">
        <v>609</v>
      </c>
      <c r="H667" s="125">
        <v>966858</v>
      </c>
      <c r="I667" s="190" t="s">
        <v>314</v>
      </c>
      <c r="J667" s="190" t="s">
        <v>217</v>
      </c>
      <c r="K667" s="193">
        <v>70</v>
      </c>
      <c r="L667" s="141">
        <v>96.042000000000002</v>
      </c>
      <c r="M667" s="124">
        <f t="shared" si="88"/>
        <v>-26.042000000000002</v>
      </c>
      <c r="N667" s="113">
        <f t="shared" si="89"/>
        <v>1.3720285714285714</v>
      </c>
    </row>
    <row r="668" spans="1:14" hidden="1">
      <c r="A668" s="190" t="s">
        <v>462</v>
      </c>
      <c r="B668" s="190" t="s">
        <v>323</v>
      </c>
      <c r="C668" s="98">
        <v>43987</v>
      </c>
      <c r="D668" s="190">
        <v>1351</v>
      </c>
      <c r="E668" s="190" t="s">
        <v>324</v>
      </c>
      <c r="F668" s="190" t="s">
        <v>325</v>
      </c>
      <c r="G668" s="190" t="s">
        <v>609</v>
      </c>
      <c r="H668" s="190">
        <v>966858</v>
      </c>
      <c r="I668" s="190" t="s">
        <v>314</v>
      </c>
      <c r="J668" s="190" t="s">
        <v>218</v>
      </c>
      <c r="K668" s="193">
        <v>170</v>
      </c>
      <c r="L668" s="141">
        <v>36.618000000000002</v>
      </c>
      <c r="M668" s="124">
        <f t="shared" si="88"/>
        <v>133.38200000000001</v>
      </c>
      <c r="N668" s="113">
        <f t="shared" si="89"/>
        <v>0.21540000000000001</v>
      </c>
    </row>
    <row r="669" spans="1:14" hidden="1">
      <c r="A669" s="190" t="s">
        <v>462</v>
      </c>
      <c r="B669" s="190" t="s">
        <v>323</v>
      </c>
      <c r="C669" s="98">
        <v>43987</v>
      </c>
      <c r="D669" s="190">
        <v>1351</v>
      </c>
      <c r="E669" s="190" t="s">
        <v>324</v>
      </c>
      <c r="F669" s="190" t="s">
        <v>325</v>
      </c>
      <c r="G669" s="125" t="s">
        <v>610</v>
      </c>
      <c r="H669" s="125">
        <v>958198</v>
      </c>
      <c r="I669" s="190" t="s">
        <v>314</v>
      </c>
      <c r="J669" s="190" t="s">
        <v>217</v>
      </c>
      <c r="K669" s="193">
        <v>70</v>
      </c>
      <c r="L669" s="125"/>
      <c r="M669" s="124">
        <f t="shared" si="88"/>
        <v>70</v>
      </c>
      <c r="N669" s="113">
        <f t="shared" si="89"/>
        <v>0</v>
      </c>
    </row>
    <row r="670" spans="1:14" hidden="1">
      <c r="A670" s="190" t="s">
        <v>462</v>
      </c>
      <c r="B670" s="190" t="s">
        <v>323</v>
      </c>
      <c r="C670" s="98">
        <v>43987</v>
      </c>
      <c r="D670" s="190">
        <v>1351</v>
      </c>
      <c r="E670" s="190" t="s">
        <v>324</v>
      </c>
      <c r="F670" s="190" t="s">
        <v>325</v>
      </c>
      <c r="G670" s="190" t="s">
        <v>610</v>
      </c>
      <c r="H670" s="190">
        <v>958198</v>
      </c>
      <c r="I670" s="190" t="s">
        <v>314</v>
      </c>
      <c r="J670" s="190" t="s">
        <v>218</v>
      </c>
      <c r="K670" s="193">
        <v>170</v>
      </c>
      <c r="L670" s="125"/>
      <c r="M670" s="124">
        <f t="shared" si="88"/>
        <v>170</v>
      </c>
      <c r="N670" s="113">
        <f t="shared" si="89"/>
        <v>0</v>
      </c>
    </row>
    <row r="671" spans="1:14" hidden="1">
      <c r="A671" s="190" t="s">
        <v>462</v>
      </c>
      <c r="B671" s="190" t="s">
        <v>323</v>
      </c>
      <c r="C671" s="98">
        <v>43987</v>
      </c>
      <c r="D671" s="190">
        <v>1351</v>
      </c>
      <c r="E671" s="190" t="s">
        <v>324</v>
      </c>
      <c r="F671" s="190" t="s">
        <v>325</v>
      </c>
      <c r="G671" s="125" t="s">
        <v>611</v>
      </c>
      <c r="H671" s="125">
        <v>968681</v>
      </c>
      <c r="I671" s="190" t="s">
        <v>314</v>
      </c>
      <c r="J671" s="190" t="s">
        <v>217</v>
      </c>
      <c r="K671" s="193">
        <v>70</v>
      </c>
      <c r="L671" s="141">
        <v>96</v>
      </c>
      <c r="M671" s="124">
        <f t="shared" si="88"/>
        <v>-26</v>
      </c>
      <c r="N671" s="113">
        <f t="shared" si="89"/>
        <v>1.3714285714285714</v>
      </c>
    </row>
    <row r="672" spans="1:14" hidden="1">
      <c r="A672" s="190" t="s">
        <v>462</v>
      </c>
      <c r="B672" s="190" t="s">
        <v>323</v>
      </c>
      <c r="C672" s="98">
        <v>43987</v>
      </c>
      <c r="D672" s="190">
        <v>1351</v>
      </c>
      <c r="E672" s="190" t="s">
        <v>324</v>
      </c>
      <c r="F672" s="190" t="s">
        <v>325</v>
      </c>
      <c r="G672" s="190" t="s">
        <v>611</v>
      </c>
      <c r="H672" s="190">
        <v>968681</v>
      </c>
      <c r="I672" s="190" t="s">
        <v>314</v>
      </c>
      <c r="J672" s="190" t="s">
        <v>218</v>
      </c>
      <c r="K672" s="193">
        <v>170</v>
      </c>
      <c r="L672" s="141">
        <v>102.486</v>
      </c>
      <c r="M672" s="124">
        <f t="shared" si="88"/>
        <v>67.513999999999996</v>
      </c>
      <c r="N672" s="113">
        <f t="shared" si="89"/>
        <v>0.60285882352941178</v>
      </c>
    </row>
    <row r="673" spans="1:14" hidden="1">
      <c r="A673" s="190" t="s">
        <v>462</v>
      </c>
      <c r="B673" s="190" t="s">
        <v>323</v>
      </c>
      <c r="C673" s="98">
        <v>43987</v>
      </c>
      <c r="D673" s="190">
        <v>1351</v>
      </c>
      <c r="E673" s="190" t="s">
        <v>324</v>
      </c>
      <c r="F673" s="190" t="s">
        <v>325</v>
      </c>
      <c r="G673" s="125" t="s">
        <v>612</v>
      </c>
      <c r="H673" s="125">
        <v>968520</v>
      </c>
      <c r="I673" s="190" t="s">
        <v>314</v>
      </c>
      <c r="J673" s="190" t="s">
        <v>217</v>
      </c>
      <c r="K673" s="193">
        <v>70</v>
      </c>
      <c r="L673" s="141">
        <v>96</v>
      </c>
      <c r="M673" s="124">
        <f t="shared" si="88"/>
        <v>-26</v>
      </c>
      <c r="N673" s="113">
        <f t="shared" si="89"/>
        <v>1.3714285714285714</v>
      </c>
    </row>
    <row r="674" spans="1:14" hidden="1">
      <c r="A674" s="190" t="s">
        <v>462</v>
      </c>
      <c r="B674" s="190" t="s">
        <v>323</v>
      </c>
      <c r="C674" s="98">
        <v>43987</v>
      </c>
      <c r="D674" s="190">
        <v>1351</v>
      </c>
      <c r="E674" s="190" t="s">
        <v>324</v>
      </c>
      <c r="F674" s="190" t="s">
        <v>325</v>
      </c>
      <c r="G674" s="190" t="s">
        <v>612</v>
      </c>
      <c r="H674" s="190">
        <v>968520</v>
      </c>
      <c r="I674" s="190" t="s">
        <v>314</v>
      </c>
      <c r="J674" s="190" t="s">
        <v>218</v>
      </c>
      <c r="K674" s="193">
        <v>170</v>
      </c>
      <c r="L674" s="141">
        <v>47.978000000000002</v>
      </c>
      <c r="M674" s="124">
        <f t="shared" si="88"/>
        <v>122.02199999999999</v>
      </c>
      <c r="N674" s="113">
        <f t="shared" si="89"/>
        <v>0.28222352941176471</v>
      </c>
    </row>
    <row r="675" spans="1:14" hidden="1">
      <c r="A675" s="190" t="s">
        <v>462</v>
      </c>
      <c r="B675" s="190" t="s">
        <v>323</v>
      </c>
      <c r="C675" s="98">
        <v>43987</v>
      </c>
      <c r="D675" s="190">
        <v>1351</v>
      </c>
      <c r="E675" s="190" t="s">
        <v>324</v>
      </c>
      <c r="F675" s="190" t="s">
        <v>325</v>
      </c>
      <c r="G675" s="125" t="s">
        <v>613</v>
      </c>
      <c r="H675" s="125">
        <v>953883</v>
      </c>
      <c r="I675" s="190" t="s">
        <v>314</v>
      </c>
      <c r="J675" s="190" t="s">
        <v>217</v>
      </c>
      <c r="K675" s="193">
        <v>70</v>
      </c>
      <c r="L675" s="141">
        <v>83.671999999999997</v>
      </c>
      <c r="M675" s="124">
        <f t="shared" si="88"/>
        <v>-13.671999999999997</v>
      </c>
      <c r="N675" s="113">
        <f t="shared" si="89"/>
        <v>1.1953142857142858</v>
      </c>
    </row>
    <row r="676" spans="1:14" hidden="1">
      <c r="A676" s="190" t="s">
        <v>462</v>
      </c>
      <c r="B676" s="190" t="s">
        <v>323</v>
      </c>
      <c r="C676" s="98">
        <v>43987</v>
      </c>
      <c r="D676" s="190">
        <v>1351</v>
      </c>
      <c r="E676" s="190" t="s">
        <v>324</v>
      </c>
      <c r="F676" s="190" t="s">
        <v>325</v>
      </c>
      <c r="G676" s="190" t="s">
        <v>613</v>
      </c>
      <c r="H676" s="190">
        <v>953883</v>
      </c>
      <c r="I676" s="190" t="s">
        <v>314</v>
      </c>
      <c r="J676" s="190" t="s">
        <v>218</v>
      </c>
      <c r="K676" s="193">
        <v>170</v>
      </c>
      <c r="L676" s="141">
        <v>18.035</v>
      </c>
      <c r="M676" s="124">
        <f t="shared" si="88"/>
        <v>151.965</v>
      </c>
      <c r="N676" s="113">
        <f t="shared" si="89"/>
        <v>0.10608823529411765</v>
      </c>
    </row>
    <row r="677" spans="1:14" hidden="1">
      <c r="A677" s="190" t="s">
        <v>462</v>
      </c>
      <c r="B677" s="190" t="s">
        <v>323</v>
      </c>
      <c r="C677" s="98">
        <v>43987</v>
      </c>
      <c r="D677" s="190">
        <v>1351</v>
      </c>
      <c r="E677" s="190" t="s">
        <v>324</v>
      </c>
      <c r="F677" s="190" t="s">
        <v>325</v>
      </c>
      <c r="G677" s="125" t="s">
        <v>472</v>
      </c>
      <c r="H677" s="125">
        <v>955374</v>
      </c>
      <c r="I677" s="190" t="s">
        <v>314</v>
      </c>
      <c r="J677" s="190" t="s">
        <v>217</v>
      </c>
      <c r="K677" s="193">
        <v>30</v>
      </c>
      <c r="L677" s="125"/>
      <c r="M677" s="124">
        <f t="shared" si="88"/>
        <v>30</v>
      </c>
      <c r="N677" s="113">
        <f t="shared" si="89"/>
        <v>0</v>
      </c>
    </row>
    <row r="678" spans="1:14" hidden="1">
      <c r="A678" s="190" t="s">
        <v>462</v>
      </c>
      <c r="B678" s="190" t="s">
        <v>323</v>
      </c>
      <c r="C678" s="98">
        <v>43987</v>
      </c>
      <c r="D678" s="190">
        <v>1351</v>
      </c>
      <c r="E678" s="190" t="s">
        <v>324</v>
      </c>
      <c r="F678" s="190" t="s">
        <v>325</v>
      </c>
      <c r="G678" s="190" t="s">
        <v>472</v>
      </c>
      <c r="H678" s="190">
        <v>955374</v>
      </c>
      <c r="I678" s="190" t="s">
        <v>314</v>
      </c>
      <c r="J678" s="190" t="s">
        <v>218</v>
      </c>
      <c r="K678" s="193">
        <v>70</v>
      </c>
      <c r="L678" s="125"/>
      <c r="M678" s="124">
        <f t="shared" si="88"/>
        <v>70</v>
      </c>
      <c r="N678" s="113">
        <f t="shared" si="89"/>
        <v>0</v>
      </c>
    </row>
    <row r="679" spans="1:14" hidden="1">
      <c r="A679" s="191" t="s">
        <v>483</v>
      </c>
      <c r="B679" s="191" t="s">
        <v>323</v>
      </c>
      <c r="C679" s="98">
        <v>43987</v>
      </c>
      <c r="D679" s="125">
        <v>1352</v>
      </c>
      <c r="E679" s="125" t="s">
        <v>324</v>
      </c>
      <c r="F679" s="191" t="s">
        <v>325</v>
      </c>
      <c r="G679" s="125" t="s">
        <v>454</v>
      </c>
      <c r="H679" s="125">
        <v>910617</v>
      </c>
      <c r="I679" s="192" t="s">
        <v>314</v>
      </c>
      <c r="J679" s="192" t="s">
        <v>217</v>
      </c>
      <c r="K679" s="193">
        <v>101</v>
      </c>
      <c r="L679" s="125"/>
      <c r="M679" s="124">
        <f t="shared" si="88"/>
        <v>101</v>
      </c>
      <c r="N679" s="113">
        <f t="shared" si="89"/>
        <v>0</v>
      </c>
    </row>
    <row r="680" spans="1:14" hidden="1">
      <c r="A680" s="192" t="s">
        <v>483</v>
      </c>
      <c r="B680" s="192" t="s">
        <v>323</v>
      </c>
      <c r="C680" s="98">
        <v>43987</v>
      </c>
      <c r="D680" s="192">
        <v>1352</v>
      </c>
      <c r="E680" s="192" t="s">
        <v>324</v>
      </c>
      <c r="F680" s="192" t="s">
        <v>325</v>
      </c>
      <c r="G680" s="192" t="s">
        <v>454</v>
      </c>
      <c r="H680" s="192">
        <v>910617</v>
      </c>
      <c r="I680" s="192" t="s">
        <v>314</v>
      </c>
      <c r="J680" s="192" t="s">
        <v>218</v>
      </c>
      <c r="K680" s="193">
        <v>249</v>
      </c>
      <c r="L680" s="125"/>
      <c r="M680" s="124">
        <f t="shared" si="88"/>
        <v>249</v>
      </c>
      <c r="N680" s="113">
        <f t="shared" si="89"/>
        <v>0</v>
      </c>
    </row>
    <row r="681" spans="1:14" hidden="1">
      <c r="A681" s="192" t="s">
        <v>483</v>
      </c>
      <c r="B681" s="192" t="s">
        <v>323</v>
      </c>
      <c r="C681" s="98">
        <v>43987</v>
      </c>
      <c r="D681" s="192">
        <v>1352</v>
      </c>
      <c r="E681" s="192" t="s">
        <v>324</v>
      </c>
      <c r="F681" s="192" t="s">
        <v>325</v>
      </c>
      <c r="G681" s="125" t="s">
        <v>438</v>
      </c>
      <c r="H681" s="125">
        <v>968436</v>
      </c>
      <c r="I681" s="192" t="s">
        <v>314</v>
      </c>
      <c r="J681" s="192" t="s">
        <v>217</v>
      </c>
      <c r="K681" s="193">
        <v>87</v>
      </c>
      <c r="L681" s="141">
        <v>148.26499999999999</v>
      </c>
      <c r="M681" s="124">
        <f t="shared" si="88"/>
        <v>-61.264999999999986</v>
      </c>
      <c r="N681" s="113">
        <f t="shared" si="89"/>
        <v>1.7041954022988504</v>
      </c>
    </row>
    <row r="682" spans="1:14" hidden="1">
      <c r="A682" s="192" t="s">
        <v>483</v>
      </c>
      <c r="B682" s="192" t="s">
        <v>323</v>
      </c>
      <c r="C682" s="98">
        <v>43987</v>
      </c>
      <c r="D682" s="192">
        <v>1352</v>
      </c>
      <c r="E682" s="192" t="s">
        <v>324</v>
      </c>
      <c r="F682" s="192" t="s">
        <v>325</v>
      </c>
      <c r="G682" s="192" t="s">
        <v>438</v>
      </c>
      <c r="H682" s="192">
        <v>968436</v>
      </c>
      <c r="I682" s="192" t="s">
        <v>314</v>
      </c>
      <c r="J682" s="192" t="s">
        <v>218</v>
      </c>
      <c r="K682" s="193">
        <v>213</v>
      </c>
      <c r="L682" s="141">
        <v>23.254999999999999</v>
      </c>
      <c r="M682" s="124">
        <f t="shared" si="88"/>
        <v>189.745</v>
      </c>
      <c r="N682" s="113">
        <f t="shared" si="89"/>
        <v>0.10917840375586854</v>
      </c>
    </row>
    <row r="683" spans="1:14" hidden="1">
      <c r="A683" s="192" t="s">
        <v>483</v>
      </c>
      <c r="B683" s="192" t="s">
        <v>323</v>
      </c>
      <c r="C683" s="98">
        <v>43987</v>
      </c>
      <c r="D683" s="192">
        <v>1352</v>
      </c>
      <c r="E683" s="192" t="s">
        <v>324</v>
      </c>
      <c r="F683" s="192" t="s">
        <v>325</v>
      </c>
      <c r="G683" s="125" t="s">
        <v>455</v>
      </c>
      <c r="H683" s="125">
        <v>31015</v>
      </c>
      <c r="I683" s="192" t="s">
        <v>314</v>
      </c>
      <c r="J683" s="192" t="s">
        <v>217</v>
      </c>
      <c r="K683" s="193">
        <v>101</v>
      </c>
      <c r="L683" s="125"/>
      <c r="M683" s="124">
        <f t="shared" si="88"/>
        <v>101</v>
      </c>
      <c r="N683" s="113">
        <f t="shared" si="89"/>
        <v>0</v>
      </c>
    </row>
    <row r="684" spans="1:14" hidden="1">
      <c r="A684" s="192" t="s">
        <v>483</v>
      </c>
      <c r="B684" s="192" t="s">
        <v>323</v>
      </c>
      <c r="C684" s="98">
        <v>43987</v>
      </c>
      <c r="D684" s="192">
        <v>1352</v>
      </c>
      <c r="E684" s="192" t="s">
        <v>324</v>
      </c>
      <c r="F684" s="192" t="s">
        <v>325</v>
      </c>
      <c r="G684" s="192" t="s">
        <v>455</v>
      </c>
      <c r="H684" s="192">
        <v>31015</v>
      </c>
      <c r="I684" s="192" t="s">
        <v>314</v>
      </c>
      <c r="J684" s="192" t="s">
        <v>218</v>
      </c>
      <c r="K684" s="193">
        <v>249</v>
      </c>
      <c r="L684" s="125"/>
      <c r="M684" s="124">
        <f t="shared" si="88"/>
        <v>249</v>
      </c>
      <c r="N684" s="113">
        <f t="shared" si="89"/>
        <v>0</v>
      </c>
    </row>
    <row r="685" spans="1:14" hidden="1">
      <c r="A685" s="192" t="s">
        <v>483</v>
      </c>
      <c r="B685" s="192" t="s">
        <v>323</v>
      </c>
      <c r="C685" s="98">
        <v>43987</v>
      </c>
      <c r="D685" s="192">
        <v>1352</v>
      </c>
      <c r="E685" s="192" t="s">
        <v>324</v>
      </c>
      <c r="F685" s="192" t="s">
        <v>325</v>
      </c>
      <c r="G685" s="125" t="s">
        <v>614</v>
      </c>
      <c r="H685" s="125">
        <v>952323</v>
      </c>
      <c r="I685" s="192" t="s">
        <v>314</v>
      </c>
      <c r="J685" s="192" t="s">
        <v>217</v>
      </c>
      <c r="K685" s="193">
        <v>87</v>
      </c>
      <c r="L685" s="141">
        <v>15.741</v>
      </c>
      <c r="M685" s="124">
        <f t="shared" si="88"/>
        <v>71.259</v>
      </c>
      <c r="N685" s="113">
        <f t="shared" si="89"/>
        <v>0.18093103448275863</v>
      </c>
    </row>
    <row r="686" spans="1:14" hidden="1">
      <c r="A686" s="192" t="s">
        <v>483</v>
      </c>
      <c r="B686" s="192" t="s">
        <v>323</v>
      </c>
      <c r="C686" s="98">
        <v>43987</v>
      </c>
      <c r="D686" s="192">
        <v>1352</v>
      </c>
      <c r="E686" s="192" t="s">
        <v>324</v>
      </c>
      <c r="F686" s="192" t="s">
        <v>325</v>
      </c>
      <c r="G686" s="192" t="s">
        <v>614</v>
      </c>
      <c r="H686" s="192">
        <v>952323</v>
      </c>
      <c r="I686" s="192" t="s">
        <v>314</v>
      </c>
      <c r="J686" s="192" t="s">
        <v>218</v>
      </c>
      <c r="K686" s="193">
        <v>213</v>
      </c>
      <c r="L686" s="141">
        <v>35.776000000000003</v>
      </c>
      <c r="M686" s="124">
        <f t="shared" si="88"/>
        <v>177.22399999999999</v>
      </c>
      <c r="N686" s="113">
        <f t="shared" si="89"/>
        <v>0.16796244131455401</v>
      </c>
    </row>
    <row r="687" spans="1:14" hidden="1">
      <c r="A687" s="192" t="s">
        <v>483</v>
      </c>
      <c r="B687" s="192" t="s">
        <v>323</v>
      </c>
      <c r="C687" s="98">
        <v>43987</v>
      </c>
      <c r="D687" s="192">
        <v>1352</v>
      </c>
      <c r="E687" s="192" t="s">
        <v>324</v>
      </c>
      <c r="F687" s="192" t="s">
        <v>325</v>
      </c>
      <c r="G687" s="125" t="s">
        <v>446</v>
      </c>
      <c r="H687" s="125">
        <v>955516</v>
      </c>
      <c r="I687" s="192" t="s">
        <v>314</v>
      </c>
      <c r="J687" s="192" t="s">
        <v>217</v>
      </c>
      <c r="K687" s="193">
        <v>116</v>
      </c>
      <c r="L687" s="141">
        <v>16.614000000000001</v>
      </c>
      <c r="M687" s="124">
        <f t="shared" si="88"/>
        <v>99.385999999999996</v>
      </c>
      <c r="N687" s="113">
        <f t="shared" si="89"/>
        <v>0.1432241379310345</v>
      </c>
    </row>
    <row r="688" spans="1:14" hidden="1">
      <c r="A688" s="192" t="s">
        <v>483</v>
      </c>
      <c r="B688" s="192" t="s">
        <v>323</v>
      </c>
      <c r="C688" s="98">
        <v>43987</v>
      </c>
      <c r="D688" s="192">
        <v>1352</v>
      </c>
      <c r="E688" s="192" t="s">
        <v>324</v>
      </c>
      <c r="F688" s="192" t="s">
        <v>325</v>
      </c>
      <c r="G688" s="192" t="s">
        <v>446</v>
      </c>
      <c r="H688" s="192">
        <v>955516</v>
      </c>
      <c r="I688" s="192" t="s">
        <v>314</v>
      </c>
      <c r="J688" s="192" t="s">
        <v>218</v>
      </c>
      <c r="K688" s="193">
        <v>284</v>
      </c>
      <c r="L688" s="141">
        <v>15.336</v>
      </c>
      <c r="M688" s="124">
        <f t="shared" si="88"/>
        <v>268.66399999999999</v>
      </c>
      <c r="N688" s="113">
        <f t="shared" si="89"/>
        <v>5.3999999999999999E-2</v>
      </c>
    </row>
    <row r="689" spans="1:14" hidden="1">
      <c r="A689" s="192" t="s">
        <v>483</v>
      </c>
      <c r="B689" s="192" t="s">
        <v>323</v>
      </c>
      <c r="C689" s="98">
        <v>43987</v>
      </c>
      <c r="D689" s="192">
        <v>1352</v>
      </c>
      <c r="E689" s="192" t="s">
        <v>324</v>
      </c>
      <c r="F689" s="192" t="s">
        <v>325</v>
      </c>
      <c r="G689" s="125" t="s">
        <v>615</v>
      </c>
      <c r="H689" s="125">
        <v>954609</v>
      </c>
      <c r="I689" s="192" t="s">
        <v>314</v>
      </c>
      <c r="J689" s="192" t="s">
        <v>217</v>
      </c>
      <c r="K689" s="193">
        <v>130</v>
      </c>
      <c r="L689" s="141">
        <v>14.96</v>
      </c>
      <c r="M689" s="124">
        <f t="shared" si="88"/>
        <v>115.03999999999999</v>
      </c>
      <c r="N689" s="113">
        <f t="shared" si="89"/>
        <v>0.11507692307692308</v>
      </c>
    </row>
    <row r="690" spans="1:14" hidden="1">
      <c r="A690" s="192" t="s">
        <v>483</v>
      </c>
      <c r="B690" s="192" t="s">
        <v>323</v>
      </c>
      <c r="C690" s="98">
        <v>43987</v>
      </c>
      <c r="D690" s="192">
        <v>1352</v>
      </c>
      <c r="E690" s="192" t="s">
        <v>324</v>
      </c>
      <c r="F690" s="192" t="s">
        <v>325</v>
      </c>
      <c r="G690" s="192" t="s">
        <v>615</v>
      </c>
      <c r="H690" s="192">
        <v>954609</v>
      </c>
      <c r="I690" s="192" t="s">
        <v>314</v>
      </c>
      <c r="J690" s="192" t="s">
        <v>218</v>
      </c>
      <c r="K690" s="193">
        <v>320</v>
      </c>
      <c r="L690" s="141">
        <v>4.62</v>
      </c>
      <c r="M690" s="124">
        <f t="shared" si="88"/>
        <v>315.38</v>
      </c>
      <c r="N690" s="113">
        <f t="shared" si="89"/>
        <v>1.4437500000000001E-2</v>
      </c>
    </row>
    <row r="691" spans="1:14" hidden="1">
      <c r="A691" s="192" t="s">
        <v>483</v>
      </c>
      <c r="B691" s="192" t="s">
        <v>323</v>
      </c>
      <c r="C691" s="98">
        <v>43987</v>
      </c>
      <c r="D691" s="192">
        <v>1352</v>
      </c>
      <c r="E691" s="192" t="s">
        <v>324</v>
      </c>
      <c r="F691" s="192" t="s">
        <v>325</v>
      </c>
      <c r="G691" s="125" t="s">
        <v>616</v>
      </c>
      <c r="H691" s="125">
        <v>955330</v>
      </c>
      <c r="I691" s="192" t="s">
        <v>314</v>
      </c>
      <c r="J691" s="192" t="s">
        <v>217</v>
      </c>
      <c r="K691" s="193">
        <v>101</v>
      </c>
      <c r="L691" s="141">
        <v>35.865000000000002</v>
      </c>
      <c r="M691" s="124">
        <f t="shared" si="88"/>
        <v>65.134999999999991</v>
      </c>
      <c r="N691" s="113">
        <f t="shared" si="89"/>
        <v>0.35509900990099014</v>
      </c>
    </row>
    <row r="692" spans="1:14" hidden="1">
      <c r="A692" s="192" t="s">
        <v>483</v>
      </c>
      <c r="B692" s="192" t="s">
        <v>323</v>
      </c>
      <c r="C692" s="98">
        <v>43987</v>
      </c>
      <c r="D692" s="192">
        <v>1352</v>
      </c>
      <c r="E692" s="192" t="s">
        <v>324</v>
      </c>
      <c r="F692" s="192" t="s">
        <v>325</v>
      </c>
      <c r="G692" s="192" t="s">
        <v>616</v>
      </c>
      <c r="H692" s="192">
        <v>955330</v>
      </c>
      <c r="I692" s="192" t="s">
        <v>314</v>
      </c>
      <c r="J692" s="192" t="s">
        <v>218</v>
      </c>
      <c r="K692" s="193">
        <v>249</v>
      </c>
      <c r="L692" s="141">
        <v>1.835</v>
      </c>
      <c r="M692" s="124">
        <f t="shared" si="88"/>
        <v>247.16499999999999</v>
      </c>
      <c r="N692" s="113">
        <f t="shared" si="89"/>
        <v>7.3694779116465865E-3</v>
      </c>
    </row>
    <row r="693" spans="1:14" hidden="1">
      <c r="A693" s="192" t="s">
        <v>483</v>
      </c>
      <c r="B693" s="192" t="s">
        <v>323</v>
      </c>
      <c r="C693" s="98">
        <v>43987</v>
      </c>
      <c r="D693" s="192">
        <v>1352</v>
      </c>
      <c r="E693" s="192" t="s">
        <v>324</v>
      </c>
      <c r="F693" s="192" t="s">
        <v>325</v>
      </c>
      <c r="G693" s="125" t="s">
        <v>617</v>
      </c>
      <c r="H693" s="125">
        <v>954241</v>
      </c>
      <c r="I693" s="192" t="s">
        <v>314</v>
      </c>
      <c r="J693" s="192" t="s">
        <v>217</v>
      </c>
      <c r="K693" s="193">
        <v>101</v>
      </c>
      <c r="L693" s="141">
        <v>190.321</v>
      </c>
      <c r="M693" s="124">
        <f t="shared" si="88"/>
        <v>-89.320999999999998</v>
      </c>
      <c r="N693" s="113">
        <f t="shared" si="89"/>
        <v>1.8843663366336634</v>
      </c>
    </row>
    <row r="694" spans="1:14" hidden="1">
      <c r="A694" s="192" t="s">
        <v>483</v>
      </c>
      <c r="B694" s="192" t="s">
        <v>323</v>
      </c>
      <c r="C694" s="98">
        <v>43987</v>
      </c>
      <c r="D694" s="192">
        <v>1352</v>
      </c>
      <c r="E694" s="192" t="s">
        <v>324</v>
      </c>
      <c r="F694" s="192" t="s">
        <v>325</v>
      </c>
      <c r="G694" s="192" t="s">
        <v>617</v>
      </c>
      <c r="H694" s="192">
        <v>954241</v>
      </c>
      <c r="I694" s="192" t="s">
        <v>314</v>
      </c>
      <c r="J694" s="192" t="s">
        <v>218</v>
      </c>
      <c r="K694" s="193">
        <v>249</v>
      </c>
      <c r="L694" s="141">
        <v>6.6390000000000002</v>
      </c>
      <c r="M694" s="124">
        <f t="shared" si="88"/>
        <v>242.36099999999999</v>
      </c>
      <c r="N694" s="113">
        <f t="shared" si="89"/>
        <v>2.6662650602409639E-2</v>
      </c>
    </row>
    <row r="695" spans="1:14" hidden="1">
      <c r="A695" s="192" t="s">
        <v>483</v>
      </c>
      <c r="B695" s="192" t="s">
        <v>309</v>
      </c>
      <c r="C695" s="98">
        <v>43987</v>
      </c>
      <c r="D695" s="192">
        <v>1352</v>
      </c>
      <c r="E695" s="192" t="s">
        <v>324</v>
      </c>
      <c r="F695" s="192" t="s">
        <v>325</v>
      </c>
      <c r="G695" s="125" t="s">
        <v>618</v>
      </c>
      <c r="H695" s="125">
        <v>31043</v>
      </c>
      <c r="I695" s="192" t="s">
        <v>314</v>
      </c>
      <c r="J695" s="192" t="s">
        <v>217</v>
      </c>
      <c r="K695" s="257">
        <v>143</v>
      </c>
      <c r="L695" s="125"/>
      <c r="M695" s="259">
        <f>K695-(L695+L696+L697+L698)</f>
        <v>143</v>
      </c>
      <c r="N695" s="261">
        <f>(L695+L696+L697+L698)/K695</f>
        <v>0</v>
      </c>
    </row>
    <row r="696" spans="1:14" hidden="1">
      <c r="A696" s="192" t="s">
        <v>483</v>
      </c>
      <c r="B696" s="192" t="s">
        <v>309</v>
      </c>
      <c r="C696" s="98">
        <v>43987</v>
      </c>
      <c r="D696" s="192">
        <v>1352</v>
      </c>
      <c r="E696" s="192" t="s">
        <v>324</v>
      </c>
      <c r="F696" s="192" t="s">
        <v>325</v>
      </c>
      <c r="G696" s="125" t="s">
        <v>295</v>
      </c>
      <c r="H696" s="125">
        <v>923223</v>
      </c>
      <c r="I696" s="192" t="s">
        <v>314</v>
      </c>
      <c r="J696" s="192" t="s">
        <v>217</v>
      </c>
      <c r="K696" s="263"/>
      <c r="L696" s="192"/>
      <c r="M696" s="264"/>
      <c r="N696" s="265"/>
    </row>
    <row r="697" spans="1:14" hidden="1">
      <c r="A697" s="192" t="s">
        <v>483</v>
      </c>
      <c r="B697" s="192" t="s">
        <v>309</v>
      </c>
      <c r="C697" s="98">
        <v>43987</v>
      </c>
      <c r="D697" s="192">
        <v>1352</v>
      </c>
      <c r="E697" s="192" t="s">
        <v>324</v>
      </c>
      <c r="F697" s="192" t="s">
        <v>325</v>
      </c>
      <c r="G697" s="125" t="s">
        <v>619</v>
      </c>
      <c r="H697" s="125">
        <v>902767</v>
      </c>
      <c r="I697" s="192" t="s">
        <v>314</v>
      </c>
      <c r="J697" s="192" t="s">
        <v>217</v>
      </c>
      <c r="K697" s="263"/>
      <c r="L697" s="192"/>
      <c r="M697" s="264"/>
      <c r="N697" s="265"/>
    </row>
    <row r="698" spans="1:14" hidden="1">
      <c r="A698" s="192" t="s">
        <v>483</v>
      </c>
      <c r="B698" s="192" t="s">
        <v>309</v>
      </c>
      <c r="C698" s="98">
        <v>43987</v>
      </c>
      <c r="D698" s="192">
        <v>1352</v>
      </c>
      <c r="E698" s="192" t="s">
        <v>324</v>
      </c>
      <c r="F698" s="192" t="s">
        <v>325</v>
      </c>
      <c r="G698" s="125" t="s">
        <v>620</v>
      </c>
      <c r="H698" s="125">
        <v>968579</v>
      </c>
      <c r="I698" s="192" t="s">
        <v>314</v>
      </c>
      <c r="J698" s="192" t="s">
        <v>217</v>
      </c>
      <c r="K698" s="258"/>
      <c r="L698" s="192"/>
      <c r="M698" s="260"/>
      <c r="N698" s="262"/>
    </row>
    <row r="699" spans="1:14" hidden="1">
      <c r="A699" s="192" t="s">
        <v>483</v>
      </c>
      <c r="B699" s="192" t="s">
        <v>309</v>
      </c>
      <c r="C699" s="98">
        <v>43987</v>
      </c>
      <c r="D699" s="192">
        <v>1352</v>
      </c>
      <c r="E699" s="192" t="s">
        <v>324</v>
      </c>
      <c r="F699" s="192" t="s">
        <v>325</v>
      </c>
      <c r="G699" s="192" t="s">
        <v>618</v>
      </c>
      <c r="H699" s="192">
        <v>31043</v>
      </c>
      <c r="I699" s="192" t="s">
        <v>314</v>
      </c>
      <c r="J699" s="192" t="s">
        <v>218</v>
      </c>
      <c r="K699" s="257">
        <v>357</v>
      </c>
      <c r="L699" s="192"/>
      <c r="M699" s="259">
        <f>K699-(L699+L700+L701+L702)</f>
        <v>357</v>
      </c>
      <c r="N699" s="261">
        <f>(L699+L700+L701+L702)/K699</f>
        <v>0</v>
      </c>
    </row>
    <row r="700" spans="1:14" hidden="1">
      <c r="A700" s="192" t="s">
        <v>483</v>
      </c>
      <c r="B700" s="192" t="s">
        <v>309</v>
      </c>
      <c r="C700" s="98">
        <v>43987</v>
      </c>
      <c r="D700" s="192">
        <v>1352</v>
      </c>
      <c r="E700" s="192" t="s">
        <v>324</v>
      </c>
      <c r="F700" s="192" t="s">
        <v>325</v>
      </c>
      <c r="G700" s="192" t="s">
        <v>295</v>
      </c>
      <c r="H700" s="192">
        <v>923223</v>
      </c>
      <c r="I700" s="192" t="s">
        <v>314</v>
      </c>
      <c r="J700" s="192" t="s">
        <v>218</v>
      </c>
      <c r="K700" s="263"/>
      <c r="L700" s="125"/>
      <c r="M700" s="264"/>
      <c r="N700" s="265"/>
    </row>
    <row r="701" spans="1:14" hidden="1">
      <c r="A701" s="192" t="s">
        <v>483</v>
      </c>
      <c r="B701" s="192" t="s">
        <v>309</v>
      </c>
      <c r="C701" s="98">
        <v>43987</v>
      </c>
      <c r="D701" s="192">
        <v>1352</v>
      </c>
      <c r="E701" s="192" t="s">
        <v>324</v>
      </c>
      <c r="F701" s="192" t="s">
        <v>325</v>
      </c>
      <c r="G701" s="192" t="s">
        <v>619</v>
      </c>
      <c r="H701" s="192">
        <v>902767</v>
      </c>
      <c r="I701" s="192" t="s">
        <v>314</v>
      </c>
      <c r="J701" s="192" t="s">
        <v>218</v>
      </c>
      <c r="K701" s="263"/>
      <c r="L701" s="192"/>
      <c r="M701" s="264"/>
      <c r="N701" s="265"/>
    </row>
    <row r="702" spans="1:14" hidden="1">
      <c r="A702" s="192" t="s">
        <v>483</v>
      </c>
      <c r="B702" s="192" t="s">
        <v>309</v>
      </c>
      <c r="C702" s="98">
        <v>43987</v>
      </c>
      <c r="D702" s="192">
        <v>1352</v>
      </c>
      <c r="E702" s="192" t="s">
        <v>324</v>
      </c>
      <c r="F702" s="192" t="s">
        <v>325</v>
      </c>
      <c r="G702" s="192" t="s">
        <v>620</v>
      </c>
      <c r="H702" s="192">
        <v>968579</v>
      </c>
      <c r="I702" s="192" t="s">
        <v>314</v>
      </c>
      <c r="J702" s="192" t="s">
        <v>218</v>
      </c>
      <c r="K702" s="258"/>
      <c r="L702" s="125"/>
      <c r="M702" s="260"/>
      <c r="N702" s="262"/>
    </row>
    <row r="703" spans="1:14" hidden="1">
      <c r="A703" s="192" t="s">
        <v>483</v>
      </c>
      <c r="B703" s="192" t="s">
        <v>309</v>
      </c>
      <c r="C703" s="98">
        <v>43987</v>
      </c>
      <c r="D703" s="192">
        <v>1352</v>
      </c>
      <c r="E703" s="192" t="s">
        <v>324</v>
      </c>
      <c r="F703" s="192" t="s">
        <v>325</v>
      </c>
      <c r="G703" s="125" t="s">
        <v>479</v>
      </c>
      <c r="H703" s="125">
        <v>960538</v>
      </c>
      <c r="I703" s="192" t="s">
        <v>314</v>
      </c>
      <c r="J703" s="192" t="s">
        <v>217</v>
      </c>
      <c r="K703" s="257">
        <v>348</v>
      </c>
      <c r="L703" s="192"/>
      <c r="M703" s="259">
        <f>K703-(L703+L704+L705)</f>
        <v>348</v>
      </c>
      <c r="N703" s="261">
        <f>(L703+L704+L705)/K703</f>
        <v>0</v>
      </c>
    </row>
    <row r="704" spans="1:14" hidden="1">
      <c r="A704" s="192" t="s">
        <v>483</v>
      </c>
      <c r="B704" s="192" t="s">
        <v>309</v>
      </c>
      <c r="C704" s="98">
        <v>43987</v>
      </c>
      <c r="D704" s="192">
        <v>1352</v>
      </c>
      <c r="E704" s="192" t="s">
        <v>324</v>
      </c>
      <c r="F704" s="192" t="s">
        <v>325</v>
      </c>
      <c r="G704" s="125" t="s">
        <v>482</v>
      </c>
      <c r="H704" s="125">
        <v>967898</v>
      </c>
      <c r="I704" s="192" t="s">
        <v>314</v>
      </c>
      <c r="J704" s="192" t="s">
        <v>217</v>
      </c>
      <c r="K704" s="263"/>
      <c r="L704" s="125"/>
      <c r="M704" s="264"/>
      <c r="N704" s="265"/>
    </row>
    <row r="705" spans="1:14" hidden="1">
      <c r="A705" s="192" t="s">
        <v>483</v>
      </c>
      <c r="B705" s="192" t="s">
        <v>309</v>
      </c>
      <c r="C705" s="98">
        <v>43987</v>
      </c>
      <c r="D705" s="192">
        <v>1352</v>
      </c>
      <c r="E705" s="192" t="s">
        <v>324</v>
      </c>
      <c r="F705" s="192" t="s">
        <v>325</v>
      </c>
      <c r="G705" s="125" t="s">
        <v>481</v>
      </c>
      <c r="H705" s="125">
        <v>960539</v>
      </c>
      <c r="I705" s="192" t="s">
        <v>314</v>
      </c>
      <c r="J705" s="192" t="s">
        <v>217</v>
      </c>
      <c r="K705" s="258"/>
      <c r="L705" s="192"/>
      <c r="M705" s="260"/>
      <c r="N705" s="262"/>
    </row>
    <row r="706" spans="1:14" hidden="1">
      <c r="A706" s="192" t="s">
        <v>483</v>
      </c>
      <c r="B706" s="192" t="s">
        <v>309</v>
      </c>
      <c r="C706" s="98">
        <v>43987</v>
      </c>
      <c r="D706" s="192">
        <v>1352</v>
      </c>
      <c r="E706" s="192" t="s">
        <v>324</v>
      </c>
      <c r="F706" s="192" t="s">
        <v>325</v>
      </c>
      <c r="G706" s="192" t="s">
        <v>479</v>
      </c>
      <c r="H706" s="192">
        <v>960538</v>
      </c>
      <c r="I706" s="192" t="s">
        <v>314</v>
      </c>
      <c r="J706" s="192" t="s">
        <v>218</v>
      </c>
      <c r="K706" s="257">
        <v>852</v>
      </c>
      <c r="L706" s="125"/>
      <c r="M706" s="259">
        <f>K706-(L706+L707+L708)</f>
        <v>852</v>
      </c>
      <c r="N706" s="261">
        <f>(L706+L707+L708)/K706</f>
        <v>0</v>
      </c>
    </row>
    <row r="707" spans="1:14" hidden="1">
      <c r="A707" s="192" t="s">
        <v>483</v>
      </c>
      <c r="B707" s="192" t="s">
        <v>309</v>
      </c>
      <c r="C707" s="98">
        <v>43987</v>
      </c>
      <c r="D707" s="192">
        <v>1352</v>
      </c>
      <c r="E707" s="192" t="s">
        <v>324</v>
      </c>
      <c r="F707" s="192" t="s">
        <v>325</v>
      </c>
      <c r="G707" s="192" t="s">
        <v>482</v>
      </c>
      <c r="H707" s="192">
        <v>967898</v>
      </c>
      <c r="I707" s="192" t="s">
        <v>314</v>
      </c>
      <c r="J707" s="192" t="s">
        <v>218</v>
      </c>
      <c r="K707" s="263"/>
      <c r="L707" s="192"/>
      <c r="M707" s="264"/>
      <c r="N707" s="265"/>
    </row>
    <row r="708" spans="1:14" hidden="1">
      <c r="A708" s="192" t="s">
        <v>483</v>
      </c>
      <c r="B708" s="192" t="s">
        <v>309</v>
      </c>
      <c r="C708" s="98">
        <v>43987</v>
      </c>
      <c r="D708" s="192">
        <v>1352</v>
      </c>
      <c r="E708" s="192" t="s">
        <v>324</v>
      </c>
      <c r="F708" s="192" t="s">
        <v>325</v>
      </c>
      <c r="G708" s="192" t="s">
        <v>481</v>
      </c>
      <c r="H708" s="192">
        <v>960539</v>
      </c>
      <c r="I708" s="192" t="s">
        <v>314</v>
      </c>
      <c r="J708" s="192" t="s">
        <v>218</v>
      </c>
      <c r="K708" s="258"/>
      <c r="L708" s="125"/>
      <c r="M708" s="260"/>
      <c r="N708" s="262"/>
    </row>
    <row r="709" spans="1:14" hidden="1">
      <c r="A709" s="125" t="s">
        <v>621</v>
      </c>
      <c r="B709" s="125" t="s">
        <v>309</v>
      </c>
      <c r="C709" s="98">
        <v>44018</v>
      </c>
      <c r="D709" s="125">
        <v>1541</v>
      </c>
      <c r="E709" s="192" t="s">
        <v>324</v>
      </c>
      <c r="F709" s="192" t="s">
        <v>325</v>
      </c>
      <c r="G709" s="194" t="s">
        <v>623</v>
      </c>
      <c r="H709" s="194">
        <v>957816</v>
      </c>
      <c r="I709" s="192" t="s">
        <v>314</v>
      </c>
      <c r="J709" s="192" t="s">
        <v>217</v>
      </c>
      <c r="K709" s="257">
        <v>182.43199999999999</v>
      </c>
      <c r="L709" s="125"/>
      <c r="M709" s="259">
        <f t="shared" ref="M709" si="90">K709-(L709+L710)</f>
        <v>182.43199999999999</v>
      </c>
      <c r="N709" s="261">
        <f t="shared" ref="N709" si="91">(L709+L710)/K709</f>
        <v>0</v>
      </c>
    </row>
    <row r="710" spans="1:14" hidden="1">
      <c r="A710" s="192" t="s">
        <v>621</v>
      </c>
      <c r="B710" s="192" t="s">
        <v>309</v>
      </c>
      <c r="C710" s="98">
        <v>44018</v>
      </c>
      <c r="D710" s="192">
        <v>1541</v>
      </c>
      <c r="E710" s="192" t="s">
        <v>324</v>
      </c>
      <c r="F710" s="192" t="s">
        <v>325</v>
      </c>
      <c r="G710" s="194" t="s">
        <v>622</v>
      </c>
      <c r="H710" s="194">
        <v>924618</v>
      </c>
      <c r="I710" s="192" t="s">
        <v>314</v>
      </c>
      <c r="J710" s="192" t="s">
        <v>217</v>
      </c>
      <c r="K710" s="258"/>
      <c r="L710" s="125"/>
      <c r="M710" s="260"/>
      <c r="N710" s="262"/>
    </row>
    <row r="711" spans="1:14" hidden="1">
      <c r="A711" s="192" t="s">
        <v>621</v>
      </c>
      <c r="B711" s="192" t="s">
        <v>309</v>
      </c>
      <c r="C711" s="98">
        <v>44018</v>
      </c>
      <c r="D711" s="192">
        <v>1541</v>
      </c>
      <c r="E711" s="192" t="s">
        <v>324</v>
      </c>
      <c r="F711" s="192" t="s">
        <v>325</v>
      </c>
      <c r="G711" s="194" t="s">
        <v>623</v>
      </c>
      <c r="H711" s="194">
        <v>957816</v>
      </c>
      <c r="I711" s="192" t="s">
        <v>314</v>
      </c>
      <c r="J711" s="192" t="s">
        <v>218</v>
      </c>
      <c r="K711" s="257">
        <v>393.24900000000002</v>
      </c>
      <c r="L711" s="125"/>
      <c r="M711" s="259">
        <f t="shared" ref="M711" si="92">K711-(L711+L712)</f>
        <v>393.24900000000002</v>
      </c>
      <c r="N711" s="261">
        <f t="shared" ref="N711" si="93">(L711+L712)/K711</f>
        <v>0</v>
      </c>
    </row>
    <row r="712" spans="1:14" hidden="1">
      <c r="A712" s="192" t="s">
        <v>621</v>
      </c>
      <c r="B712" s="192" t="s">
        <v>309</v>
      </c>
      <c r="C712" s="98">
        <v>44018</v>
      </c>
      <c r="D712" s="192">
        <v>1541</v>
      </c>
      <c r="E712" s="192" t="s">
        <v>324</v>
      </c>
      <c r="F712" s="192" t="s">
        <v>325</v>
      </c>
      <c r="G712" s="194" t="s">
        <v>622</v>
      </c>
      <c r="H712" s="194">
        <v>924618</v>
      </c>
      <c r="I712" s="192" t="s">
        <v>314</v>
      </c>
      <c r="J712" s="192" t="s">
        <v>218</v>
      </c>
      <c r="K712" s="258"/>
      <c r="L712" s="125"/>
      <c r="M712" s="260"/>
      <c r="N712" s="262"/>
    </row>
    <row r="713" spans="1:14">
      <c r="A713" s="125"/>
      <c r="B713" s="125"/>
      <c r="C713" s="98"/>
      <c r="D713" s="125"/>
      <c r="E713" s="125"/>
      <c r="F713" s="125"/>
      <c r="G713" s="194"/>
      <c r="H713" s="194"/>
      <c r="I713" s="194"/>
      <c r="J713" s="194"/>
      <c r="K713" s="193"/>
      <c r="L713" s="125"/>
      <c r="M713" s="124"/>
      <c r="N713" s="126"/>
    </row>
    <row r="714" spans="1:14">
      <c r="A714" s="125"/>
      <c r="B714" s="125"/>
      <c r="C714" s="98"/>
      <c r="D714" s="125"/>
      <c r="E714" s="125"/>
      <c r="F714" s="125"/>
      <c r="G714" s="194"/>
      <c r="H714" s="194"/>
      <c r="I714" s="194"/>
      <c r="J714" s="194"/>
      <c r="K714" s="193"/>
      <c r="L714" s="125"/>
      <c r="M714" s="124"/>
      <c r="N714" s="126"/>
    </row>
    <row r="715" spans="1:14">
      <c r="A715" s="125"/>
      <c r="B715" s="125"/>
      <c r="C715" s="98"/>
      <c r="D715" s="125"/>
      <c r="E715" s="125"/>
      <c r="F715" s="125"/>
      <c r="G715" s="194"/>
      <c r="H715" s="194"/>
      <c r="I715" s="194"/>
      <c r="J715" s="194"/>
      <c r="K715" s="193"/>
      <c r="L715" s="125"/>
      <c r="M715" s="124"/>
      <c r="N715" s="126"/>
    </row>
    <row r="716" spans="1:14">
      <c r="A716" s="125"/>
      <c r="B716" s="125"/>
      <c r="C716" s="98"/>
      <c r="D716" s="125"/>
      <c r="E716" s="125"/>
      <c r="F716" s="125"/>
      <c r="G716" s="194"/>
      <c r="H716" s="194"/>
      <c r="I716" s="194"/>
      <c r="J716" s="194"/>
      <c r="K716" s="193"/>
      <c r="L716" s="125"/>
      <c r="M716" s="124"/>
      <c r="N716" s="126"/>
    </row>
    <row r="717" spans="1:14">
      <c r="A717" s="125"/>
      <c r="B717" s="125"/>
      <c r="C717" s="98"/>
      <c r="D717" s="125"/>
      <c r="E717" s="125"/>
      <c r="F717" s="125"/>
      <c r="G717" s="125"/>
      <c r="H717" s="125"/>
      <c r="I717" s="125"/>
      <c r="J717" s="125"/>
      <c r="K717" s="193"/>
      <c r="L717" s="125"/>
      <c r="M717" s="124"/>
      <c r="N717" s="126"/>
    </row>
    <row r="718" spans="1:14">
      <c r="A718" s="125"/>
      <c r="B718" s="125"/>
      <c r="C718" s="98"/>
      <c r="D718" s="125"/>
      <c r="E718" s="125"/>
      <c r="F718" s="125"/>
      <c r="G718" s="125"/>
      <c r="H718" s="125"/>
      <c r="I718" s="125"/>
      <c r="J718" s="125"/>
      <c r="K718" s="193"/>
      <c r="L718" s="125"/>
      <c r="M718" s="124"/>
      <c r="N718" s="126"/>
    </row>
    <row r="719" spans="1:14">
      <c r="A719" s="125"/>
      <c r="B719" s="125"/>
      <c r="C719" s="98"/>
      <c r="D719" s="125"/>
      <c r="E719" s="125"/>
      <c r="F719" s="125"/>
      <c r="G719" s="125"/>
      <c r="H719" s="125"/>
      <c r="I719" s="125"/>
      <c r="J719" s="125"/>
      <c r="K719" s="193"/>
      <c r="L719" s="125"/>
      <c r="M719" s="124"/>
      <c r="N719" s="126"/>
    </row>
    <row r="720" spans="1:14">
      <c r="A720" s="125"/>
      <c r="B720" s="125"/>
      <c r="C720" s="98"/>
      <c r="D720" s="125"/>
      <c r="E720" s="125"/>
      <c r="F720" s="125"/>
      <c r="G720" s="125"/>
      <c r="H720" s="125"/>
      <c r="I720" s="125"/>
      <c r="J720" s="125"/>
      <c r="K720" s="193"/>
      <c r="L720" s="125"/>
      <c r="M720" s="124"/>
      <c r="N720" s="126"/>
    </row>
    <row r="721" spans="1:14">
      <c r="A721" s="125"/>
      <c r="B721" s="125"/>
      <c r="C721" s="98"/>
      <c r="D721" s="125"/>
      <c r="E721" s="125"/>
      <c r="F721" s="125"/>
      <c r="G721" s="125"/>
      <c r="H721" s="125"/>
      <c r="I721" s="125"/>
      <c r="J721" s="125"/>
      <c r="K721" s="193"/>
      <c r="L721" s="125"/>
      <c r="M721" s="124"/>
      <c r="N721" s="126"/>
    </row>
    <row r="722" spans="1:14">
      <c r="A722" s="125"/>
      <c r="B722" s="125"/>
      <c r="C722" s="98"/>
      <c r="D722" s="125"/>
      <c r="E722" s="125"/>
      <c r="F722" s="125"/>
      <c r="G722" s="125"/>
      <c r="H722" s="125"/>
      <c r="I722" s="125"/>
      <c r="J722" s="125"/>
      <c r="K722" s="193"/>
      <c r="L722" s="125"/>
      <c r="M722" s="124"/>
      <c r="N722" s="126"/>
    </row>
    <row r="723" spans="1:14">
      <c r="A723" s="125"/>
      <c r="B723" s="125"/>
      <c r="C723" s="98"/>
      <c r="D723" s="125"/>
      <c r="E723" s="125"/>
      <c r="F723" s="125"/>
      <c r="G723" s="125"/>
      <c r="H723" s="125"/>
      <c r="I723" s="125"/>
      <c r="J723" s="125"/>
      <c r="K723" s="193"/>
      <c r="L723" s="125"/>
      <c r="M723" s="124"/>
      <c r="N723" s="126"/>
    </row>
    <row r="724" spans="1:14">
      <c r="A724" s="125"/>
      <c r="B724" s="125"/>
      <c r="C724" s="98"/>
      <c r="D724" s="125"/>
      <c r="E724" s="125"/>
      <c r="F724" s="125"/>
      <c r="G724" s="125"/>
      <c r="H724" s="125"/>
      <c r="I724" s="125"/>
      <c r="J724" s="125"/>
      <c r="K724" s="193"/>
      <c r="L724" s="125"/>
      <c r="M724" s="124"/>
      <c r="N724" s="126"/>
    </row>
    <row r="725" spans="1:14">
      <c r="A725" s="125"/>
      <c r="B725" s="125"/>
      <c r="C725" s="98"/>
      <c r="D725" s="125"/>
      <c r="E725" s="125"/>
      <c r="F725" s="125"/>
      <c r="G725" s="125"/>
      <c r="H725" s="125"/>
      <c r="I725" s="125"/>
      <c r="J725" s="125"/>
      <c r="K725" s="193"/>
      <c r="L725" s="125"/>
      <c r="M725" s="124"/>
      <c r="N725" s="126"/>
    </row>
    <row r="726" spans="1:14">
      <c r="A726" s="125"/>
      <c r="B726" s="125"/>
      <c r="C726" s="98"/>
      <c r="D726" s="125"/>
      <c r="E726" s="125"/>
      <c r="F726" s="125"/>
      <c r="G726" s="125"/>
      <c r="H726" s="125"/>
      <c r="I726" s="125"/>
      <c r="J726" s="125"/>
      <c r="K726" s="193"/>
      <c r="L726" s="125"/>
      <c r="M726" s="124"/>
      <c r="N726" s="126"/>
    </row>
    <row r="727" spans="1:14">
      <c r="A727" s="125"/>
      <c r="B727" s="125"/>
      <c r="C727" s="98"/>
      <c r="D727" s="125"/>
      <c r="E727" s="125"/>
      <c r="F727" s="125"/>
      <c r="G727" s="125"/>
      <c r="H727" s="125"/>
      <c r="I727" s="125"/>
      <c r="J727" s="125"/>
      <c r="K727" s="193"/>
      <c r="L727" s="125"/>
      <c r="M727" s="124"/>
      <c r="N727" s="126"/>
    </row>
    <row r="728" spans="1:14">
      <c r="A728" s="125"/>
      <c r="B728" s="125"/>
      <c r="C728" s="98"/>
      <c r="D728" s="125"/>
      <c r="E728" s="125"/>
      <c r="F728" s="125"/>
      <c r="G728" s="125"/>
      <c r="H728" s="125"/>
      <c r="I728" s="125"/>
      <c r="J728" s="125"/>
      <c r="K728" s="193"/>
      <c r="L728" s="125"/>
      <c r="M728" s="124"/>
      <c r="N728" s="126"/>
    </row>
    <row r="729" spans="1:14">
      <c r="A729" s="125"/>
      <c r="B729" s="125"/>
      <c r="C729" s="98"/>
      <c r="D729" s="125"/>
      <c r="E729" s="125"/>
      <c r="F729" s="125"/>
      <c r="G729" s="125"/>
      <c r="H729" s="125"/>
      <c r="I729" s="125"/>
      <c r="J729" s="125"/>
      <c r="K729" s="193"/>
      <c r="L729" s="125"/>
      <c r="M729" s="124"/>
      <c r="N729" s="126"/>
    </row>
    <row r="730" spans="1:14">
      <c r="A730" s="125"/>
      <c r="B730" s="125"/>
      <c r="C730" s="98"/>
      <c r="D730" s="125"/>
      <c r="E730" s="125"/>
      <c r="F730" s="125"/>
      <c r="G730" s="125"/>
      <c r="H730" s="125"/>
      <c r="I730" s="125"/>
      <c r="J730" s="125"/>
      <c r="K730" s="193"/>
      <c r="L730" s="125"/>
      <c r="M730" s="124"/>
      <c r="N730" s="126"/>
    </row>
    <row r="731" spans="1:14">
      <c r="A731" s="125"/>
      <c r="B731" s="125"/>
      <c r="C731" s="98"/>
      <c r="D731" s="125"/>
      <c r="E731" s="125"/>
      <c r="F731" s="125"/>
      <c r="G731" s="125"/>
      <c r="H731" s="125"/>
      <c r="I731" s="125"/>
      <c r="J731" s="125"/>
      <c r="K731" s="193"/>
      <c r="L731" s="125"/>
      <c r="M731" s="124"/>
      <c r="N731" s="126"/>
    </row>
    <row r="732" spans="1:14">
      <c r="A732" s="125"/>
      <c r="B732" s="125"/>
      <c r="C732" s="98"/>
      <c r="D732" s="125"/>
      <c r="E732" s="125"/>
      <c r="F732" s="125"/>
      <c r="G732" s="125"/>
      <c r="H732" s="125"/>
      <c r="I732" s="125"/>
      <c r="J732" s="125"/>
      <c r="K732" s="193"/>
      <c r="L732" s="125"/>
      <c r="M732" s="124"/>
      <c r="N732" s="126"/>
    </row>
    <row r="733" spans="1:14">
      <c r="A733" s="125"/>
      <c r="B733" s="125"/>
      <c r="C733" s="98"/>
      <c r="D733" s="125"/>
      <c r="E733" s="125"/>
      <c r="F733" s="125"/>
      <c r="G733" s="125"/>
      <c r="H733" s="125"/>
      <c r="I733" s="125"/>
      <c r="J733" s="125"/>
      <c r="K733" s="193"/>
      <c r="L733" s="125"/>
      <c r="M733" s="124"/>
      <c r="N733" s="126"/>
    </row>
    <row r="734" spans="1:14">
      <c r="A734" s="125"/>
      <c r="B734" s="125"/>
      <c r="C734" s="98"/>
      <c r="D734" s="125"/>
      <c r="E734" s="125"/>
      <c r="F734" s="125"/>
      <c r="G734" s="125"/>
      <c r="H734" s="125"/>
      <c r="I734" s="125"/>
      <c r="J734" s="125"/>
      <c r="K734" s="193"/>
      <c r="L734" s="125"/>
      <c r="M734" s="124"/>
      <c r="N734" s="126"/>
    </row>
    <row r="735" spans="1:14">
      <c r="A735" s="125"/>
      <c r="B735" s="125"/>
      <c r="C735" s="98"/>
      <c r="D735" s="125"/>
      <c r="E735" s="125"/>
      <c r="F735" s="125"/>
      <c r="G735" s="125"/>
      <c r="H735" s="125"/>
      <c r="I735" s="125"/>
      <c r="J735" s="125"/>
      <c r="K735" s="193"/>
      <c r="L735" s="125"/>
      <c r="M735" s="124"/>
      <c r="N735" s="126"/>
    </row>
    <row r="736" spans="1:14">
      <c r="A736" s="125"/>
      <c r="B736" s="125"/>
      <c r="C736" s="98"/>
      <c r="D736" s="125"/>
      <c r="E736" s="125"/>
      <c r="F736" s="125"/>
      <c r="G736" s="125"/>
      <c r="H736" s="125"/>
      <c r="I736" s="125"/>
      <c r="J736" s="125"/>
      <c r="K736" s="193"/>
      <c r="L736" s="125"/>
      <c r="M736" s="124"/>
      <c r="N736" s="126"/>
    </row>
    <row r="737" spans="1:14">
      <c r="A737" s="125"/>
      <c r="B737" s="125"/>
      <c r="C737" s="98"/>
      <c r="D737" s="125"/>
      <c r="E737" s="125"/>
      <c r="F737" s="125"/>
      <c r="G737" s="125"/>
      <c r="H737" s="125"/>
      <c r="I737" s="125"/>
      <c r="J737" s="125"/>
      <c r="K737" s="193"/>
      <c r="L737" s="125"/>
      <c r="M737" s="124"/>
      <c r="N737" s="126"/>
    </row>
    <row r="738" spans="1:14">
      <c r="A738" s="125"/>
      <c r="B738" s="125"/>
      <c r="C738" s="98"/>
      <c r="D738" s="125"/>
      <c r="E738" s="125"/>
      <c r="F738" s="125"/>
      <c r="G738" s="125"/>
      <c r="H738" s="125"/>
      <c r="I738" s="125"/>
      <c r="J738" s="125"/>
      <c r="K738" s="193"/>
      <c r="L738" s="125"/>
      <c r="M738" s="124"/>
      <c r="N738" s="126"/>
    </row>
    <row r="739" spans="1:14">
      <c r="A739" s="125"/>
      <c r="B739" s="125"/>
      <c r="C739" s="98"/>
      <c r="D739" s="125"/>
      <c r="E739" s="125"/>
      <c r="F739" s="125"/>
      <c r="G739" s="125"/>
      <c r="H739" s="125"/>
      <c r="I739" s="125"/>
      <c r="J739" s="125"/>
      <c r="K739" s="193"/>
      <c r="L739" s="125"/>
      <c r="M739" s="124"/>
      <c r="N739" s="126"/>
    </row>
    <row r="740" spans="1:14">
      <c r="A740" s="125"/>
      <c r="B740" s="125"/>
      <c r="C740" s="98"/>
      <c r="D740" s="125"/>
      <c r="E740" s="125"/>
      <c r="F740" s="125"/>
      <c r="G740" s="125"/>
      <c r="H740" s="125"/>
      <c r="I740" s="125"/>
      <c r="J740" s="125"/>
      <c r="K740" s="193"/>
      <c r="L740" s="125"/>
      <c r="M740" s="124"/>
      <c r="N740" s="126"/>
    </row>
    <row r="741" spans="1:14">
      <c r="A741" s="125"/>
      <c r="B741" s="125"/>
      <c r="C741" s="98"/>
      <c r="D741" s="125"/>
      <c r="E741" s="125"/>
      <c r="F741" s="125"/>
      <c r="G741" s="125"/>
      <c r="H741" s="125"/>
      <c r="I741" s="125"/>
      <c r="J741" s="125"/>
      <c r="K741" s="193"/>
      <c r="L741" s="125"/>
      <c r="M741" s="124"/>
      <c r="N741" s="126"/>
    </row>
    <row r="742" spans="1:14">
      <c r="A742" s="125"/>
      <c r="B742" s="125"/>
      <c r="C742" s="98"/>
      <c r="D742" s="125"/>
      <c r="E742" s="125"/>
      <c r="F742" s="125"/>
      <c r="G742" s="125"/>
      <c r="H742" s="125"/>
      <c r="I742" s="125"/>
      <c r="J742" s="125"/>
      <c r="K742" s="193"/>
      <c r="L742" s="125"/>
      <c r="M742" s="124"/>
      <c r="N742" s="126"/>
    </row>
    <row r="743" spans="1:14">
      <c r="A743" s="125"/>
      <c r="B743" s="125"/>
      <c r="C743" s="98"/>
      <c r="D743" s="125"/>
      <c r="E743" s="125"/>
      <c r="F743" s="125"/>
      <c r="G743" s="125"/>
      <c r="H743" s="125"/>
      <c r="I743" s="125"/>
      <c r="J743" s="125"/>
      <c r="K743" s="193"/>
      <c r="L743" s="125"/>
      <c r="M743" s="124"/>
      <c r="N743" s="126"/>
    </row>
    <row r="744" spans="1:14">
      <c r="A744" s="125"/>
      <c r="B744" s="125"/>
      <c r="C744" s="98"/>
      <c r="D744" s="125"/>
      <c r="E744" s="125"/>
      <c r="F744" s="125"/>
      <c r="G744" s="125"/>
      <c r="H744" s="125"/>
      <c r="I744" s="125"/>
      <c r="J744" s="125"/>
      <c r="K744" s="193"/>
      <c r="L744" s="125"/>
      <c r="M744" s="124"/>
      <c r="N744" s="126"/>
    </row>
    <row r="745" spans="1:14">
      <c r="A745" s="125"/>
      <c r="B745" s="125"/>
      <c r="C745" s="98"/>
      <c r="D745" s="125"/>
      <c r="E745" s="125"/>
      <c r="F745" s="125"/>
      <c r="G745" s="125"/>
      <c r="H745" s="125"/>
      <c r="I745" s="125"/>
      <c r="J745" s="125"/>
      <c r="K745" s="193"/>
      <c r="L745" s="125"/>
      <c r="M745" s="124"/>
      <c r="N745" s="126"/>
    </row>
    <row r="746" spans="1:14">
      <c r="A746" s="125"/>
      <c r="B746" s="125"/>
      <c r="C746" s="98"/>
      <c r="D746" s="125"/>
      <c r="E746" s="125"/>
      <c r="F746" s="125"/>
      <c r="G746" s="125"/>
      <c r="H746" s="125"/>
      <c r="I746" s="125"/>
      <c r="J746" s="125"/>
      <c r="K746" s="193"/>
      <c r="L746" s="125"/>
      <c r="M746" s="124"/>
      <c r="N746" s="126"/>
    </row>
    <row r="747" spans="1:14">
      <c r="A747" s="125"/>
      <c r="B747" s="125"/>
      <c r="C747" s="98"/>
      <c r="D747" s="125"/>
      <c r="E747" s="125"/>
      <c r="F747" s="125"/>
      <c r="G747" s="125"/>
      <c r="H747" s="125"/>
      <c r="I747" s="125"/>
      <c r="J747" s="125"/>
      <c r="K747" s="193"/>
      <c r="L747" s="125"/>
      <c r="M747" s="124"/>
      <c r="N747" s="126"/>
    </row>
    <row r="748" spans="1:14">
      <c r="A748" s="125"/>
      <c r="B748" s="125"/>
      <c r="C748" s="98"/>
      <c r="D748" s="125"/>
      <c r="E748" s="125"/>
      <c r="F748" s="125"/>
      <c r="G748" s="125"/>
      <c r="H748" s="125"/>
      <c r="I748" s="125"/>
      <c r="J748" s="125"/>
      <c r="K748" s="193"/>
      <c r="L748" s="125"/>
      <c r="M748" s="124"/>
      <c r="N748" s="126"/>
    </row>
    <row r="749" spans="1:14">
      <c r="A749" s="125"/>
      <c r="B749" s="125"/>
      <c r="C749" s="98"/>
      <c r="D749" s="125"/>
      <c r="E749" s="125"/>
      <c r="F749" s="125"/>
      <c r="G749" s="125"/>
      <c r="H749" s="125"/>
      <c r="I749" s="125"/>
      <c r="J749" s="125"/>
      <c r="K749" s="193"/>
      <c r="L749" s="125"/>
      <c r="M749" s="124"/>
      <c r="N749" s="126"/>
    </row>
    <row r="750" spans="1:14">
      <c r="A750" s="125"/>
      <c r="B750" s="125"/>
      <c r="C750" s="98"/>
      <c r="D750" s="125"/>
      <c r="E750" s="125"/>
      <c r="F750" s="125"/>
      <c r="G750" s="125"/>
      <c r="H750" s="125"/>
      <c r="I750" s="125"/>
      <c r="J750" s="125"/>
      <c r="K750" s="193"/>
      <c r="L750" s="125"/>
      <c r="M750" s="124"/>
      <c r="N750" s="126"/>
    </row>
    <row r="751" spans="1:14">
      <c r="A751" s="125"/>
      <c r="B751" s="125"/>
      <c r="C751" s="98"/>
      <c r="D751" s="125"/>
      <c r="E751" s="125"/>
      <c r="F751" s="125"/>
      <c r="G751" s="125"/>
      <c r="H751" s="125"/>
      <c r="I751" s="125"/>
      <c r="J751" s="125"/>
      <c r="K751" s="193"/>
      <c r="L751" s="125"/>
      <c r="M751" s="124"/>
      <c r="N751" s="126"/>
    </row>
    <row r="752" spans="1:14">
      <c r="A752" s="125"/>
      <c r="B752" s="125"/>
      <c r="C752" s="98"/>
      <c r="D752" s="125"/>
      <c r="E752" s="125"/>
      <c r="F752" s="125"/>
      <c r="G752" s="125"/>
      <c r="H752" s="125"/>
      <c r="I752" s="125"/>
      <c r="J752" s="125"/>
      <c r="K752" s="193"/>
      <c r="L752" s="125"/>
      <c r="M752" s="124"/>
      <c r="N752" s="126"/>
    </row>
    <row r="753" spans="1:14">
      <c r="A753" s="125"/>
      <c r="B753" s="125"/>
      <c r="C753" s="98"/>
      <c r="D753" s="125"/>
      <c r="E753" s="125"/>
      <c r="F753" s="125"/>
      <c r="G753" s="125"/>
      <c r="H753" s="125"/>
      <c r="I753" s="125"/>
      <c r="J753" s="125"/>
      <c r="K753" s="193"/>
      <c r="L753" s="125"/>
      <c r="M753" s="124"/>
      <c r="N753" s="126"/>
    </row>
    <row r="754" spans="1:14">
      <c r="A754" s="125"/>
      <c r="B754" s="125"/>
      <c r="C754" s="98"/>
      <c r="D754" s="125"/>
      <c r="E754" s="125"/>
      <c r="F754" s="125"/>
      <c r="G754" s="125"/>
      <c r="H754" s="125"/>
      <c r="I754" s="125"/>
      <c r="J754" s="125"/>
      <c r="K754" s="193"/>
      <c r="L754" s="125"/>
      <c r="M754" s="124"/>
      <c r="N754" s="126"/>
    </row>
    <row r="755" spans="1:14">
      <c r="A755" s="125"/>
      <c r="B755" s="125"/>
      <c r="C755" s="98"/>
      <c r="D755" s="125"/>
      <c r="E755" s="125"/>
      <c r="F755" s="125"/>
      <c r="G755" s="125"/>
      <c r="H755" s="125"/>
      <c r="I755" s="125"/>
      <c r="J755" s="125"/>
      <c r="K755" s="193"/>
      <c r="L755" s="125"/>
      <c r="M755" s="124"/>
      <c r="N755" s="126"/>
    </row>
    <row r="756" spans="1:14">
      <c r="A756" s="125"/>
      <c r="B756" s="125"/>
      <c r="C756" s="98"/>
      <c r="D756" s="125"/>
      <c r="E756" s="125"/>
      <c r="F756" s="125"/>
      <c r="G756" s="125"/>
      <c r="H756" s="125"/>
      <c r="I756" s="125"/>
      <c r="J756" s="125"/>
      <c r="K756" s="193"/>
      <c r="L756" s="125"/>
      <c r="M756" s="124"/>
      <c r="N756" s="126"/>
    </row>
    <row r="757" spans="1:14">
      <c r="A757" s="125"/>
      <c r="B757" s="125"/>
      <c r="C757" s="98"/>
      <c r="D757" s="125"/>
      <c r="E757" s="125"/>
      <c r="F757" s="125"/>
      <c r="G757" s="125"/>
      <c r="H757" s="125"/>
      <c r="I757" s="125"/>
      <c r="J757" s="125"/>
      <c r="K757" s="193"/>
      <c r="L757" s="125"/>
      <c r="M757" s="124"/>
      <c r="N757" s="126"/>
    </row>
    <row r="758" spans="1:14">
      <c r="A758" s="125"/>
      <c r="B758" s="125"/>
      <c r="C758" s="98"/>
      <c r="D758" s="125"/>
      <c r="E758" s="125"/>
      <c r="F758" s="125"/>
      <c r="G758" s="125"/>
      <c r="H758" s="125"/>
      <c r="I758" s="125"/>
      <c r="J758" s="125"/>
      <c r="K758" s="193"/>
      <c r="L758" s="125"/>
      <c r="M758" s="124"/>
      <c r="N758" s="126"/>
    </row>
    <row r="759" spans="1:14">
      <c r="A759" s="125"/>
      <c r="B759" s="125"/>
      <c r="C759" s="98"/>
      <c r="D759" s="125"/>
      <c r="E759" s="125"/>
      <c r="F759" s="125"/>
      <c r="G759" s="125"/>
      <c r="H759" s="125"/>
      <c r="I759" s="125"/>
      <c r="J759" s="125"/>
      <c r="K759" s="193"/>
      <c r="L759" s="125"/>
      <c r="M759" s="124"/>
      <c r="N759" s="126"/>
    </row>
    <row r="760" spans="1:14">
      <c r="A760" s="125"/>
      <c r="B760" s="125"/>
      <c r="C760" s="98"/>
      <c r="D760" s="125"/>
      <c r="E760" s="125"/>
      <c r="F760" s="125"/>
      <c r="G760" s="125"/>
      <c r="H760" s="125"/>
      <c r="I760" s="125"/>
      <c r="J760" s="125"/>
      <c r="K760" s="193"/>
      <c r="L760" s="125"/>
      <c r="M760" s="124"/>
      <c r="N760" s="126"/>
    </row>
    <row r="761" spans="1:14">
      <c r="A761" s="125"/>
      <c r="B761" s="125"/>
      <c r="C761" s="98"/>
      <c r="D761" s="125"/>
      <c r="E761" s="125"/>
      <c r="F761" s="125"/>
      <c r="G761" s="125"/>
      <c r="H761" s="125"/>
      <c r="I761" s="125"/>
      <c r="J761" s="125"/>
      <c r="K761" s="193"/>
      <c r="L761" s="125"/>
      <c r="M761" s="124"/>
      <c r="N761" s="126"/>
    </row>
    <row r="762" spans="1:14">
      <c r="A762" s="125"/>
      <c r="B762" s="125"/>
      <c r="C762" s="98"/>
      <c r="D762" s="125"/>
      <c r="E762" s="125"/>
      <c r="F762" s="125"/>
      <c r="G762" s="125"/>
      <c r="H762" s="125"/>
      <c r="I762" s="125"/>
      <c r="J762" s="125"/>
      <c r="K762" s="193"/>
      <c r="L762" s="125"/>
      <c r="M762" s="124"/>
      <c r="N762" s="126"/>
    </row>
    <row r="763" spans="1:14">
      <c r="A763" s="125"/>
      <c r="B763" s="125"/>
      <c r="C763" s="98"/>
      <c r="D763" s="125"/>
      <c r="E763" s="125"/>
      <c r="F763" s="125"/>
      <c r="G763" s="125"/>
      <c r="H763" s="125"/>
      <c r="I763" s="125"/>
      <c r="J763" s="125"/>
      <c r="K763" s="193"/>
      <c r="L763" s="125"/>
      <c r="M763" s="124"/>
      <c r="N763" s="126"/>
    </row>
    <row r="764" spans="1:14">
      <c r="A764" s="125"/>
      <c r="B764" s="125"/>
      <c r="C764" s="98"/>
      <c r="D764" s="125"/>
      <c r="E764" s="125"/>
      <c r="F764" s="125"/>
      <c r="G764" s="125"/>
      <c r="H764" s="125"/>
      <c r="I764" s="125"/>
      <c r="J764" s="125"/>
      <c r="K764" s="193"/>
      <c r="L764" s="125"/>
      <c r="M764" s="124"/>
      <c r="N764" s="126"/>
    </row>
    <row r="765" spans="1:14">
      <c r="A765" s="125"/>
      <c r="B765" s="125"/>
      <c r="C765" s="98"/>
      <c r="D765" s="125"/>
      <c r="E765" s="125"/>
      <c r="F765" s="125"/>
      <c r="G765" s="125"/>
      <c r="H765" s="125"/>
      <c r="I765" s="125"/>
      <c r="J765" s="125"/>
      <c r="K765" s="193"/>
      <c r="L765" s="125"/>
      <c r="M765" s="124"/>
      <c r="N765" s="126"/>
    </row>
    <row r="766" spans="1:14">
      <c r="A766" s="125"/>
      <c r="B766" s="125"/>
      <c r="C766" s="98"/>
      <c r="D766" s="125"/>
      <c r="E766" s="125"/>
      <c r="F766" s="125"/>
      <c r="G766" s="125"/>
      <c r="H766" s="125"/>
      <c r="I766" s="125"/>
      <c r="J766" s="125"/>
      <c r="K766" s="193"/>
      <c r="L766" s="125"/>
      <c r="M766" s="124"/>
      <c r="N766" s="126"/>
    </row>
    <row r="767" spans="1:14">
      <c r="A767" s="125"/>
      <c r="B767" s="125"/>
      <c r="C767" s="117"/>
      <c r="D767" s="125"/>
      <c r="E767" s="125"/>
      <c r="F767" s="125"/>
      <c r="G767" s="125"/>
      <c r="H767" s="125"/>
      <c r="I767" s="125"/>
      <c r="J767" s="125"/>
      <c r="K767" s="193"/>
      <c r="L767" s="125"/>
      <c r="M767" s="124"/>
      <c r="N767" s="126"/>
    </row>
    <row r="768" spans="1:14">
      <c r="A768" s="125"/>
      <c r="B768" s="125"/>
      <c r="C768" s="117"/>
      <c r="D768" s="125"/>
      <c r="E768" s="125"/>
      <c r="F768" s="125"/>
      <c r="G768" s="125"/>
      <c r="H768" s="125"/>
      <c r="I768" s="125"/>
      <c r="J768" s="125"/>
      <c r="K768" s="193"/>
      <c r="L768" s="125"/>
      <c r="M768" s="124"/>
      <c r="N768" s="126"/>
    </row>
    <row r="769" spans="1:14">
      <c r="A769" s="125"/>
      <c r="B769" s="125"/>
      <c r="C769" s="117"/>
      <c r="D769" s="125"/>
      <c r="E769" s="125"/>
      <c r="F769" s="125"/>
      <c r="G769" s="125"/>
      <c r="H769" s="125"/>
      <c r="I769" s="125"/>
      <c r="J769" s="125"/>
      <c r="K769" s="193"/>
      <c r="L769" s="125"/>
      <c r="M769" s="124"/>
      <c r="N769" s="126"/>
    </row>
    <row r="770" spans="1:14">
      <c r="A770" s="125"/>
      <c r="B770" s="125"/>
      <c r="C770" s="117"/>
      <c r="D770" s="125"/>
      <c r="E770" s="125"/>
      <c r="F770" s="125"/>
      <c r="G770" s="125"/>
      <c r="H770" s="125"/>
      <c r="I770" s="125"/>
      <c r="J770" s="125"/>
      <c r="K770" s="193"/>
      <c r="L770" s="125"/>
      <c r="M770" s="124"/>
      <c r="N770" s="126"/>
    </row>
    <row r="771" spans="1:14">
      <c r="A771" s="125"/>
      <c r="B771" s="125"/>
      <c r="C771" s="117"/>
      <c r="D771" s="125"/>
      <c r="E771" s="125"/>
      <c r="F771" s="125"/>
      <c r="G771" s="125"/>
      <c r="H771" s="125"/>
      <c r="I771" s="125"/>
      <c r="J771" s="125"/>
      <c r="K771" s="193"/>
      <c r="L771" s="125"/>
      <c r="M771" s="124"/>
      <c r="N771" s="126"/>
    </row>
    <row r="772" spans="1:14">
      <c r="A772" s="125"/>
      <c r="B772" s="125"/>
      <c r="C772" s="117"/>
      <c r="D772" s="125"/>
      <c r="E772" s="125"/>
      <c r="F772" s="125"/>
      <c r="G772" s="125"/>
      <c r="H772" s="125"/>
      <c r="I772" s="125"/>
      <c r="J772" s="125"/>
      <c r="K772" s="193"/>
      <c r="L772" s="125"/>
      <c r="M772" s="124"/>
      <c r="N772" s="126"/>
    </row>
    <row r="773" spans="1:14">
      <c r="A773" s="125"/>
      <c r="B773" s="125"/>
      <c r="C773" s="117"/>
      <c r="D773" s="125"/>
      <c r="E773" s="125"/>
      <c r="F773" s="125"/>
      <c r="G773" s="125"/>
      <c r="H773" s="125"/>
      <c r="I773" s="125"/>
      <c r="J773" s="125"/>
      <c r="K773" s="193"/>
      <c r="L773" s="125"/>
      <c r="M773" s="124"/>
      <c r="N773" s="126"/>
    </row>
    <row r="774" spans="1:14">
      <c r="A774" s="125"/>
      <c r="B774" s="125"/>
      <c r="C774" s="117"/>
      <c r="D774" s="125"/>
      <c r="E774" s="125"/>
      <c r="F774" s="125"/>
      <c r="G774" s="125"/>
      <c r="H774" s="125"/>
      <c r="I774" s="125"/>
      <c r="J774" s="125"/>
      <c r="K774" s="193"/>
      <c r="L774" s="125"/>
      <c r="M774" s="124"/>
      <c r="N774" s="126"/>
    </row>
    <row r="775" spans="1:14">
      <c r="A775" s="125"/>
      <c r="B775" s="125"/>
      <c r="C775" s="117"/>
      <c r="D775" s="125"/>
      <c r="E775" s="125"/>
      <c r="F775" s="125"/>
      <c r="G775" s="125"/>
      <c r="H775" s="125"/>
      <c r="I775" s="125"/>
      <c r="J775" s="125"/>
      <c r="K775" s="193"/>
      <c r="L775" s="125"/>
      <c r="M775" s="124"/>
      <c r="N775" s="126"/>
    </row>
    <row r="776" spans="1:14">
      <c r="A776" s="125"/>
      <c r="B776" s="125"/>
      <c r="C776" s="117"/>
      <c r="D776" s="125"/>
      <c r="E776" s="125"/>
      <c r="F776" s="125"/>
      <c r="G776" s="125"/>
      <c r="H776" s="125"/>
      <c r="I776" s="125"/>
      <c r="J776" s="125"/>
      <c r="K776" s="193"/>
      <c r="L776" s="125"/>
      <c r="M776" s="124"/>
      <c r="N776" s="126"/>
    </row>
    <row r="777" spans="1:14">
      <c r="A777" s="125"/>
      <c r="B777" s="125"/>
      <c r="C777" s="117"/>
      <c r="D777" s="125"/>
      <c r="E777" s="125"/>
      <c r="F777" s="125"/>
      <c r="G777" s="125"/>
      <c r="H777" s="125"/>
      <c r="I777" s="125"/>
      <c r="J777" s="125"/>
      <c r="K777" s="193"/>
      <c r="L777" s="125"/>
      <c r="M777" s="124"/>
      <c r="N777" s="126"/>
    </row>
    <row r="778" spans="1:14">
      <c r="A778" s="125"/>
      <c r="B778" s="125"/>
      <c r="C778" s="117"/>
      <c r="D778" s="125"/>
      <c r="E778" s="125"/>
      <c r="F778" s="125"/>
      <c r="G778" s="125"/>
      <c r="H778" s="125"/>
      <c r="I778" s="125"/>
      <c r="J778" s="125"/>
      <c r="K778" s="193"/>
      <c r="L778" s="125"/>
      <c r="M778" s="124"/>
      <c r="N778" s="126"/>
    </row>
    <row r="779" spans="1:14">
      <c r="A779" s="125"/>
      <c r="B779" s="125"/>
      <c r="C779" s="117"/>
      <c r="D779" s="125"/>
      <c r="E779" s="125"/>
      <c r="F779" s="125"/>
      <c r="G779" s="125"/>
      <c r="H779" s="125"/>
      <c r="I779" s="125"/>
      <c r="J779" s="125"/>
      <c r="K779" s="193"/>
      <c r="L779" s="125"/>
      <c r="M779" s="124"/>
      <c r="N779" s="126"/>
    </row>
    <row r="780" spans="1:14">
      <c r="A780" s="125"/>
      <c r="B780" s="125"/>
      <c r="C780" s="117"/>
      <c r="D780" s="125"/>
      <c r="E780" s="125"/>
      <c r="F780" s="125"/>
      <c r="G780" s="125"/>
      <c r="H780" s="125"/>
      <c r="I780" s="125"/>
      <c r="J780" s="125"/>
      <c r="K780" s="193"/>
      <c r="L780" s="125"/>
      <c r="M780" s="124"/>
      <c r="N780" s="126"/>
    </row>
    <row r="781" spans="1:14">
      <c r="A781" s="125"/>
      <c r="B781" s="125"/>
      <c r="C781" s="117"/>
      <c r="D781" s="125"/>
      <c r="E781" s="125"/>
      <c r="F781" s="125"/>
      <c r="G781" s="125"/>
      <c r="H781" s="125"/>
      <c r="I781" s="125"/>
      <c r="J781" s="125"/>
      <c r="K781" s="193"/>
      <c r="L781" s="125"/>
      <c r="M781" s="124"/>
      <c r="N781" s="126"/>
    </row>
    <row r="782" spans="1:14">
      <c r="A782" s="125"/>
      <c r="B782" s="125"/>
      <c r="C782" s="117"/>
      <c r="D782" s="125"/>
      <c r="E782" s="125"/>
      <c r="F782" s="125"/>
      <c r="G782" s="125"/>
      <c r="H782" s="125"/>
      <c r="I782" s="125"/>
      <c r="J782" s="125"/>
      <c r="K782" s="193"/>
      <c r="L782" s="125"/>
      <c r="M782" s="124"/>
      <c r="N782" s="126"/>
    </row>
    <row r="783" spans="1:14">
      <c r="A783" s="125"/>
      <c r="B783" s="125"/>
      <c r="C783" s="117"/>
      <c r="D783" s="125"/>
      <c r="E783" s="125"/>
      <c r="F783" s="125"/>
      <c r="G783" s="125"/>
      <c r="H783" s="125"/>
      <c r="I783" s="125"/>
      <c r="J783" s="125"/>
      <c r="K783" s="193"/>
      <c r="L783" s="125"/>
      <c r="M783" s="124"/>
      <c r="N783" s="126"/>
    </row>
    <row r="784" spans="1:14">
      <c r="A784" s="125"/>
      <c r="B784" s="125"/>
      <c r="C784" s="117"/>
      <c r="D784" s="125"/>
      <c r="E784" s="125"/>
      <c r="F784" s="125"/>
      <c r="G784" s="125"/>
      <c r="H784" s="125"/>
      <c r="I784" s="125"/>
      <c r="J784" s="125"/>
      <c r="K784" s="193"/>
      <c r="L784" s="125"/>
      <c r="M784" s="124"/>
      <c r="N784" s="126"/>
    </row>
    <row r="785" spans="1:14">
      <c r="A785" s="125"/>
      <c r="B785" s="125"/>
      <c r="C785" s="117"/>
      <c r="D785" s="125"/>
      <c r="E785" s="125"/>
      <c r="F785" s="125"/>
      <c r="G785" s="125"/>
      <c r="H785" s="125"/>
      <c r="I785" s="125"/>
      <c r="J785" s="125"/>
      <c r="K785" s="193"/>
      <c r="L785" s="125"/>
      <c r="M785" s="124"/>
      <c r="N785" s="126"/>
    </row>
    <row r="786" spans="1:14">
      <c r="A786" s="125"/>
      <c r="B786" s="125"/>
      <c r="C786" s="117"/>
      <c r="D786" s="125"/>
      <c r="E786" s="125"/>
      <c r="F786" s="125"/>
      <c r="G786" s="125"/>
      <c r="H786" s="125"/>
      <c r="I786" s="125"/>
      <c r="J786" s="125"/>
      <c r="K786" s="193"/>
      <c r="L786" s="125"/>
      <c r="M786" s="124"/>
      <c r="N786" s="126"/>
    </row>
    <row r="787" spans="1:14">
      <c r="A787" s="125"/>
      <c r="B787" s="125"/>
      <c r="C787" s="117"/>
      <c r="D787" s="125"/>
      <c r="E787" s="125"/>
      <c r="F787" s="125"/>
      <c r="G787" s="125"/>
      <c r="H787" s="125"/>
      <c r="I787" s="125"/>
      <c r="J787" s="125"/>
      <c r="K787" s="193"/>
      <c r="L787" s="125"/>
      <c r="M787" s="124"/>
      <c r="N787" s="126"/>
    </row>
    <row r="788" spans="1:14">
      <c r="A788" s="125"/>
      <c r="B788" s="125"/>
      <c r="C788" s="117"/>
      <c r="D788" s="125"/>
      <c r="E788" s="125"/>
      <c r="F788" s="125"/>
      <c r="G788" s="125"/>
      <c r="H788" s="125"/>
      <c r="I788" s="125"/>
      <c r="J788" s="125"/>
      <c r="K788" s="193"/>
      <c r="L788" s="125"/>
      <c r="M788" s="124"/>
      <c r="N788" s="126"/>
    </row>
    <row r="789" spans="1:14">
      <c r="A789" s="125"/>
      <c r="B789" s="125"/>
      <c r="C789" s="117"/>
      <c r="D789" s="125"/>
      <c r="E789" s="125"/>
      <c r="F789" s="125"/>
      <c r="G789" s="125"/>
      <c r="H789" s="125"/>
      <c r="I789" s="125"/>
      <c r="J789" s="125"/>
      <c r="K789" s="193"/>
      <c r="L789" s="125"/>
      <c r="M789" s="124"/>
      <c r="N789" s="126"/>
    </row>
    <row r="790" spans="1:14">
      <c r="A790" s="125"/>
      <c r="B790" s="125"/>
      <c r="C790" s="117"/>
      <c r="D790" s="125"/>
      <c r="E790" s="125"/>
      <c r="F790" s="125"/>
      <c r="G790" s="125"/>
      <c r="H790" s="125"/>
      <c r="I790" s="125"/>
      <c r="J790" s="125"/>
      <c r="K790" s="193"/>
      <c r="L790" s="125"/>
      <c r="M790" s="124"/>
      <c r="N790" s="126"/>
    </row>
    <row r="791" spans="1:14">
      <c r="A791" s="125"/>
      <c r="B791" s="125"/>
      <c r="C791" s="117"/>
      <c r="D791" s="125"/>
      <c r="E791" s="125"/>
      <c r="F791" s="125"/>
      <c r="G791" s="125"/>
      <c r="H791" s="125"/>
      <c r="I791" s="125"/>
      <c r="J791" s="125"/>
      <c r="K791" s="193"/>
      <c r="L791" s="125"/>
      <c r="M791" s="124"/>
      <c r="N791" s="126"/>
    </row>
    <row r="792" spans="1:14">
      <c r="A792" s="125"/>
      <c r="B792" s="125"/>
      <c r="C792" s="117"/>
      <c r="D792" s="125"/>
      <c r="E792" s="125"/>
      <c r="F792" s="125"/>
      <c r="G792" s="125"/>
      <c r="H792" s="125"/>
      <c r="I792" s="125"/>
      <c r="J792" s="125"/>
      <c r="K792" s="193"/>
      <c r="L792" s="125"/>
      <c r="M792" s="124"/>
      <c r="N792" s="126"/>
    </row>
    <row r="793" spans="1:14">
      <c r="A793" s="125"/>
      <c r="B793" s="125"/>
      <c r="C793" s="117"/>
      <c r="D793" s="125"/>
      <c r="E793" s="125"/>
      <c r="F793" s="125"/>
      <c r="G793" s="125"/>
      <c r="H793" s="125"/>
      <c r="I793" s="125"/>
      <c r="J793" s="125"/>
      <c r="K793" s="193"/>
      <c r="L793" s="125"/>
      <c r="M793" s="124"/>
      <c r="N793" s="126"/>
    </row>
    <row r="794" spans="1:14">
      <c r="A794" s="125"/>
      <c r="B794" s="125"/>
      <c r="C794" s="117"/>
      <c r="D794" s="125"/>
      <c r="E794" s="125"/>
      <c r="F794" s="125"/>
      <c r="G794" s="125"/>
      <c r="H794" s="125"/>
      <c r="I794" s="125"/>
      <c r="J794" s="125"/>
      <c r="K794" s="193"/>
      <c r="L794" s="125"/>
      <c r="M794" s="124"/>
      <c r="N794" s="126"/>
    </row>
    <row r="795" spans="1:14">
      <c r="A795" s="125"/>
      <c r="B795" s="125"/>
      <c r="C795" s="117"/>
      <c r="D795" s="125"/>
      <c r="E795" s="125"/>
      <c r="F795" s="125"/>
      <c r="G795" s="125"/>
      <c r="H795" s="125"/>
      <c r="I795" s="125"/>
      <c r="J795" s="125"/>
      <c r="K795" s="193"/>
      <c r="L795" s="125"/>
      <c r="M795" s="124"/>
      <c r="N795" s="126"/>
    </row>
    <row r="796" spans="1:14">
      <c r="A796" s="125"/>
      <c r="B796" s="125"/>
      <c r="C796" s="117"/>
      <c r="D796" s="125"/>
      <c r="E796" s="125"/>
      <c r="F796" s="125"/>
      <c r="G796" s="125"/>
      <c r="H796" s="125"/>
      <c r="I796" s="125"/>
      <c r="J796" s="125"/>
      <c r="K796" s="193"/>
      <c r="L796" s="125"/>
      <c r="M796" s="124"/>
      <c r="N796" s="126"/>
    </row>
    <row r="797" spans="1:14">
      <c r="A797" s="125"/>
      <c r="B797" s="125"/>
      <c r="C797" s="117"/>
      <c r="D797" s="118"/>
      <c r="E797" s="125"/>
      <c r="F797" s="125"/>
      <c r="G797" s="118"/>
      <c r="H797" s="118"/>
      <c r="I797" s="125"/>
      <c r="J797" s="118"/>
      <c r="K797" s="193"/>
      <c r="L797" s="125"/>
      <c r="M797" s="124"/>
      <c r="N797" s="126"/>
    </row>
    <row r="798" spans="1:14">
      <c r="A798" s="125"/>
      <c r="B798" s="125"/>
      <c r="C798" s="117"/>
      <c r="D798" s="118"/>
      <c r="E798" s="125"/>
      <c r="F798" s="125"/>
      <c r="G798" s="118"/>
      <c r="H798" s="118"/>
      <c r="I798" s="125"/>
      <c r="J798" s="118"/>
      <c r="K798" s="193"/>
      <c r="L798" s="125"/>
      <c r="M798" s="124"/>
      <c r="N798" s="126"/>
    </row>
    <row r="799" spans="1:14">
      <c r="A799" s="125"/>
      <c r="B799" s="125"/>
      <c r="C799" s="117"/>
      <c r="D799" s="118"/>
      <c r="E799" s="125"/>
      <c r="F799" s="125"/>
      <c r="G799" s="118"/>
      <c r="H799" s="118"/>
      <c r="I799" s="125"/>
      <c r="J799" s="118"/>
      <c r="K799" s="193"/>
      <c r="L799" s="125"/>
      <c r="M799" s="124"/>
      <c r="N799" s="126"/>
    </row>
    <row r="800" spans="1:14">
      <c r="A800" s="125"/>
      <c r="B800" s="125"/>
      <c r="C800" s="117"/>
      <c r="D800" s="118"/>
      <c r="E800" s="125"/>
      <c r="F800" s="125"/>
      <c r="G800" s="118"/>
      <c r="H800" s="118"/>
      <c r="I800" s="125"/>
      <c r="J800" s="118"/>
      <c r="K800" s="193"/>
      <c r="L800" s="125"/>
      <c r="M800" s="124"/>
      <c r="N800" s="126"/>
    </row>
    <row r="801" spans="1:14">
      <c r="A801" s="125"/>
      <c r="B801" s="125"/>
      <c r="C801" s="117"/>
      <c r="D801" s="118"/>
      <c r="E801" s="125"/>
      <c r="F801" s="125"/>
      <c r="G801" s="118"/>
      <c r="H801" s="118"/>
      <c r="I801" s="125"/>
      <c r="J801" s="118"/>
      <c r="K801" s="193"/>
      <c r="L801" s="125"/>
      <c r="M801" s="124"/>
      <c r="N801" s="126"/>
    </row>
    <row r="802" spans="1:14">
      <c r="A802" s="125"/>
      <c r="B802" s="125"/>
      <c r="C802" s="117"/>
      <c r="D802" s="118"/>
      <c r="E802" s="125"/>
      <c r="F802" s="125"/>
      <c r="G802" s="118"/>
      <c r="H802" s="118"/>
      <c r="I802" s="125"/>
      <c r="J802" s="118"/>
      <c r="K802" s="193"/>
      <c r="L802" s="125"/>
      <c r="M802" s="124"/>
      <c r="N802" s="126"/>
    </row>
    <row r="803" spans="1:14">
      <c r="A803" s="125"/>
      <c r="B803" s="125"/>
      <c r="C803" s="117"/>
      <c r="D803" s="118"/>
      <c r="E803" s="125"/>
      <c r="F803" s="125"/>
      <c r="G803" s="118"/>
      <c r="H803" s="118"/>
      <c r="I803" s="125"/>
      <c r="J803" s="118"/>
      <c r="K803" s="193"/>
      <c r="L803" s="125"/>
      <c r="M803" s="124"/>
      <c r="N803" s="126"/>
    </row>
    <row r="804" spans="1:14">
      <c r="A804" s="125"/>
      <c r="B804" s="125"/>
      <c r="C804" s="117"/>
      <c r="D804" s="118"/>
      <c r="E804" s="125"/>
      <c r="F804" s="125"/>
      <c r="G804" s="118"/>
      <c r="H804" s="118"/>
      <c r="I804" s="125"/>
      <c r="J804" s="118"/>
      <c r="K804" s="193"/>
      <c r="L804" s="125"/>
      <c r="M804" s="124"/>
      <c r="N804" s="126"/>
    </row>
    <row r="805" spans="1:14">
      <c r="A805" s="125"/>
      <c r="B805" s="125"/>
      <c r="C805" s="117"/>
      <c r="D805" s="118"/>
      <c r="E805" s="125"/>
      <c r="F805" s="125"/>
      <c r="G805" s="118"/>
      <c r="H805" s="118"/>
      <c r="I805" s="125"/>
      <c r="J805" s="118"/>
      <c r="K805" s="193"/>
      <c r="L805" s="125"/>
      <c r="M805" s="124"/>
      <c r="N805" s="126"/>
    </row>
    <row r="806" spans="1:14">
      <c r="A806" s="125"/>
      <c r="B806" s="125"/>
      <c r="C806" s="117"/>
      <c r="D806" s="118"/>
      <c r="E806" s="125"/>
      <c r="F806" s="125"/>
      <c r="G806" s="118"/>
      <c r="H806" s="118"/>
      <c r="I806" s="125"/>
      <c r="J806" s="118"/>
      <c r="K806" s="193"/>
      <c r="L806" s="125"/>
      <c r="M806" s="124"/>
      <c r="N806" s="126"/>
    </row>
    <row r="807" spans="1:14">
      <c r="A807" s="125"/>
      <c r="B807" s="125"/>
      <c r="C807" s="117"/>
      <c r="D807" s="118"/>
      <c r="E807" s="125"/>
      <c r="F807" s="125"/>
      <c r="G807" s="118"/>
      <c r="H807" s="118"/>
      <c r="I807" s="125"/>
      <c r="J807" s="118"/>
      <c r="K807" s="193"/>
      <c r="L807" s="125"/>
      <c r="M807" s="124"/>
      <c r="N807" s="126"/>
    </row>
    <row r="808" spans="1:14">
      <c r="A808" s="125"/>
      <c r="B808" s="125"/>
      <c r="C808" s="117"/>
      <c r="D808" s="118"/>
      <c r="E808" s="125"/>
      <c r="F808" s="125"/>
      <c r="G808" s="118"/>
      <c r="H808" s="118"/>
      <c r="I808" s="125"/>
      <c r="J808" s="118"/>
      <c r="K808" s="193"/>
      <c r="L808" s="125"/>
      <c r="M808" s="124"/>
      <c r="N808" s="126"/>
    </row>
    <row r="809" spans="1:14">
      <c r="A809" s="125"/>
      <c r="B809" s="125"/>
      <c r="C809" s="117"/>
      <c r="D809" s="118"/>
      <c r="E809" s="125"/>
      <c r="F809" s="125"/>
      <c r="G809" s="118"/>
      <c r="H809" s="118"/>
      <c r="I809" s="125"/>
      <c r="J809" s="118"/>
      <c r="K809" s="193"/>
      <c r="L809" s="125"/>
      <c r="M809" s="124"/>
      <c r="N809" s="126"/>
    </row>
    <row r="810" spans="1:14">
      <c r="A810" s="125"/>
      <c r="B810" s="125"/>
      <c r="C810" s="117"/>
      <c r="D810" s="118"/>
      <c r="E810" s="125"/>
      <c r="F810" s="125"/>
      <c r="G810" s="118"/>
      <c r="H810" s="118"/>
      <c r="I810" s="125"/>
      <c r="J810" s="118"/>
      <c r="K810" s="193"/>
      <c r="L810" s="125"/>
      <c r="M810" s="124"/>
      <c r="N810" s="126"/>
    </row>
    <row r="811" spans="1:14">
      <c r="A811" s="125"/>
      <c r="B811" s="125"/>
      <c r="C811" s="117"/>
      <c r="D811" s="118"/>
      <c r="E811" s="125"/>
      <c r="F811" s="125"/>
      <c r="G811" s="118"/>
      <c r="H811" s="118"/>
      <c r="I811" s="125"/>
      <c r="J811" s="118"/>
      <c r="K811" s="193"/>
      <c r="L811" s="125"/>
      <c r="M811" s="124"/>
      <c r="N811" s="126"/>
    </row>
    <row r="812" spans="1:14">
      <c r="A812" s="125"/>
      <c r="B812" s="125"/>
      <c r="C812" s="117"/>
      <c r="D812" s="118"/>
      <c r="E812" s="125"/>
      <c r="F812" s="125"/>
      <c r="G812" s="118"/>
      <c r="H812" s="118"/>
      <c r="I812" s="125"/>
      <c r="J812" s="118"/>
      <c r="K812" s="193"/>
      <c r="L812" s="125"/>
      <c r="M812" s="124"/>
      <c r="N812" s="126"/>
    </row>
    <row r="813" spans="1:14">
      <c r="A813" s="125"/>
      <c r="B813" s="125"/>
      <c r="C813" s="117"/>
      <c r="D813" s="118"/>
      <c r="E813" s="125"/>
      <c r="F813" s="125"/>
      <c r="G813" s="118"/>
      <c r="H813" s="118"/>
      <c r="I813" s="125"/>
      <c r="J813" s="118"/>
      <c r="K813" s="193"/>
      <c r="L813" s="125"/>
      <c r="M813" s="124"/>
      <c r="N813" s="126"/>
    </row>
    <row r="814" spans="1:14">
      <c r="A814" s="125"/>
      <c r="B814" s="125"/>
      <c r="C814" s="117"/>
      <c r="D814" s="118"/>
      <c r="E814" s="125"/>
      <c r="F814" s="125"/>
      <c r="G814" s="118"/>
      <c r="H814" s="118"/>
      <c r="I814" s="125"/>
      <c r="J814" s="118"/>
      <c r="K814" s="193"/>
      <c r="L814" s="125"/>
      <c r="M814" s="124"/>
      <c r="N814" s="126"/>
    </row>
    <row r="815" spans="1:14">
      <c r="A815" s="125"/>
      <c r="B815" s="125"/>
      <c r="C815" s="98"/>
      <c r="D815" s="118"/>
      <c r="E815" s="125"/>
      <c r="F815" s="125"/>
      <c r="G815" s="118"/>
      <c r="H815" s="125"/>
      <c r="I815" s="125"/>
      <c r="J815" s="118"/>
      <c r="K815" s="193"/>
      <c r="L815" s="125"/>
      <c r="M815" s="124"/>
      <c r="N815" s="126"/>
    </row>
    <row r="816" spans="1:14">
      <c r="A816" s="125"/>
      <c r="B816" s="125"/>
      <c r="C816" s="98"/>
      <c r="D816" s="118"/>
      <c r="E816" s="125"/>
      <c r="F816" s="125"/>
      <c r="G816" s="118"/>
      <c r="H816" s="125"/>
      <c r="I816" s="125"/>
      <c r="J816" s="118"/>
      <c r="K816" s="193"/>
      <c r="L816" s="125"/>
      <c r="M816" s="124"/>
      <c r="N816" s="126"/>
    </row>
    <row r="817" spans="1:14">
      <c r="A817" s="125"/>
      <c r="B817" s="125"/>
      <c r="C817" s="98"/>
      <c r="D817" s="118"/>
      <c r="E817" s="125"/>
      <c r="F817" s="125"/>
      <c r="G817" s="125"/>
      <c r="H817" s="125"/>
      <c r="I817" s="125"/>
      <c r="J817" s="118"/>
      <c r="K817" s="193"/>
      <c r="L817" s="125"/>
      <c r="M817" s="124"/>
      <c r="N817" s="126"/>
    </row>
    <row r="818" spans="1:14">
      <c r="A818" s="125"/>
      <c r="B818" s="125"/>
      <c r="C818" s="98"/>
      <c r="D818" s="118"/>
      <c r="E818" s="125"/>
      <c r="F818" s="125"/>
      <c r="G818" s="125"/>
      <c r="H818" s="125"/>
      <c r="I818" s="125"/>
      <c r="J818" s="118"/>
      <c r="K818" s="193"/>
      <c r="L818" s="125"/>
      <c r="M818" s="124"/>
      <c r="N818" s="126"/>
    </row>
    <row r="819" spans="1:14">
      <c r="A819" s="125"/>
      <c r="B819" s="125"/>
      <c r="C819" s="98"/>
      <c r="D819" s="118"/>
      <c r="E819" s="125"/>
      <c r="F819" s="125"/>
      <c r="G819" s="125"/>
      <c r="H819" s="125"/>
      <c r="I819" s="125"/>
      <c r="J819" s="118"/>
      <c r="K819" s="193"/>
      <c r="L819" s="125"/>
      <c r="M819" s="124"/>
      <c r="N819" s="126"/>
    </row>
    <row r="820" spans="1:14">
      <c r="A820" s="125"/>
      <c r="B820" s="125"/>
      <c r="C820" s="98"/>
      <c r="D820" s="118"/>
      <c r="E820" s="125"/>
      <c r="F820" s="125"/>
      <c r="G820" s="125"/>
      <c r="H820" s="125"/>
      <c r="I820" s="125"/>
      <c r="J820" s="118"/>
      <c r="K820" s="193"/>
      <c r="L820" s="125"/>
      <c r="M820" s="124"/>
      <c r="N820" s="126"/>
    </row>
    <row r="821" spans="1:14">
      <c r="A821" s="125"/>
      <c r="B821" s="125"/>
      <c r="C821" s="98"/>
      <c r="D821" s="118"/>
      <c r="E821" s="125"/>
      <c r="F821" s="125"/>
      <c r="G821" s="125"/>
      <c r="H821" s="125"/>
      <c r="I821" s="125"/>
      <c r="J821" s="118"/>
      <c r="K821" s="193"/>
      <c r="L821" s="125"/>
      <c r="M821" s="124"/>
      <c r="N821" s="126"/>
    </row>
    <row r="822" spans="1:14">
      <c r="A822" s="125"/>
      <c r="B822" s="125"/>
      <c r="C822" s="98"/>
      <c r="D822" s="118"/>
      <c r="E822" s="125"/>
      <c r="F822" s="125"/>
      <c r="G822" s="125"/>
      <c r="H822" s="125"/>
      <c r="I822" s="125"/>
      <c r="J822" s="118"/>
      <c r="K822" s="193"/>
      <c r="L822" s="125"/>
      <c r="M822" s="124"/>
      <c r="N822" s="126"/>
    </row>
    <row r="823" spans="1:14">
      <c r="A823" s="125"/>
      <c r="B823" s="125"/>
      <c r="C823" s="98"/>
      <c r="D823" s="118"/>
      <c r="E823" s="125"/>
      <c r="F823" s="125"/>
      <c r="G823" s="125"/>
      <c r="H823" s="125"/>
      <c r="I823" s="125"/>
      <c r="J823" s="118"/>
      <c r="K823" s="193"/>
      <c r="L823" s="125"/>
      <c r="M823" s="124"/>
      <c r="N823" s="126"/>
    </row>
    <row r="824" spans="1:14">
      <c r="A824" s="125"/>
      <c r="B824" s="125"/>
      <c r="C824" s="98"/>
      <c r="D824" s="118"/>
      <c r="E824" s="125"/>
      <c r="F824" s="125"/>
      <c r="G824" s="125"/>
      <c r="H824" s="125"/>
      <c r="I824" s="125"/>
      <c r="J824" s="118"/>
      <c r="K824" s="193"/>
      <c r="L824" s="125"/>
      <c r="M824" s="124"/>
      <c r="N824" s="126"/>
    </row>
    <row r="825" spans="1:14">
      <c r="A825" s="125"/>
      <c r="B825" s="125"/>
      <c r="C825" s="98"/>
      <c r="D825" s="118"/>
      <c r="E825" s="125"/>
      <c r="F825" s="125"/>
      <c r="G825" s="125"/>
      <c r="H825" s="125"/>
      <c r="I825" s="125"/>
      <c r="J825" s="118"/>
      <c r="K825" s="193"/>
      <c r="L825" s="125"/>
      <c r="M825" s="124"/>
      <c r="N825" s="126"/>
    </row>
    <row r="826" spans="1:14">
      <c r="A826" s="125"/>
      <c r="B826" s="125"/>
      <c r="C826" s="98"/>
      <c r="D826" s="118"/>
      <c r="E826" s="125"/>
      <c r="F826" s="125"/>
      <c r="G826" s="125"/>
      <c r="H826" s="125"/>
      <c r="I826" s="125"/>
      <c r="J826" s="118"/>
      <c r="K826" s="193"/>
      <c r="L826" s="125"/>
      <c r="M826" s="124"/>
      <c r="N826" s="126"/>
    </row>
    <row r="827" spans="1:14">
      <c r="A827" s="125"/>
      <c r="B827" s="125"/>
      <c r="C827" s="98"/>
      <c r="D827" s="118"/>
      <c r="E827" s="125"/>
      <c r="F827" s="125"/>
      <c r="G827" s="125"/>
      <c r="H827" s="125"/>
      <c r="I827" s="125"/>
      <c r="J827" s="118"/>
      <c r="K827" s="193"/>
      <c r="L827" s="125"/>
      <c r="M827" s="124"/>
      <c r="N827" s="126"/>
    </row>
    <row r="828" spans="1:14">
      <c r="A828" s="125"/>
      <c r="B828" s="125"/>
      <c r="C828" s="98"/>
      <c r="D828" s="118"/>
      <c r="E828" s="125"/>
      <c r="F828" s="125"/>
      <c r="G828" s="125"/>
      <c r="H828" s="125"/>
      <c r="I828" s="125"/>
      <c r="J828" s="118"/>
      <c r="K828" s="193"/>
      <c r="L828" s="125"/>
      <c r="M828" s="124"/>
      <c r="N828" s="126"/>
    </row>
    <row r="829" spans="1:14">
      <c r="A829" s="125"/>
      <c r="B829" s="125"/>
      <c r="C829" s="98"/>
      <c r="D829" s="118"/>
      <c r="E829" s="125"/>
      <c r="F829" s="125"/>
      <c r="G829" s="125"/>
      <c r="H829" s="125"/>
      <c r="I829" s="125"/>
      <c r="J829" s="118"/>
      <c r="K829" s="193"/>
      <c r="L829" s="125"/>
      <c r="M829" s="124"/>
      <c r="N829" s="126"/>
    </row>
    <row r="830" spans="1:14">
      <c r="A830" s="125"/>
      <c r="B830" s="125"/>
      <c r="C830" s="98"/>
      <c r="D830" s="118"/>
      <c r="E830" s="125"/>
      <c r="F830" s="125"/>
      <c r="G830" s="125"/>
      <c r="H830" s="125"/>
      <c r="I830" s="125"/>
      <c r="J830" s="118"/>
      <c r="K830" s="193"/>
      <c r="L830" s="125"/>
      <c r="M830" s="124"/>
      <c r="N830" s="126"/>
    </row>
    <row r="831" spans="1:14">
      <c r="A831" s="125"/>
      <c r="B831" s="125"/>
      <c r="C831" s="98"/>
      <c r="D831" s="118"/>
      <c r="E831" s="125"/>
      <c r="F831" s="125"/>
      <c r="G831" s="125"/>
      <c r="H831" s="125"/>
      <c r="I831" s="125"/>
      <c r="J831" s="118"/>
      <c r="K831" s="193"/>
      <c r="L831" s="125"/>
      <c r="M831" s="124"/>
      <c r="N831" s="126"/>
    </row>
    <row r="832" spans="1:14">
      <c r="A832" s="125"/>
      <c r="B832" s="125"/>
      <c r="C832" s="98"/>
      <c r="D832" s="118"/>
      <c r="E832" s="125"/>
      <c r="F832" s="125"/>
      <c r="G832" s="125"/>
      <c r="H832" s="125"/>
      <c r="I832" s="125"/>
      <c r="J832" s="118"/>
      <c r="K832" s="193"/>
      <c r="L832" s="125"/>
      <c r="M832" s="124"/>
      <c r="N832" s="126"/>
    </row>
    <row r="833" spans="1:14">
      <c r="A833" s="125"/>
      <c r="B833" s="125"/>
      <c r="C833" s="98"/>
      <c r="D833" s="118"/>
      <c r="E833" s="125"/>
      <c r="F833" s="125"/>
      <c r="G833" s="125"/>
      <c r="H833" s="125"/>
      <c r="I833" s="125"/>
      <c r="J833" s="118"/>
      <c r="K833" s="193"/>
      <c r="L833" s="125"/>
      <c r="M833" s="124"/>
      <c r="N833" s="126"/>
    </row>
    <row r="834" spans="1:14">
      <c r="A834" s="125"/>
      <c r="B834" s="125"/>
      <c r="C834" s="98"/>
      <c r="D834" s="118"/>
      <c r="E834" s="125"/>
      <c r="F834" s="125"/>
      <c r="G834" s="125"/>
      <c r="H834" s="125"/>
      <c r="I834" s="125"/>
      <c r="J834" s="118"/>
      <c r="K834" s="193"/>
      <c r="L834" s="125"/>
      <c r="M834" s="124"/>
      <c r="N834" s="126"/>
    </row>
    <row r="835" spans="1:14">
      <c r="A835" s="125"/>
      <c r="B835" s="125"/>
      <c r="C835" s="98"/>
      <c r="D835" s="118"/>
      <c r="E835" s="125"/>
      <c r="F835" s="125"/>
      <c r="G835" s="125"/>
      <c r="H835" s="125"/>
      <c r="I835" s="125"/>
      <c r="J835" s="118"/>
      <c r="K835" s="193"/>
      <c r="L835" s="125"/>
      <c r="M835" s="124"/>
      <c r="N835" s="126"/>
    </row>
    <row r="836" spans="1:14">
      <c r="A836" s="125"/>
      <c r="B836" s="125"/>
      <c r="C836" s="98"/>
      <c r="D836" s="118"/>
      <c r="E836" s="125"/>
      <c r="F836" s="125"/>
      <c r="G836" s="125"/>
      <c r="H836" s="125"/>
      <c r="I836" s="125"/>
      <c r="J836" s="118"/>
      <c r="K836" s="193"/>
      <c r="L836" s="125"/>
      <c r="M836" s="124"/>
      <c r="N836" s="126"/>
    </row>
    <row r="837" spans="1:14">
      <c r="A837" s="125"/>
      <c r="B837" s="125"/>
      <c r="C837" s="98"/>
      <c r="D837" s="118"/>
      <c r="E837" s="125"/>
      <c r="F837" s="125"/>
      <c r="G837" s="125"/>
      <c r="H837" s="125"/>
      <c r="I837" s="125"/>
      <c r="J837" s="118"/>
      <c r="K837" s="193"/>
      <c r="L837" s="125"/>
      <c r="M837" s="124"/>
      <c r="N837" s="126"/>
    </row>
    <row r="838" spans="1:14">
      <c r="A838" s="125"/>
      <c r="B838" s="125"/>
      <c r="C838" s="98"/>
      <c r="D838" s="118"/>
      <c r="E838" s="125"/>
      <c r="F838" s="125"/>
      <c r="G838" s="125"/>
      <c r="H838" s="125"/>
      <c r="I838" s="125"/>
      <c r="J838" s="118"/>
      <c r="K838" s="193"/>
      <c r="L838" s="125"/>
      <c r="M838" s="124"/>
      <c r="N838" s="126"/>
    </row>
    <row r="839" spans="1:14">
      <c r="A839" s="125"/>
      <c r="B839" s="125"/>
      <c r="C839" s="98"/>
      <c r="D839" s="118"/>
      <c r="E839" s="125"/>
      <c r="F839" s="125"/>
      <c r="G839" s="125"/>
      <c r="H839" s="125"/>
      <c r="I839" s="125"/>
      <c r="J839" s="118"/>
      <c r="K839" s="193"/>
      <c r="L839" s="125"/>
      <c r="M839" s="124"/>
      <c r="N839" s="126"/>
    </row>
    <row r="840" spans="1:14">
      <c r="A840" s="125"/>
      <c r="B840" s="125"/>
      <c r="C840" s="98"/>
      <c r="D840" s="118"/>
      <c r="E840" s="125"/>
      <c r="F840" s="125"/>
      <c r="G840" s="125"/>
      <c r="H840" s="125"/>
      <c r="I840" s="125"/>
      <c r="J840" s="118"/>
      <c r="K840" s="193"/>
      <c r="L840" s="125"/>
      <c r="M840" s="124"/>
      <c r="N840" s="126"/>
    </row>
    <row r="841" spans="1:14">
      <c r="A841" s="125"/>
      <c r="B841" s="125"/>
      <c r="C841" s="98"/>
      <c r="D841" s="118"/>
      <c r="E841" s="125"/>
      <c r="F841" s="125"/>
      <c r="G841" s="125"/>
      <c r="H841" s="125"/>
      <c r="I841" s="125"/>
      <c r="J841" s="118"/>
      <c r="K841" s="193"/>
      <c r="L841" s="125"/>
      <c r="M841" s="124"/>
      <c r="N841" s="126"/>
    </row>
    <row r="842" spans="1:14">
      <c r="A842" s="125"/>
      <c r="B842" s="125"/>
      <c r="C842" s="98"/>
      <c r="D842" s="118"/>
      <c r="E842" s="125"/>
      <c r="F842" s="125"/>
      <c r="G842" s="125"/>
      <c r="H842" s="125"/>
      <c r="I842" s="125"/>
      <c r="J842" s="118"/>
      <c r="K842" s="193"/>
      <c r="L842" s="125"/>
      <c r="M842" s="124"/>
      <c r="N842" s="126"/>
    </row>
    <row r="843" spans="1:14">
      <c r="A843" s="125"/>
      <c r="B843" s="125"/>
      <c r="C843" s="98"/>
      <c r="D843" s="118"/>
      <c r="E843" s="125"/>
      <c r="F843" s="125"/>
      <c r="G843" s="125"/>
      <c r="H843" s="125"/>
      <c r="I843" s="125"/>
      <c r="J843" s="118"/>
      <c r="K843" s="193"/>
      <c r="L843" s="125"/>
      <c r="M843" s="124"/>
      <c r="N843" s="126"/>
    </row>
    <row r="844" spans="1:14">
      <c r="A844" s="125"/>
      <c r="B844" s="125"/>
      <c r="C844" s="98"/>
      <c r="D844" s="118"/>
      <c r="E844" s="125"/>
      <c r="F844" s="125"/>
      <c r="G844" s="125"/>
      <c r="H844" s="125"/>
      <c r="I844" s="125"/>
      <c r="J844" s="118"/>
      <c r="K844" s="193"/>
      <c r="L844" s="125"/>
      <c r="M844" s="124"/>
      <c r="N844" s="126"/>
    </row>
    <row r="845" spans="1:14">
      <c r="A845" s="125"/>
      <c r="B845" s="125"/>
      <c r="C845" s="98"/>
      <c r="D845" s="118"/>
      <c r="E845" s="125"/>
      <c r="F845" s="125"/>
      <c r="G845" s="125"/>
      <c r="H845" s="125"/>
      <c r="I845" s="125"/>
      <c r="J845" s="118"/>
      <c r="K845" s="193"/>
      <c r="L845" s="125"/>
      <c r="M845" s="124"/>
      <c r="N845" s="126"/>
    </row>
    <row r="846" spans="1:14">
      <c r="A846" s="125"/>
      <c r="B846" s="125"/>
      <c r="C846" s="98"/>
      <c r="D846" s="118"/>
      <c r="E846" s="125"/>
      <c r="F846" s="125"/>
      <c r="G846" s="125"/>
      <c r="H846" s="125"/>
      <c r="I846" s="125"/>
      <c r="J846" s="118"/>
      <c r="K846" s="193"/>
      <c r="L846" s="125"/>
      <c r="M846" s="124"/>
      <c r="N846" s="126"/>
    </row>
    <row r="847" spans="1:14">
      <c r="A847" s="125"/>
      <c r="B847" s="125"/>
      <c r="C847" s="98"/>
      <c r="D847" s="118"/>
      <c r="E847" s="125"/>
      <c r="F847" s="125"/>
      <c r="G847" s="125"/>
      <c r="H847" s="125"/>
      <c r="I847" s="125"/>
      <c r="J847" s="118"/>
      <c r="K847" s="193"/>
      <c r="L847" s="125"/>
      <c r="M847" s="124"/>
      <c r="N847" s="126"/>
    </row>
    <row r="848" spans="1:14">
      <c r="A848" s="125"/>
      <c r="B848" s="125"/>
      <c r="C848" s="98"/>
      <c r="D848" s="118"/>
      <c r="E848" s="125"/>
      <c r="F848" s="125"/>
      <c r="G848" s="125"/>
      <c r="H848" s="125"/>
      <c r="I848" s="125"/>
      <c r="J848" s="118"/>
      <c r="K848" s="193"/>
      <c r="L848" s="125"/>
      <c r="M848" s="124"/>
      <c r="N848" s="126"/>
    </row>
    <row r="849" spans="1:14">
      <c r="A849" s="125"/>
      <c r="B849" s="125"/>
      <c r="C849" s="98"/>
      <c r="D849" s="118"/>
      <c r="E849" s="125"/>
      <c r="F849" s="125"/>
      <c r="G849" s="125"/>
      <c r="H849" s="125"/>
      <c r="I849" s="125"/>
      <c r="J849" s="118"/>
      <c r="K849" s="193"/>
      <c r="L849" s="125"/>
      <c r="M849" s="124"/>
      <c r="N849" s="126"/>
    </row>
    <row r="850" spans="1:14">
      <c r="A850" s="125"/>
      <c r="B850" s="125"/>
      <c r="C850" s="98"/>
      <c r="D850" s="118"/>
      <c r="E850" s="125"/>
      <c r="F850" s="125"/>
      <c r="G850" s="125"/>
      <c r="H850" s="125"/>
      <c r="I850" s="125"/>
      <c r="J850" s="118"/>
      <c r="K850" s="193"/>
      <c r="L850" s="125"/>
      <c r="M850" s="124"/>
      <c r="N850" s="126"/>
    </row>
    <row r="851" spans="1:14">
      <c r="A851" s="125"/>
      <c r="B851" s="125"/>
      <c r="C851" s="98"/>
      <c r="D851" s="118"/>
      <c r="E851" s="125"/>
      <c r="F851" s="125"/>
      <c r="G851" s="125"/>
      <c r="H851" s="125"/>
      <c r="I851" s="125"/>
      <c r="J851" s="118"/>
      <c r="K851" s="193"/>
      <c r="L851" s="125"/>
      <c r="M851" s="124"/>
      <c r="N851" s="126"/>
    </row>
    <row r="852" spans="1:14">
      <c r="A852" s="125"/>
      <c r="B852" s="125"/>
      <c r="C852" s="98"/>
      <c r="D852" s="118"/>
      <c r="E852" s="125"/>
      <c r="F852" s="125"/>
      <c r="G852" s="125"/>
      <c r="H852" s="125"/>
      <c r="I852" s="125"/>
      <c r="J852" s="118"/>
      <c r="K852" s="193"/>
      <c r="L852" s="125"/>
      <c r="M852" s="124"/>
      <c r="N852" s="126"/>
    </row>
    <row r="853" spans="1:14">
      <c r="A853" s="125"/>
      <c r="B853" s="125"/>
      <c r="C853" s="98"/>
      <c r="D853" s="118"/>
      <c r="E853" s="125"/>
      <c r="F853" s="125"/>
      <c r="G853" s="125"/>
      <c r="H853" s="125"/>
      <c r="I853" s="125"/>
      <c r="J853" s="118"/>
      <c r="K853" s="193"/>
      <c r="L853" s="125"/>
      <c r="M853" s="124"/>
      <c r="N853" s="126"/>
    </row>
    <row r="854" spans="1:14">
      <c r="A854" s="125"/>
      <c r="B854" s="125"/>
      <c r="C854" s="98"/>
      <c r="D854" s="118"/>
      <c r="E854" s="125"/>
      <c r="F854" s="125"/>
      <c r="G854" s="125"/>
      <c r="H854" s="125"/>
      <c r="I854" s="125"/>
      <c r="J854" s="118"/>
      <c r="K854" s="193"/>
      <c r="L854" s="125"/>
      <c r="M854" s="124"/>
      <c r="N854" s="126"/>
    </row>
    <row r="855" spans="1:14">
      <c r="A855" s="125"/>
      <c r="B855" s="125"/>
      <c r="C855" s="98"/>
      <c r="D855" s="118"/>
      <c r="E855" s="125"/>
      <c r="F855" s="125"/>
      <c r="G855" s="125"/>
      <c r="H855" s="125"/>
      <c r="I855" s="125"/>
      <c r="J855" s="118"/>
      <c r="K855" s="193"/>
      <c r="L855" s="125"/>
      <c r="M855" s="124"/>
      <c r="N855" s="126"/>
    </row>
    <row r="856" spans="1:14">
      <c r="A856" s="125"/>
      <c r="B856" s="125"/>
      <c r="C856" s="98"/>
      <c r="D856" s="118"/>
      <c r="E856" s="125"/>
      <c r="F856" s="125"/>
      <c r="G856" s="125"/>
      <c r="H856" s="125"/>
      <c r="I856" s="125"/>
      <c r="J856" s="118"/>
      <c r="K856" s="193"/>
      <c r="L856" s="125"/>
      <c r="M856" s="124"/>
      <c r="N856" s="126"/>
    </row>
    <row r="857" spans="1:14">
      <c r="A857" s="125"/>
      <c r="B857" s="125"/>
      <c r="C857" s="98"/>
      <c r="D857" s="118"/>
      <c r="E857" s="125"/>
      <c r="F857" s="125"/>
      <c r="G857" s="125"/>
      <c r="H857" s="125"/>
      <c r="I857" s="125"/>
      <c r="J857" s="118"/>
      <c r="K857" s="193"/>
      <c r="L857" s="125"/>
      <c r="M857" s="124"/>
      <c r="N857" s="126"/>
    </row>
    <row r="858" spans="1:14">
      <c r="A858" s="125"/>
      <c r="B858" s="125"/>
      <c r="C858" s="98"/>
      <c r="D858" s="118"/>
      <c r="E858" s="125"/>
      <c r="F858" s="125"/>
      <c r="G858" s="125"/>
      <c r="H858" s="125"/>
      <c r="I858" s="125"/>
      <c r="J858" s="118"/>
      <c r="K858" s="193"/>
      <c r="L858" s="125"/>
      <c r="M858" s="124"/>
      <c r="N858" s="126"/>
    </row>
    <row r="859" spans="1:14">
      <c r="A859" s="125"/>
      <c r="B859" s="125"/>
      <c r="C859" s="98"/>
      <c r="D859" s="118"/>
      <c r="E859" s="125"/>
      <c r="F859" s="125"/>
      <c r="G859" s="125"/>
      <c r="H859" s="125"/>
      <c r="I859" s="125"/>
      <c r="J859" s="118"/>
      <c r="K859" s="193"/>
      <c r="L859" s="125"/>
      <c r="M859" s="124"/>
      <c r="N859" s="126"/>
    </row>
    <row r="860" spans="1:14">
      <c r="A860" s="125"/>
      <c r="B860" s="125"/>
      <c r="C860" s="98"/>
      <c r="D860" s="118"/>
      <c r="E860" s="125"/>
      <c r="F860" s="125"/>
      <c r="G860" s="125"/>
      <c r="H860" s="125"/>
      <c r="I860" s="125"/>
      <c r="J860" s="118"/>
      <c r="K860" s="193"/>
      <c r="L860" s="125"/>
      <c r="M860" s="124"/>
      <c r="N860" s="126"/>
    </row>
    <row r="861" spans="1:14">
      <c r="A861" s="125"/>
      <c r="B861" s="125"/>
      <c r="C861" s="98"/>
      <c r="D861" s="118"/>
      <c r="E861" s="125"/>
      <c r="F861" s="125"/>
      <c r="G861" s="125"/>
      <c r="H861" s="125"/>
      <c r="I861" s="125"/>
      <c r="J861" s="118"/>
      <c r="K861" s="193"/>
      <c r="L861" s="125"/>
      <c r="M861" s="124"/>
      <c r="N861" s="126"/>
    </row>
    <row r="862" spans="1:14">
      <c r="A862" s="125"/>
      <c r="B862" s="125"/>
      <c r="C862" s="98"/>
      <c r="D862" s="118"/>
      <c r="E862" s="125"/>
      <c r="F862" s="125"/>
      <c r="G862" s="125"/>
      <c r="H862" s="125"/>
      <c r="I862" s="125"/>
      <c r="J862" s="118"/>
      <c r="K862" s="193"/>
      <c r="L862" s="125"/>
      <c r="M862" s="124"/>
      <c r="N862" s="126"/>
    </row>
    <row r="863" spans="1:14">
      <c r="A863" s="125"/>
      <c r="B863" s="125"/>
      <c r="C863" s="98"/>
      <c r="D863" s="118"/>
      <c r="E863" s="125"/>
      <c r="F863" s="125"/>
      <c r="G863" s="125"/>
      <c r="H863" s="125"/>
      <c r="I863" s="125"/>
      <c r="J863" s="118"/>
      <c r="K863" s="193"/>
      <c r="L863" s="125"/>
      <c r="M863" s="124"/>
      <c r="N863" s="126"/>
    </row>
    <row r="864" spans="1:14">
      <c r="A864" s="125"/>
      <c r="B864" s="125"/>
      <c r="C864" s="98"/>
      <c r="D864" s="118"/>
      <c r="E864" s="125"/>
      <c r="F864" s="125"/>
      <c r="G864" s="125"/>
      <c r="H864" s="125"/>
      <c r="I864" s="125"/>
      <c r="J864" s="118"/>
      <c r="K864" s="193"/>
      <c r="L864" s="125"/>
      <c r="M864" s="124"/>
      <c r="N864" s="126"/>
    </row>
    <row r="865" spans="1:14">
      <c r="A865" s="125"/>
      <c r="B865" s="125"/>
      <c r="C865" s="98"/>
      <c r="D865" s="118"/>
      <c r="E865" s="125"/>
      <c r="F865" s="125"/>
      <c r="G865" s="125"/>
      <c r="H865" s="125"/>
      <c r="I865" s="125"/>
      <c r="J865" s="118"/>
      <c r="K865" s="193"/>
      <c r="L865" s="125"/>
      <c r="M865" s="124"/>
      <c r="N865" s="126"/>
    </row>
    <row r="866" spans="1:14">
      <c r="A866" s="125"/>
      <c r="B866" s="125"/>
      <c r="C866" s="98"/>
      <c r="D866" s="118"/>
      <c r="E866" s="125"/>
      <c r="F866" s="125"/>
      <c r="G866" s="125"/>
      <c r="H866" s="125"/>
      <c r="I866" s="125"/>
      <c r="J866" s="118"/>
      <c r="K866" s="193"/>
      <c r="L866" s="125"/>
      <c r="M866" s="124"/>
      <c r="N866" s="126"/>
    </row>
    <row r="867" spans="1:14">
      <c r="A867" s="125"/>
      <c r="B867" s="125"/>
      <c r="C867" s="98"/>
      <c r="D867" s="118"/>
      <c r="E867" s="125"/>
      <c r="F867" s="125"/>
      <c r="G867" s="125"/>
      <c r="H867" s="125"/>
      <c r="I867" s="125"/>
      <c r="J867" s="118"/>
      <c r="K867" s="193"/>
      <c r="L867" s="125"/>
      <c r="M867" s="124"/>
      <c r="N867" s="126"/>
    </row>
    <row r="868" spans="1:14">
      <c r="A868" s="125"/>
      <c r="B868" s="125"/>
      <c r="C868" s="98"/>
      <c r="D868" s="118"/>
      <c r="E868" s="125"/>
      <c r="F868" s="125"/>
      <c r="G868" s="125"/>
      <c r="H868" s="125"/>
      <c r="I868" s="125"/>
      <c r="J868" s="118"/>
      <c r="K868" s="193"/>
      <c r="L868" s="125"/>
      <c r="M868" s="124"/>
      <c r="N868" s="126"/>
    </row>
    <row r="869" spans="1:14">
      <c r="A869" s="125"/>
      <c r="B869" s="125"/>
      <c r="C869" s="98"/>
      <c r="D869" s="118"/>
      <c r="E869" s="125"/>
      <c r="F869" s="125"/>
      <c r="G869" s="125"/>
      <c r="H869" s="125"/>
      <c r="I869" s="125"/>
      <c r="J869" s="118"/>
      <c r="K869" s="193"/>
      <c r="L869" s="125"/>
      <c r="M869" s="124"/>
      <c r="N869" s="126"/>
    </row>
    <row r="870" spans="1:14">
      <c r="A870" s="125"/>
      <c r="B870" s="125"/>
      <c r="C870" s="98"/>
      <c r="D870" s="118"/>
      <c r="E870" s="125"/>
      <c r="F870" s="125"/>
      <c r="G870" s="125"/>
      <c r="H870" s="125"/>
      <c r="I870" s="125"/>
      <c r="J870" s="118"/>
      <c r="K870" s="193"/>
      <c r="L870" s="125"/>
      <c r="M870" s="124"/>
      <c r="N870" s="126"/>
    </row>
    <row r="871" spans="1:14">
      <c r="A871" s="125"/>
      <c r="B871" s="125"/>
      <c r="C871" s="98"/>
      <c r="D871" s="118"/>
      <c r="E871" s="125"/>
      <c r="F871" s="125"/>
      <c r="G871" s="125"/>
      <c r="H871" s="125"/>
      <c r="I871" s="125"/>
      <c r="J871" s="118"/>
      <c r="K871" s="193"/>
      <c r="L871" s="125"/>
      <c r="M871" s="124"/>
      <c r="N871" s="126"/>
    </row>
    <row r="872" spans="1:14">
      <c r="A872" s="125"/>
      <c r="B872" s="125"/>
      <c r="C872" s="98"/>
      <c r="D872" s="118"/>
      <c r="E872" s="125"/>
      <c r="F872" s="125"/>
      <c r="G872" s="125"/>
      <c r="H872" s="125"/>
      <c r="I872" s="125"/>
      <c r="J872" s="118"/>
      <c r="K872" s="193"/>
      <c r="L872" s="125"/>
      <c r="M872" s="124"/>
      <c r="N872" s="126"/>
    </row>
    <row r="873" spans="1:14">
      <c r="A873" s="125"/>
      <c r="B873" s="125"/>
      <c r="C873" s="98"/>
      <c r="D873" s="118"/>
      <c r="E873" s="125"/>
      <c r="F873" s="125"/>
      <c r="G873" s="125"/>
      <c r="H873" s="125"/>
      <c r="I873" s="125"/>
      <c r="J873" s="118"/>
      <c r="K873" s="193"/>
      <c r="L873" s="125"/>
      <c r="M873" s="124"/>
      <c r="N873" s="126"/>
    </row>
    <row r="874" spans="1:14">
      <c r="A874" s="125"/>
      <c r="B874" s="125"/>
      <c r="C874" s="98"/>
      <c r="D874" s="118"/>
      <c r="E874" s="125"/>
      <c r="F874" s="125"/>
      <c r="G874" s="125"/>
      <c r="H874" s="125"/>
      <c r="I874" s="125"/>
      <c r="J874" s="118"/>
      <c r="K874" s="193"/>
      <c r="L874" s="125"/>
      <c r="M874" s="124"/>
      <c r="N874" s="126"/>
    </row>
    <row r="875" spans="1:14">
      <c r="A875" s="125"/>
      <c r="B875" s="125"/>
      <c r="C875" s="98"/>
      <c r="D875" s="118"/>
      <c r="E875" s="125"/>
      <c r="F875" s="125"/>
      <c r="G875" s="125"/>
      <c r="H875" s="125"/>
      <c r="I875" s="125"/>
      <c r="J875" s="118"/>
      <c r="K875" s="193"/>
      <c r="L875" s="125"/>
      <c r="M875" s="124"/>
      <c r="N875" s="126"/>
    </row>
    <row r="876" spans="1:14">
      <c r="A876" s="125"/>
      <c r="B876" s="125"/>
      <c r="C876" s="98"/>
      <c r="D876" s="118"/>
      <c r="E876" s="125"/>
      <c r="F876" s="125"/>
      <c r="G876" s="125"/>
      <c r="H876" s="125"/>
      <c r="I876" s="125"/>
      <c r="J876" s="118"/>
      <c r="K876" s="193"/>
      <c r="L876" s="125"/>
      <c r="M876" s="124"/>
      <c r="N876" s="126"/>
    </row>
    <row r="877" spans="1:14">
      <c r="A877" s="125"/>
      <c r="B877" s="125"/>
      <c r="C877" s="98"/>
      <c r="D877" s="118"/>
      <c r="E877" s="125"/>
      <c r="F877" s="125"/>
      <c r="G877" s="125"/>
      <c r="H877" s="125"/>
      <c r="I877" s="125"/>
      <c r="J877" s="118"/>
      <c r="K877" s="193"/>
      <c r="L877" s="125"/>
      <c r="M877" s="124"/>
      <c r="N877" s="126"/>
    </row>
    <row r="878" spans="1:14">
      <c r="A878" s="125"/>
      <c r="B878" s="125"/>
      <c r="C878" s="98"/>
      <c r="D878" s="118"/>
      <c r="E878" s="125"/>
      <c r="F878" s="125"/>
      <c r="G878" s="125"/>
      <c r="H878" s="125"/>
      <c r="I878" s="125"/>
      <c r="J878" s="118"/>
      <c r="K878" s="193"/>
      <c r="L878" s="125"/>
      <c r="M878" s="124"/>
      <c r="N878" s="126"/>
    </row>
    <row r="879" spans="1:14">
      <c r="A879" s="125"/>
      <c r="B879" s="125"/>
      <c r="C879" s="98"/>
      <c r="D879" s="118"/>
      <c r="E879" s="125"/>
      <c r="F879" s="125"/>
      <c r="G879" s="125"/>
      <c r="H879" s="125"/>
      <c r="I879" s="125"/>
      <c r="J879" s="118"/>
      <c r="K879" s="193"/>
      <c r="L879" s="125"/>
      <c r="M879" s="124"/>
      <c r="N879" s="126"/>
    </row>
    <row r="880" spans="1:14">
      <c r="A880" s="125"/>
      <c r="B880" s="125"/>
      <c r="C880" s="98"/>
      <c r="D880" s="118"/>
      <c r="E880" s="125"/>
      <c r="F880" s="125"/>
      <c r="G880" s="125"/>
      <c r="H880" s="125"/>
      <c r="I880" s="125"/>
      <c r="J880" s="118"/>
      <c r="K880" s="193"/>
      <c r="L880" s="125"/>
      <c r="M880" s="124"/>
      <c r="N880" s="126"/>
    </row>
    <row r="881" spans="1:14">
      <c r="A881" s="125"/>
      <c r="B881" s="125"/>
      <c r="C881" s="98"/>
      <c r="D881" s="118"/>
      <c r="E881" s="125"/>
      <c r="F881" s="125"/>
      <c r="G881" s="125"/>
      <c r="H881" s="125"/>
      <c r="I881" s="125"/>
      <c r="J881" s="118"/>
      <c r="K881" s="193"/>
      <c r="L881" s="125"/>
      <c r="M881" s="124"/>
      <c r="N881" s="126"/>
    </row>
    <row r="882" spans="1:14">
      <c r="A882" s="125"/>
      <c r="B882" s="125"/>
      <c r="C882" s="98"/>
      <c r="D882" s="118"/>
      <c r="E882" s="125"/>
      <c r="F882" s="125"/>
      <c r="G882" s="125"/>
      <c r="H882" s="125"/>
      <c r="I882" s="125"/>
      <c r="J882" s="118"/>
      <c r="K882" s="193"/>
      <c r="L882" s="125"/>
      <c r="M882" s="124"/>
      <c r="N882" s="126"/>
    </row>
    <row r="883" spans="1:14">
      <c r="A883" s="125"/>
      <c r="B883" s="125"/>
      <c r="C883" s="98"/>
      <c r="D883" s="118"/>
      <c r="E883" s="125"/>
      <c r="F883" s="125"/>
      <c r="G883" s="125"/>
      <c r="H883" s="125"/>
      <c r="I883" s="125"/>
      <c r="J883" s="118"/>
      <c r="K883" s="193"/>
      <c r="L883" s="125"/>
      <c r="M883" s="124"/>
      <c r="N883" s="126"/>
    </row>
    <row r="884" spans="1:14">
      <c r="A884" s="125"/>
      <c r="B884" s="125"/>
      <c r="C884" s="98"/>
      <c r="D884" s="118"/>
      <c r="E884" s="125"/>
      <c r="F884" s="125"/>
      <c r="G884" s="125"/>
      <c r="H884" s="125"/>
      <c r="I884" s="125"/>
      <c r="J884" s="118"/>
      <c r="K884" s="193"/>
      <c r="L884" s="125"/>
      <c r="M884" s="124"/>
      <c r="N884" s="126"/>
    </row>
    <row r="885" spans="1:14">
      <c r="A885" s="125"/>
      <c r="B885" s="125"/>
      <c r="C885" s="98"/>
      <c r="D885" s="118"/>
      <c r="E885" s="125"/>
      <c r="F885" s="125"/>
      <c r="G885" s="125"/>
      <c r="H885" s="125"/>
      <c r="I885" s="125"/>
      <c r="J885" s="118"/>
      <c r="K885" s="193"/>
      <c r="L885" s="125"/>
      <c r="M885" s="124"/>
      <c r="N885" s="126"/>
    </row>
    <row r="886" spans="1:14">
      <c r="A886" s="125"/>
      <c r="B886" s="125"/>
      <c r="C886" s="98"/>
      <c r="D886" s="118"/>
      <c r="E886" s="125"/>
      <c r="F886" s="125"/>
      <c r="G886" s="125"/>
      <c r="H886" s="125"/>
      <c r="I886" s="125"/>
      <c r="J886" s="118"/>
      <c r="K886" s="193"/>
      <c r="L886" s="125"/>
      <c r="M886" s="124"/>
      <c r="N886" s="126"/>
    </row>
    <row r="887" spans="1:14">
      <c r="A887" s="125"/>
      <c r="B887" s="125"/>
      <c r="C887" s="98"/>
      <c r="D887" s="118"/>
      <c r="E887" s="125"/>
      <c r="F887" s="125"/>
      <c r="G887" s="125"/>
      <c r="H887" s="125"/>
      <c r="I887" s="125"/>
      <c r="J887" s="118"/>
      <c r="K887" s="193"/>
      <c r="L887" s="125"/>
      <c r="M887" s="124"/>
      <c r="N887" s="126"/>
    </row>
    <row r="888" spans="1:14">
      <c r="A888" s="125"/>
      <c r="B888" s="125"/>
      <c r="C888" s="98"/>
      <c r="D888" s="118"/>
      <c r="E888" s="125"/>
      <c r="F888" s="125"/>
      <c r="G888" s="125"/>
      <c r="H888" s="125"/>
      <c r="I888" s="125"/>
      <c r="J888" s="118"/>
      <c r="K888" s="193"/>
      <c r="L888" s="125"/>
      <c r="M888" s="124"/>
      <c r="N888" s="126"/>
    </row>
    <row r="889" spans="1:14">
      <c r="A889" s="125"/>
      <c r="B889" s="125"/>
      <c r="C889" s="98"/>
      <c r="D889" s="118"/>
      <c r="E889" s="125"/>
      <c r="F889" s="125"/>
      <c r="G889" s="125"/>
      <c r="H889" s="125"/>
      <c r="I889" s="125"/>
      <c r="J889" s="118"/>
      <c r="K889" s="193"/>
      <c r="L889" s="125"/>
      <c r="M889" s="124"/>
      <c r="N889" s="126"/>
    </row>
    <row r="890" spans="1:14">
      <c r="A890" s="125"/>
      <c r="B890" s="125"/>
      <c r="C890" s="98"/>
      <c r="D890" s="118"/>
      <c r="E890" s="125"/>
      <c r="F890" s="125"/>
      <c r="G890" s="125"/>
      <c r="H890" s="125"/>
      <c r="I890" s="125"/>
      <c r="J890" s="118"/>
      <c r="K890" s="193"/>
      <c r="L890" s="125"/>
      <c r="M890" s="124"/>
      <c r="N890" s="126"/>
    </row>
    <row r="891" spans="1:14">
      <c r="A891" s="125"/>
      <c r="B891" s="125"/>
      <c r="C891" s="98"/>
      <c r="D891" s="118"/>
      <c r="E891" s="125"/>
      <c r="F891" s="125"/>
      <c r="G891" s="125"/>
      <c r="H891" s="125"/>
      <c r="I891" s="125"/>
      <c r="J891" s="118"/>
      <c r="K891" s="193"/>
      <c r="L891" s="125"/>
      <c r="M891" s="124"/>
      <c r="N891" s="126"/>
    </row>
    <row r="892" spans="1:14">
      <c r="A892" s="125"/>
      <c r="B892" s="125"/>
      <c r="C892" s="98"/>
      <c r="D892" s="118"/>
      <c r="E892" s="125"/>
      <c r="F892" s="125"/>
      <c r="G892" s="125"/>
      <c r="H892" s="125"/>
      <c r="I892" s="125"/>
      <c r="J892" s="118"/>
      <c r="K892" s="193"/>
      <c r="L892" s="125"/>
      <c r="M892" s="124"/>
      <c r="N892" s="126"/>
    </row>
    <row r="893" spans="1:14">
      <c r="A893" s="125"/>
      <c r="B893" s="125"/>
      <c r="C893" s="98"/>
      <c r="D893" s="118"/>
      <c r="E893" s="125"/>
      <c r="F893" s="125"/>
      <c r="G893" s="125"/>
      <c r="H893" s="125"/>
      <c r="I893" s="125"/>
      <c r="J893" s="118"/>
      <c r="K893" s="193"/>
      <c r="L893" s="125"/>
      <c r="M893" s="124"/>
      <c r="N893" s="126"/>
    </row>
    <row r="894" spans="1:14">
      <c r="A894" s="125"/>
      <c r="B894" s="125"/>
      <c r="C894" s="98"/>
      <c r="D894" s="118"/>
      <c r="E894" s="125"/>
      <c r="F894" s="125"/>
      <c r="G894" s="125"/>
      <c r="H894" s="125"/>
      <c r="I894" s="125"/>
      <c r="J894" s="118"/>
      <c r="K894" s="193"/>
      <c r="L894" s="125"/>
      <c r="M894" s="124"/>
      <c r="N894" s="126"/>
    </row>
    <row r="895" spans="1:14">
      <c r="A895" s="125"/>
      <c r="B895" s="125"/>
      <c r="C895" s="98"/>
      <c r="D895" s="118"/>
      <c r="E895" s="125"/>
      <c r="F895" s="125"/>
      <c r="G895" s="125"/>
      <c r="H895" s="125"/>
      <c r="I895" s="125"/>
      <c r="J895" s="118"/>
      <c r="K895" s="193"/>
      <c r="L895" s="125"/>
      <c r="M895" s="124"/>
      <c r="N895" s="126"/>
    </row>
    <row r="896" spans="1:14">
      <c r="A896" s="125"/>
      <c r="B896" s="125"/>
      <c r="C896" s="98"/>
      <c r="D896" s="118"/>
      <c r="E896" s="125"/>
      <c r="F896" s="125"/>
      <c r="G896" s="125"/>
      <c r="H896" s="125"/>
      <c r="I896" s="125"/>
      <c r="J896" s="118"/>
      <c r="K896" s="193"/>
      <c r="L896" s="125"/>
      <c r="M896" s="124"/>
      <c r="N896" s="126"/>
    </row>
    <row r="897" spans="1:14">
      <c r="A897" s="125"/>
      <c r="B897" s="125"/>
      <c r="C897" s="98"/>
      <c r="D897" s="118"/>
      <c r="E897" s="125"/>
      <c r="F897" s="125"/>
      <c r="G897" s="125"/>
      <c r="H897" s="125"/>
      <c r="I897" s="125"/>
      <c r="J897" s="118"/>
      <c r="K897" s="193"/>
      <c r="L897" s="125"/>
      <c r="M897" s="124"/>
      <c r="N897" s="126"/>
    </row>
    <row r="898" spans="1:14">
      <c r="A898" s="125"/>
      <c r="B898" s="125"/>
      <c r="C898" s="98"/>
      <c r="D898" s="118"/>
      <c r="E898" s="125"/>
      <c r="F898" s="125"/>
      <c r="G898" s="125"/>
      <c r="H898" s="125"/>
      <c r="I898" s="125"/>
      <c r="J898" s="118"/>
      <c r="K898" s="193"/>
      <c r="L898" s="125"/>
      <c r="M898" s="124"/>
      <c r="N898" s="126"/>
    </row>
    <row r="899" spans="1:14">
      <c r="A899" s="125"/>
      <c r="B899" s="125"/>
      <c r="C899" s="98"/>
      <c r="D899" s="118"/>
      <c r="E899" s="125"/>
      <c r="F899" s="125"/>
      <c r="G899" s="125"/>
      <c r="H899" s="125"/>
      <c r="I899" s="125"/>
      <c r="J899" s="118"/>
      <c r="K899" s="193"/>
      <c r="L899" s="125"/>
      <c r="M899" s="124"/>
      <c r="N899" s="126"/>
    </row>
    <row r="900" spans="1:14">
      <c r="A900" s="125"/>
      <c r="B900" s="125"/>
      <c r="C900" s="98"/>
      <c r="D900" s="118"/>
      <c r="E900" s="125"/>
      <c r="F900" s="125"/>
      <c r="G900" s="125"/>
      <c r="H900" s="125"/>
      <c r="I900" s="125"/>
      <c r="J900" s="118"/>
      <c r="K900" s="193"/>
      <c r="L900" s="125"/>
      <c r="M900" s="124"/>
      <c r="N900" s="126"/>
    </row>
    <row r="901" spans="1:14">
      <c r="A901" s="125"/>
      <c r="B901" s="125"/>
      <c r="C901" s="98"/>
      <c r="D901" s="118"/>
      <c r="E901" s="125"/>
      <c r="F901" s="125"/>
      <c r="G901" s="125"/>
      <c r="H901" s="125"/>
      <c r="I901" s="125"/>
      <c r="J901" s="118"/>
      <c r="K901" s="193"/>
      <c r="L901" s="125"/>
      <c r="M901" s="124"/>
      <c r="N901" s="126"/>
    </row>
    <row r="902" spans="1:14">
      <c r="A902" s="125"/>
      <c r="B902" s="125"/>
      <c r="C902" s="98"/>
      <c r="D902" s="118"/>
      <c r="E902" s="125"/>
      <c r="F902" s="125"/>
      <c r="G902" s="125"/>
      <c r="H902" s="125"/>
      <c r="I902" s="125"/>
      <c r="J902" s="118"/>
      <c r="K902" s="193"/>
      <c r="L902" s="125"/>
      <c r="M902" s="124"/>
      <c r="N902" s="126"/>
    </row>
    <row r="903" spans="1:14">
      <c r="A903" s="125"/>
      <c r="B903" s="125"/>
      <c r="C903" s="98"/>
      <c r="D903" s="118"/>
      <c r="E903" s="125"/>
      <c r="F903" s="125"/>
      <c r="G903" s="125"/>
      <c r="H903" s="125"/>
      <c r="I903" s="125"/>
      <c r="J903" s="118"/>
      <c r="K903" s="193"/>
      <c r="L903" s="125"/>
      <c r="M903" s="124"/>
      <c r="N903" s="126"/>
    </row>
    <row r="904" spans="1:14">
      <c r="A904" s="125"/>
      <c r="B904" s="125"/>
      <c r="C904" s="98"/>
      <c r="D904" s="118"/>
      <c r="E904" s="125"/>
      <c r="F904" s="125"/>
      <c r="G904" s="125"/>
      <c r="H904" s="125"/>
      <c r="I904" s="125"/>
      <c r="J904" s="118"/>
      <c r="K904" s="193"/>
      <c r="L904" s="125"/>
      <c r="M904" s="124"/>
      <c r="N904" s="126"/>
    </row>
    <row r="905" spans="1:14">
      <c r="A905" s="125"/>
      <c r="B905" s="125"/>
      <c r="C905" s="98"/>
      <c r="D905" s="118"/>
      <c r="E905" s="125"/>
      <c r="F905" s="125"/>
      <c r="G905" s="125"/>
      <c r="H905" s="125"/>
      <c r="I905" s="125"/>
      <c r="J905" s="118"/>
      <c r="K905" s="193"/>
      <c r="L905" s="125"/>
      <c r="M905" s="124"/>
      <c r="N905" s="126"/>
    </row>
    <row r="906" spans="1:14">
      <c r="A906" s="125"/>
      <c r="B906" s="125"/>
      <c r="C906" s="98"/>
      <c r="D906" s="118"/>
      <c r="E906" s="125"/>
      <c r="F906" s="125"/>
      <c r="G906" s="125"/>
      <c r="H906" s="125"/>
      <c r="I906" s="125"/>
      <c r="J906" s="118"/>
      <c r="K906" s="193"/>
      <c r="L906" s="125"/>
      <c r="M906" s="124"/>
      <c r="N906" s="126"/>
    </row>
    <row r="907" spans="1:14">
      <c r="A907" s="125"/>
      <c r="B907" s="125"/>
      <c r="C907" s="98"/>
      <c r="D907" s="118"/>
      <c r="E907" s="125"/>
      <c r="F907" s="125"/>
      <c r="G907" s="125"/>
      <c r="H907" s="125"/>
      <c r="I907" s="125"/>
      <c r="J907" s="118"/>
      <c r="K907" s="193"/>
      <c r="L907" s="125"/>
      <c r="M907" s="124"/>
      <c r="N907" s="126"/>
    </row>
    <row r="908" spans="1:14">
      <c r="A908" s="125"/>
      <c r="B908" s="125"/>
      <c r="C908" s="98"/>
      <c r="D908" s="118"/>
      <c r="E908" s="125"/>
      <c r="F908" s="125"/>
      <c r="G908" s="125"/>
      <c r="H908" s="125"/>
      <c r="I908" s="125"/>
      <c r="J908" s="118"/>
      <c r="K908" s="193"/>
      <c r="L908" s="125"/>
      <c r="M908" s="124"/>
      <c r="N908" s="126"/>
    </row>
    <row r="909" spans="1:14">
      <c r="A909" s="125"/>
      <c r="B909" s="125"/>
      <c r="C909" s="98"/>
      <c r="D909" s="118"/>
      <c r="E909" s="125"/>
      <c r="F909" s="125"/>
      <c r="G909" s="125"/>
      <c r="H909" s="125"/>
      <c r="I909" s="125"/>
      <c r="J909" s="118"/>
      <c r="K909" s="193"/>
      <c r="L909" s="125"/>
      <c r="M909" s="124"/>
      <c r="N909" s="126"/>
    </row>
    <row r="910" spans="1:14">
      <c r="A910" s="125"/>
      <c r="B910" s="125"/>
      <c r="C910" s="98"/>
      <c r="D910" s="118"/>
      <c r="E910" s="125"/>
      <c r="F910" s="125"/>
      <c r="G910" s="125"/>
      <c r="H910" s="125"/>
      <c r="I910" s="125"/>
      <c r="J910" s="118"/>
      <c r="K910" s="193"/>
      <c r="L910" s="125"/>
      <c r="M910" s="124"/>
      <c r="N910" s="126"/>
    </row>
    <row r="911" spans="1:14">
      <c r="A911" s="125"/>
      <c r="B911" s="125"/>
      <c r="C911" s="98"/>
      <c r="D911" s="118"/>
      <c r="E911" s="125"/>
      <c r="F911" s="125"/>
      <c r="G911" s="125"/>
      <c r="H911" s="125"/>
      <c r="I911" s="125"/>
      <c r="J911" s="118"/>
      <c r="K911" s="193"/>
      <c r="L911" s="125"/>
      <c r="M911" s="124"/>
      <c r="N911" s="126"/>
    </row>
    <row r="912" spans="1:14">
      <c r="A912" s="125"/>
      <c r="B912" s="125"/>
      <c r="C912" s="98"/>
      <c r="D912" s="118"/>
      <c r="E912" s="125"/>
      <c r="F912" s="125"/>
      <c r="G912" s="125"/>
      <c r="H912" s="125"/>
      <c r="I912" s="125"/>
      <c r="J912" s="118"/>
      <c r="K912" s="193"/>
      <c r="L912" s="125"/>
      <c r="M912" s="124"/>
      <c r="N912" s="126"/>
    </row>
    <row r="913" spans="1:14">
      <c r="A913" s="125"/>
      <c r="B913" s="125"/>
      <c r="C913" s="98"/>
      <c r="D913" s="118"/>
      <c r="E913" s="125"/>
      <c r="F913" s="125"/>
      <c r="G913" s="125"/>
      <c r="H913" s="125"/>
      <c r="I913" s="125"/>
      <c r="J913" s="118"/>
      <c r="K913" s="193"/>
      <c r="L913" s="125"/>
      <c r="M913" s="124"/>
      <c r="N913" s="126"/>
    </row>
    <row r="914" spans="1:14">
      <c r="A914" s="125"/>
      <c r="B914" s="125"/>
      <c r="C914" s="98"/>
      <c r="D914" s="118"/>
      <c r="E914" s="125"/>
      <c r="F914" s="125"/>
      <c r="G914" s="125"/>
      <c r="H914" s="125"/>
      <c r="I914" s="125"/>
      <c r="J914" s="118"/>
      <c r="K914" s="193"/>
      <c r="L914" s="125"/>
      <c r="M914" s="124"/>
      <c r="N914" s="126"/>
    </row>
    <row r="915" spans="1:14">
      <c r="A915" s="125"/>
      <c r="B915" s="125"/>
      <c r="C915" s="98"/>
      <c r="D915" s="118"/>
      <c r="E915" s="125"/>
      <c r="F915" s="125"/>
      <c r="G915" s="125"/>
      <c r="H915" s="125"/>
      <c r="I915" s="125"/>
      <c r="J915" s="118"/>
      <c r="K915" s="193"/>
      <c r="L915" s="125"/>
      <c r="M915" s="124"/>
      <c r="N915" s="126"/>
    </row>
    <row r="916" spans="1:14">
      <c r="A916" s="125"/>
      <c r="B916" s="125"/>
      <c r="C916" s="98"/>
      <c r="D916" s="118"/>
      <c r="E916" s="125"/>
      <c r="F916" s="125"/>
      <c r="G916" s="125"/>
      <c r="H916" s="125"/>
      <c r="I916" s="125"/>
      <c r="J916" s="118"/>
      <c r="K916" s="193"/>
      <c r="L916" s="125"/>
      <c r="M916" s="124"/>
      <c r="N916" s="126"/>
    </row>
    <row r="917" spans="1:14">
      <c r="A917" s="125"/>
      <c r="B917" s="125"/>
      <c r="C917" s="98"/>
      <c r="D917" s="118"/>
      <c r="E917" s="125"/>
      <c r="F917" s="125"/>
      <c r="G917" s="125"/>
      <c r="H917" s="125"/>
      <c r="I917" s="125"/>
      <c r="J917" s="118"/>
      <c r="K917" s="193"/>
      <c r="L917" s="125"/>
      <c r="M917" s="124"/>
      <c r="N917" s="126"/>
    </row>
    <row r="918" spans="1:14">
      <c r="A918" s="125"/>
      <c r="B918" s="125"/>
      <c r="C918" s="98"/>
      <c r="D918" s="118"/>
      <c r="E918" s="125"/>
      <c r="F918" s="125"/>
      <c r="G918" s="125"/>
      <c r="H918" s="125"/>
      <c r="I918" s="125"/>
      <c r="J918" s="118"/>
      <c r="K918" s="193"/>
      <c r="L918" s="125"/>
      <c r="M918" s="124"/>
      <c r="N918" s="126"/>
    </row>
    <row r="919" spans="1:14">
      <c r="A919" s="125"/>
      <c r="B919" s="125"/>
      <c r="C919" s="98"/>
      <c r="D919" s="118"/>
      <c r="E919" s="125"/>
      <c r="F919" s="125"/>
      <c r="G919" s="125"/>
      <c r="H919" s="125"/>
      <c r="I919" s="125"/>
      <c r="J919" s="118"/>
      <c r="K919" s="193"/>
      <c r="L919" s="125"/>
      <c r="M919" s="124"/>
      <c r="N919" s="126"/>
    </row>
    <row r="920" spans="1:14">
      <c r="A920" s="125"/>
      <c r="B920" s="125"/>
      <c r="C920" s="98"/>
      <c r="D920" s="118"/>
      <c r="E920" s="125"/>
      <c r="F920" s="125"/>
      <c r="G920" s="125"/>
      <c r="H920" s="125"/>
      <c r="I920" s="125"/>
      <c r="J920" s="118"/>
      <c r="K920" s="193"/>
      <c r="L920" s="125"/>
      <c r="M920" s="124"/>
      <c r="N920" s="126"/>
    </row>
    <row r="921" spans="1:14">
      <c r="A921" s="125"/>
      <c r="B921" s="125"/>
      <c r="C921" s="98"/>
      <c r="D921" s="118"/>
      <c r="E921" s="125"/>
      <c r="F921" s="125"/>
      <c r="G921" s="125"/>
      <c r="H921" s="125"/>
      <c r="I921" s="125"/>
      <c r="J921" s="118"/>
      <c r="K921" s="193"/>
      <c r="L921" s="125"/>
      <c r="M921" s="124"/>
      <c r="N921" s="126"/>
    </row>
    <row r="922" spans="1:14">
      <c r="A922" s="125"/>
      <c r="B922" s="125"/>
      <c r="C922" s="98"/>
      <c r="D922" s="118"/>
      <c r="E922" s="125"/>
      <c r="F922" s="125"/>
      <c r="G922" s="125"/>
      <c r="H922" s="125"/>
      <c r="I922" s="125"/>
      <c r="J922" s="118"/>
      <c r="K922" s="193"/>
      <c r="L922" s="125"/>
      <c r="M922" s="124"/>
      <c r="N922" s="126"/>
    </row>
    <row r="923" spans="1:14">
      <c r="A923" s="125"/>
      <c r="B923" s="125"/>
      <c r="C923" s="98"/>
      <c r="D923" s="118"/>
      <c r="E923" s="125"/>
      <c r="F923" s="125"/>
      <c r="G923" s="125"/>
      <c r="H923" s="125"/>
      <c r="I923" s="125"/>
      <c r="J923" s="118"/>
      <c r="K923" s="193"/>
      <c r="L923" s="125"/>
      <c r="M923" s="124"/>
      <c r="N923" s="126"/>
    </row>
    <row r="924" spans="1:14">
      <c r="A924" s="125"/>
      <c r="B924" s="125"/>
      <c r="C924" s="98"/>
      <c r="D924" s="118"/>
      <c r="E924" s="125"/>
      <c r="F924" s="125"/>
      <c r="G924" s="125"/>
      <c r="H924" s="125"/>
      <c r="I924" s="125"/>
      <c r="J924" s="118"/>
      <c r="K924" s="193"/>
      <c r="L924" s="125"/>
      <c r="M924" s="124"/>
      <c r="N924" s="126"/>
    </row>
    <row r="925" spans="1:14">
      <c r="A925" s="125"/>
      <c r="B925" s="125"/>
      <c r="C925" s="98"/>
      <c r="D925" s="118"/>
      <c r="E925" s="125"/>
      <c r="F925" s="125"/>
      <c r="G925" s="125"/>
      <c r="H925" s="125"/>
      <c r="I925" s="125"/>
      <c r="J925" s="118"/>
      <c r="K925" s="193"/>
      <c r="L925" s="125"/>
      <c r="M925" s="124"/>
      <c r="N925" s="126"/>
    </row>
    <row r="926" spans="1:14">
      <c r="A926" s="125"/>
      <c r="B926" s="125"/>
      <c r="C926" s="98"/>
      <c r="D926" s="118"/>
      <c r="E926" s="125"/>
      <c r="F926" s="125"/>
      <c r="G926" s="125"/>
      <c r="H926" s="125"/>
      <c r="I926" s="125"/>
      <c r="J926" s="118"/>
      <c r="K926" s="193"/>
      <c r="L926" s="125"/>
      <c r="M926" s="124"/>
      <c r="N926" s="126"/>
    </row>
    <row r="927" spans="1:14">
      <c r="A927" s="125"/>
      <c r="B927" s="125"/>
      <c r="C927" s="98"/>
      <c r="D927" s="118"/>
      <c r="E927" s="125"/>
      <c r="F927" s="125"/>
      <c r="G927" s="125"/>
      <c r="H927" s="125"/>
      <c r="I927" s="125"/>
      <c r="J927" s="118"/>
      <c r="K927" s="193"/>
      <c r="L927" s="125"/>
      <c r="M927" s="124"/>
      <c r="N927" s="126"/>
    </row>
    <row r="928" spans="1:14">
      <c r="A928" s="125"/>
      <c r="B928" s="125"/>
      <c r="C928" s="98"/>
      <c r="D928" s="118"/>
      <c r="E928" s="125"/>
      <c r="F928" s="125"/>
      <c r="G928" s="125"/>
      <c r="H928" s="125"/>
      <c r="I928" s="125"/>
      <c r="J928" s="118"/>
      <c r="K928" s="193"/>
      <c r="L928" s="125"/>
      <c r="M928" s="124"/>
      <c r="N928" s="126"/>
    </row>
    <row r="929" spans="1:14">
      <c r="A929" s="125"/>
      <c r="B929" s="125"/>
      <c r="C929" s="98"/>
      <c r="D929" s="118"/>
      <c r="E929" s="125"/>
      <c r="F929" s="125"/>
      <c r="G929" s="125"/>
      <c r="H929" s="125"/>
      <c r="I929" s="125"/>
      <c r="J929" s="118"/>
      <c r="K929" s="193"/>
      <c r="L929" s="125"/>
      <c r="M929" s="124"/>
      <c r="N929" s="126"/>
    </row>
    <row r="930" spans="1:14">
      <c r="A930" s="125"/>
      <c r="B930" s="125"/>
      <c r="C930" s="98"/>
      <c r="D930" s="118"/>
      <c r="E930" s="125"/>
      <c r="F930" s="125"/>
      <c r="G930" s="125"/>
      <c r="H930" s="125"/>
      <c r="I930" s="125"/>
      <c r="J930" s="118"/>
      <c r="K930" s="193"/>
      <c r="L930" s="125"/>
      <c r="M930" s="124"/>
      <c r="N930" s="126"/>
    </row>
    <row r="931" spans="1:14">
      <c r="A931" s="125"/>
      <c r="B931" s="125"/>
      <c r="C931" s="98"/>
      <c r="D931" s="118"/>
      <c r="E931" s="125"/>
      <c r="F931" s="125"/>
      <c r="G931" s="125"/>
      <c r="H931" s="125"/>
      <c r="I931" s="125"/>
      <c r="J931" s="118"/>
      <c r="K931" s="193"/>
      <c r="L931" s="125"/>
      <c r="M931" s="124"/>
      <c r="N931" s="126"/>
    </row>
    <row r="932" spans="1:14">
      <c r="A932" s="125"/>
      <c r="B932" s="125"/>
      <c r="C932" s="98"/>
      <c r="D932" s="118"/>
      <c r="E932" s="125"/>
      <c r="F932" s="125"/>
      <c r="G932" s="125"/>
      <c r="H932" s="125"/>
      <c r="I932" s="125"/>
      <c r="J932" s="118"/>
      <c r="K932" s="193"/>
      <c r="L932" s="125"/>
      <c r="M932" s="124"/>
      <c r="N932" s="126"/>
    </row>
    <row r="933" spans="1:14">
      <c r="A933" s="125"/>
      <c r="B933" s="125"/>
      <c r="C933" s="98"/>
      <c r="D933" s="118"/>
      <c r="E933" s="125"/>
      <c r="F933" s="125"/>
      <c r="G933" s="125"/>
      <c r="H933" s="125"/>
      <c r="I933" s="125"/>
      <c r="J933" s="118"/>
      <c r="K933" s="193"/>
      <c r="L933" s="125"/>
      <c r="M933" s="124"/>
      <c r="N933" s="126"/>
    </row>
    <row r="934" spans="1:14">
      <c r="A934" s="125"/>
      <c r="B934" s="125"/>
      <c r="C934" s="98"/>
      <c r="D934" s="118"/>
      <c r="E934" s="125"/>
      <c r="F934" s="125"/>
      <c r="G934" s="125"/>
      <c r="H934" s="125"/>
      <c r="I934" s="125"/>
      <c r="J934" s="118"/>
      <c r="K934" s="193"/>
      <c r="L934" s="125"/>
      <c r="M934" s="124"/>
      <c r="N934" s="126"/>
    </row>
    <row r="935" spans="1:14">
      <c r="A935" s="125"/>
      <c r="B935" s="125"/>
      <c r="C935" s="98"/>
      <c r="D935" s="118"/>
      <c r="E935" s="125"/>
      <c r="F935" s="125"/>
      <c r="G935" s="125"/>
      <c r="H935" s="125"/>
      <c r="I935" s="125"/>
      <c r="J935" s="118"/>
      <c r="K935" s="193"/>
      <c r="L935" s="125"/>
      <c r="M935" s="124"/>
      <c r="N935" s="126"/>
    </row>
    <row r="936" spans="1:14">
      <c r="A936" s="125"/>
      <c r="B936" s="125"/>
      <c r="C936" s="98"/>
      <c r="D936" s="118"/>
      <c r="E936" s="125"/>
      <c r="F936" s="125"/>
      <c r="G936" s="125"/>
      <c r="H936" s="125"/>
      <c r="I936" s="125"/>
      <c r="J936" s="118"/>
      <c r="K936" s="193"/>
      <c r="L936" s="125"/>
      <c r="M936" s="124"/>
      <c r="N936" s="126"/>
    </row>
    <row r="937" spans="1:14">
      <c r="A937" s="125"/>
      <c r="B937" s="125"/>
      <c r="C937" s="98"/>
      <c r="D937" s="118"/>
      <c r="E937" s="125"/>
      <c r="F937" s="125"/>
      <c r="G937" s="125"/>
      <c r="H937" s="125"/>
      <c r="I937" s="125"/>
      <c r="J937" s="118"/>
      <c r="K937" s="193"/>
      <c r="L937" s="125"/>
      <c r="M937" s="124"/>
      <c r="N937" s="126"/>
    </row>
    <row r="938" spans="1:14">
      <c r="A938" s="125"/>
      <c r="B938" s="125"/>
      <c r="C938" s="98"/>
      <c r="D938" s="118"/>
      <c r="E938" s="125"/>
      <c r="F938" s="125"/>
      <c r="G938" s="125"/>
      <c r="H938" s="125"/>
      <c r="I938" s="125"/>
      <c r="J938" s="118"/>
      <c r="K938" s="193"/>
      <c r="L938" s="125"/>
      <c r="M938" s="124"/>
      <c r="N938" s="126"/>
    </row>
    <row r="939" spans="1:14">
      <c r="A939" s="125"/>
      <c r="B939" s="125"/>
      <c r="C939" s="98"/>
      <c r="D939" s="118"/>
      <c r="E939" s="125"/>
      <c r="F939" s="125"/>
      <c r="G939" s="125"/>
      <c r="H939" s="125"/>
      <c r="I939" s="125"/>
      <c r="J939" s="118"/>
      <c r="K939" s="193"/>
      <c r="L939" s="125"/>
      <c r="M939" s="124"/>
      <c r="N939" s="126"/>
    </row>
    <row r="940" spans="1:14">
      <c r="A940" s="125"/>
      <c r="B940" s="125"/>
      <c r="C940" s="98"/>
      <c r="D940" s="118"/>
      <c r="E940" s="125"/>
      <c r="F940" s="125"/>
      <c r="G940" s="125"/>
      <c r="H940" s="125"/>
      <c r="I940" s="125"/>
      <c r="J940" s="118"/>
      <c r="K940" s="193"/>
      <c r="L940" s="125"/>
      <c r="M940" s="124"/>
      <c r="N940" s="126"/>
    </row>
    <row r="941" spans="1:14">
      <c r="A941" s="125"/>
      <c r="B941" s="125"/>
      <c r="C941" s="98"/>
      <c r="D941" s="118"/>
      <c r="E941" s="125"/>
      <c r="F941" s="125"/>
      <c r="G941" s="125"/>
      <c r="H941" s="125"/>
      <c r="I941" s="125"/>
      <c r="J941" s="118"/>
      <c r="K941" s="193"/>
      <c r="L941" s="125"/>
      <c r="M941" s="124"/>
      <c r="N941" s="126"/>
    </row>
    <row r="942" spans="1:14">
      <c r="A942" s="125"/>
      <c r="B942" s="125"/>
      <c r="C942" s="98"/>
      <c r="D942" s="118"/>
      <c r="E942" s="125"/>
      <c r="F942" s="125"/>
      <c r="G942" s="125"/>
      <c r="H942" s="125"/>
      <c r="I942" s="125"/>
      <c r="J942" s="118"/>
      <c r="K942" s="193"/>
      <c r="L942" s="125"/>
      <c r="M942" s="124"/>
      <c r="N942" s="126"/>
    </row>
    <row r="943" spans="1:14">
      <c r="A943" s="125"/>
      <c r="B943" s="125"/>
      <c r="C943" s="98"/>
      <c r="D943" s="118"/>
      <c r="E943" s="125"/>
      <c r="F943" s="125"/>
      <c r="G943" s="125"/>
      <c r="H943" s="125"/>
      <c r="I943" s="125"/>
      <c r="J943" s="118"/>
      <c r="K943" s="193"/>
      <c r="L943" s="125"/>
      <c r="M943" s="124"/>
      <c r="N943" s="126"/>
    </row>
    <row r="944" spans="1:14">
      <c r="A944" s="125"/>
      <c r="B944" s="125"/>
      <c r="C944" s="98"/>
      <c r="D944" s="118"/>
      <c r="E944" s="125"/>
      <c r="F944" s="125"/>
      <c r="G944" s="125"/>
      <c r="H944" s="125"/>
      <c r="I944" s="125"/>
      <c r="J944" s="118"/>
      <c r="K944" s="193"/>
      <c r="L944" s="125"/>
      <c r="M944" s="124"/>
      <c r="N944" s="126"/>
    </row>
    <row r="945" spans="1:14">
      <c r="A945" s="125"/>
      <c r="B945" s="125"/>
      <c r="C945" s="98"/>
      <c r="D945" s="118"/>
      <c r="E945" s="125"/>
      <c r="F945" s="125"/>
      <c r="G945" s="125"/>
      <c r="H945" s="125"/>
      <c r="I945" s="125"/>
      <c r="J945" s="118"/>
      <c r="K945" s="193"/>
      <c r="L945" s="125"/>
      <c r="M945" s="124"/>
      <c r="N945" s="126"/>
    </row>
    <row r="946" spans="1:14">
      <c r="A946" s="125"/>
      <c r="B946" s="125"/>
      <c r="C946" s="98"/>
      <c r="D946" s="118"/>
      <c r="E946" s="125"/>
      <c r="F946" s="125"/>
      <c r="G946" s="125"/>
      <c r="H946" s="125"/>
      <c r="I946" s="125"/>
      <c r="J946" s="118"/>
      <c r="K946" s="193"/>
      <c r="L946" s="125"/>
      <c r="M946" s="124"/>
      <c r="N946" s="126"/>
    </row>
    <row r="947" spans="1:14">
      <c r="A947" s="125"/>
      <c r="B947" s="125"/>
      <c r="C947" s="98"/>
      <c r="D947" s="118"/>
      <c r="E947" s="125"/>
      <c r="F947" s="125"/>
      <c r="G947" s="125"/>
      <c r="H947" s="125"/>
      <c r="I947" s="125"/>
      <c r="J947" s="118"/>
      <c r="K947" s="193"/>
      <c r="L947" s="125"/>
      <c r="M947" s="124"/>
      <c r="N947" s="126"/>
    </row>
    <row r="948" spans="1:14">
      <c r="A948" s="125"/>
      <c r="B948" s="125"/>
      <c r="C948" s="98"/>
      <c r="D948" s="118"/>
      <c r="E948" s="125"/>
      <c r="F948" s="125"/>
      <c r="G948" s="125"/>
      <c r="H948" s="125"/>
      <c r="I948" s="125"/>
      <c r="J948" s="118"/>
      <c r="K948" s="193"/>
      <c r="L948" s="125"/>
      <c r="M948" s="124"/>
      <c r="N948" s="126"/>
    </row>
    <row r="949" spans="1:14">
      <c r="A949" s="125"/>
      <c r="B949" s="125"/>
      <c r="C949" s="98"/>
      <c r="D949" s="118"/>
      <c r="E949" s="125"/>
      <c r="F949" s="125"/>
      <c r="G949" s="125"/>
      <c r="H949" s="125"/>
      <c r="I949" s="125"/>
      <c r="J949" s="118"/>
      <c r="K949" s="193"/>
      <c r="L949" s="125"/>
      <c r="M949" s="124"/>
      <c r="N949" s="126"/>
    </row>
    <row r="950" spans="1:14">
      <c r="A950" s="125"/>
      <c r="B950" s="125"/>
      <c r="C950" s="98"/>
      <c r="D950" s="118"/>
      <c r="E950" s="125"/>
      <c r="F950" s="125"/>
      <c r="G950" s="125"/>
      <c r="H950" s="125"/>
      <c r="I950" s="125"/>
      <c r="J950" s="118"/>
      <c r="K950" s="193"/>
      <c r="L950" s="125"/>
      <c r="M950" s="124"/>
      <c r="N950" s="126"/>
    </row>
    <row r="951" spans="1:14">
      <c r="A951" s="125"/>
      <c r="B951" s="125"/>
      <c r="C951" s="98"/>
      <c r="D951" s="118"/>
      <c r="E951" s="125"/>
      <c r="F951" s="125"/>
      <c r="G951" s="125"/>
      <c r="H951" s="125"/>
      <c r="I951" s="125"/>
      <c r="J951" s="118"/>
      <c r="K951" s="193"/>
      <c r="L951" s="125"/>
      <c r="M951" s="124"/>
      <c r="N951" s="126"/>
    </row>
    <row r="952" spans="1:14">
      <c r="A952" s="125"/>
      <c r="B952" s="125"/>
      <c r="C952" s="98"/>
      <c r="D952" s="118"/>
      <c r="E952" s="125"/>
      <c r="F952" s="125"/>
      <c r="G952" s="125"/>
      <c r="H952" s="125"/>
      <c r="I952" s="125"/>
      <c r="J952" s="118"/>
      <c r="K952" s="193"/>
      <c r="L952" s="125"/>
      <c r="M952" s="124"/>
      <c r="N952" s="126"/>
    </row>
    <row r="953" spans="1:14">
      <c r="A953" s="125"/>
      <c r="B953" s="125"/>
      <c r="C953" s="98"/>
      <c r="D953" s="118"/>
      <c r="E953" s="125"/>
      <c r="F953" s="125"/>
      <c r="G953" s="125"/>
      <c r="H953" s="125"/>
      <c r="I953" s="125"/>
      <c r="J953" s="118"/>
      <c r="K953" s="193"/>
      <c r="L953" s="125"/>
      <c r="M953" s="124"/>
      <c r="N953" s="126"/>
    </row>
    <row r="954" spans="1:14">
      <c r="A954" s="125"/>
      <c r="B954" s="125"/>
      <c r="C954" s="98"/>
      <c r="D954" s="118"/>
      <c r="E954" s="125"/>
      <c r="F954" s="125"/>
      <c r="G954" s="125"/>
      <c r="H954" s="125"/>
      <c r="I954" s="125"/>
      <c r="J954" s="118"/>
      <c r="K954" s="193"/>
      <c r="L954" s="125"/>
      <c r="M954" s="124"/>
      <c r="N954" s="126"/>
    </row>
    <row r="955" spans="1:14">
      <c r="A955" s="125"/>
      <c r="B955" s="125"/>
      <c r="C955" s="98"/>
      <c r="D955" s="118"/>
      <c r="E955" s="125"/>
      <c r="F955" s="125"/>
      <c r="G955" s="125"/>
      <c r="H955" s="118"/>
      <c r="I955" s="125"/>
      <c r="J955" s="118"/>
      <c r="K955" s="193"/>
      <c r="L955" s="125"/>
      <c r="M955" s="124"/>
      <c r="N955" s="126"/>
    </row>
    <row r="956" spans="1:14">
      <c r="A956" s="125"/>
      <c r="B956" s="125"/>
      <c r="C956" s="98"/>
      <c r="D956" s="118"/>
      <c r="E956" s="125"/>
      <c r="F956" s="125"/>
      <c r="G956" s="125"/>
      <c r="H956" s="118"/>
      <c r="I956" s="125"/>
      <c r="J956" s="118"/>
      <c r="K956" s="193"/>
      <c r="L956" s="125"/>
      <c r="M956" s="124"/>
      <c r="N956" s="126"/>
    </row>
    <row r="957" spans="1:14">
      <c r="A957" s="125"/>
      <c r="B957" s="125"/>
      <c r="C957" s="98"/>
      <c r="D957" s="118"/>
      <c r="E957" s="125"/>
      <c r="F957" s="125"/>
      <c r="G957" s="125"/>
      <c r="H957" s="118"/>
      <c r="I957" s="125"/>
      <c r="J957" s="118"/>
      <c r="K957" s="193"/>
      <c r="L957" s="125"/>
      <c r="M957" s="124"/>
      <c r="N957" s="126"/>
    </row>
    <row r="958" spans="1:14">
      <c r="A958" s="125"/>
      <c r="B958" s="125"/>
      <c r="C958" s="98"/>
      <c r="D958" s="118"/>
      <c r="E958" s="125"/>
      <c r="F958" s="125"/>
      <c r="G958" s="125"/>
      <c r="H958" s="118"/>
      <c r="I958" s="125"/>
      <c r="J958" s="118"/>
      <c r="K958" s="193"/>
      <c r="L958" s="125"/>
      <c r="M958" s="124"/>
      <c r="N958" s="126"/>
    </row>
    <row r="959" spans="1:14">
      <c r="A959" s="125"/>
      <c r="B959" s="125"/>
      <c r="C959" s="98"/>
      <c r="D959" s="118"/>
      <c r="E959" s="125"/>
      <c r="F959" s="125"/>
      <c r="G959" s="125"/>
      <c r="H959" s="125"/>
      <c r="I959" s="125"/>
      <c r="J959" s="118"/>
      <c r="K959" s="193"/>
      <c r="L959" s="125"/>
      <c r="M959" s="124"/>
      <c r="N959" s="126"/>
    </row>
    <row r="960" spans="1:14">
      <c r="A960" s="125"/>
      <c r="B960" s="125"/>
      <c r="C960" s="98"/>
      <c r="D960" s="118"/>
      <c r="E960" s="125"/>
      <c r="F960" s="125"/>
      <c r="G960" s="125"/>
      <c r="H960" s="125"/>
      <c r="I960" s="125"/>
      <c r="J960" s="118"/>
      <c r="K960" s="193"/>
      <c r="L960" s="125"/>
      <c r="M960" s="124"/>
      <c r="N960" s="126"/>
    </row>
    <row r="961" spans="1:14">
      <c r="A961" s="125"/>
      <c r="B961" s="125"/>
      <c r="C961" s="98"/>
      <c r="D961" s="118"/>
      <c r="E961" s="125"/>
      <c r="F961" s="125"/>
      <c r="G961" s="118"/>
      <c r="H961" s="125"/>
      <c r="I961" s="125"/>
      <c r="J961" s="118"/>
      <c r="K961" s="193"/>
      <c r="L961" s="125"/>
      <c r="M961" s="124"/>
      <c r="N961" s="126"/>
    </row>
    <row r="962" spans="1:14">
      <c r="A962" s="125"/>
      <c r="B962" s="125"/>
      <c r="C962" s="98"/>
      <c r="D962" s="118"/>
      <c r="E962" s="125"/>
      <c r="F962" s="125"/>
      <c r="G962" s="118"/>
      <c r="H962" s="125"/>
      <c r="I962" s="125"/>
      <c r="J962" s="118"/>
      <c r="K962" s="193"/>
      <c r="L962" s="125"/>
      <c r="M962" s="124"/>
      <c r="N962" s="126"/>
    </row>
    <row r="963" spans="1:14">
      <c r="A963" s="125"/>
      <c r="B963" s="125"/>
      <c r="C963" s="98"/>
      <c r="D963" s="118"/>
      <c r="E963" s="125"/>
      <c r="F963" s="125"/>
      <c r="G963" s="118"/>
      <c r="H963" s="125"/>
      <c r="I963" s="125"/>
      <c r="J963" s="118"/>
      <c r="K963" s="193"/>
      <c r="L963" s="125"/>
      <c r="M963" s="124"/>
      <c r="N963" s="126"/>
    </row>
    <row r="964" spans="1:14">
      <c r="A964" s="125"/>
      <c r="B964" s="125"/>
      <c r="C964" s="98"/>
      <c r="D964" s="118"/>
      <c r="E964" s="125"/>
      <c r="F964" s="125"/>
      <c r="G964" s="118"/>
      <c r="H964" s="125"/>
      <c r="I964" s="125"/>
      <c r="J964" s="118"/>
      <c r="K964" s="193"/>
      <c r="L964" s="125"/>
      <c r="M964" s="124"/>
      <c r="N964" s="126"/>
    </row>
    <row r="965" spans="1:14">
      <c r="A965" s="125"/>
      <c r="B965" s="125"/>
      <c r="C965" s="98"/>
      <c r="D965" s="118"/>
      <c r="E965" s="125"/>
      <c r="F965" s="125"/>
      <c r="G965" s="118"/>
      <c r="H965" s="125"/>
      <c r="I965" s="125"/>
      <c r="J965" s="118"/>
      <c r="K965" s="193"/>
      <c r="L965" s="125"/>
      <c r="M965" s="124"/>
      <c r="N965" s="126"/>
    </row>
    <row r="966" spans="1:14">
      <c r="A966" s="125"/>
      <c r="B966" s="125"/>
      <c r="C966" s="98"/>
      <c r="D966" s="118"/>
      <c r="E966" s="125"/>
      <c r="F966" s="125"/>
      <c r="G966" s="118"/>
      <c r="H966" s="125"/>
      <c r="I966" s="125"/>
      <c r="J966" s="118"/>
      <c r="K966" s="193"/>
      <c r="L966" s="125"/>
      <c r="M966" s="124"/>
      <c r="N966" s="126"/>
    </row>
    <row r="967" spans="1:14">
      <c r="A967" s="125"/>
      <c r="B967" s="125"/>
      <c r="C967" s="98"/>
      <c r="D967" s="118"/>
      <c r="E967" s="125"/>
      <c r="F967" s="125"/>
      <c r="G967" s="118"/>
      <c r="H967" s="125"/>
      <c r="I967" s="125"/>
      <c r="J967" s="118"/>
      <c r="K967" s="193"/>
      <c r="L967" s="125"/>
      <c r="M967" s="124"/>
      <c r="N967" s="126"/>
    </row>
    <row r="968" spans="1:14">
      <c r="A968" s="125"/>
      <c r="B968" s="125"/>
      <c r="C968" s="98"/>
      <c r="D968" s="118"/>
      <c r="E968" s="125"/>
      <c r="F968" s="125"/>
      <c r="G968" s="118"/>
      <c r="H968" s="125"/>
      <c r="I968" s="125"/>
      <c r="J968" s="118"/>
      <c r="K968" s="193"/>
      <c r="L968" s="125"/>
      <c r="M968" s="124"/>
      <c r="N968" s="126"/>
    </row>
    <row r="969" spans="1:14">
      <c r="A969" s="125"/>
      <c r="B969" s="125"/>
      <c r="C969" s="98"/>
      <c r="D969" s="118"/>
      <c r="E969" s="125"/>
      <c r="F969" s="125"/>
      <c r="G969" s="118"/>
      <c r="H969" s="125"/>
      <c r="I969" s="125"/>
      <c r="J969" s="118"/>
      <c r="K969" s="193"/>
      <c r="L969" s="125"/>
      <c r="M969" s="124"/>
      <c r="N969" s="126"/>
    </row>
    <row r="970" spans="1:14">
      <c r="A970" s="125"/>
      <c r="B970" s="125"/>
      <c r="C970" s="98"/>
      <c r="D970" s="118"/>
      <c r="E970" s="125"/>
      <c r="F970" s="125"/>
      <c r="G970" s="118"/>
      <c r="H970" s="125"/>
      <c r="I970" s="125"/>
      <c r="J970" s="118"/>
      <c r="K970" s="193"/>
      <c r="L970" s="125"/>
      <c r="M970" s="124"/>
      <c r="N970" s="126"/>
    </row>
    <row r="971" spans="1:14">
      <c r="A971" s="125"/>
      <c r="B971" s="125"/>
      <c r="C971" s="98"/>
      <c r="D971" s="118"/>
      <c r="E971" s="125"/>
      <c r="F971" s="125"/>
      <c r="G971" s="118"/>
      <c r="H971" s="125"/>
      <c r="I971" s="125"/>
      <c r="J971" s="118"/>
      <c r="K971" s="193"/>
      <c r="L971" s="125"/>
      <c r="M971" s="124"/>
      <c r="N971" s="126"/>
    </row>
    <row r="972" spans="1:14">
      <c r="A972" s="125"/>
      <c r="B972" s="125"/>
      <c r="C972" s="98"/>
      <c r="D972" s="118"/>
      <c r="E972" s="125"/>
      <c r="F972" s="125"/>
      <c r="G972" s="118"/>
      <c r="H972" s="125"/>
      <c r="I972" s="125"/>
      <c r="J972" s="118"/>
      <c r="K972" s="193"/>
      <c r="L972" s="125"/>
      <c r="M972" s="124"/>
      <c r="N972" s="126"/>
    </row>
    <row r="973" spans="1:14">
      <c r="A973" s="125"/>
      <c r="B973" s="125"/>
      <c r="C973" s="98"/>
      <c r="D973" s="118"/>
      <c r="E973" s="125"/>
      <c r="F973" s="125"/>
      <c r="G973" s="118"/>
      <c r="H973" s="125"/>
      <c r="I973" s="125"/>
      <c r="J973" s="118"/>
      <c r="K973" s="193"/>
      <c r="L973" s="125"/>
      <c r="M973" s="124"/>
      <c r="N973" s="126"/>
    </row>
    <row r="974" spans="1:14">
      <c r="A974" s="125"/>
      <c r="B974" s="125"/>
      <c r="C974" s="98"/>
      <c r="D974" s="118"/>
      <c r="E974" s="125"/>
      <c r="F974" s="125"/>
      <c r="G974" s="118"/>
      <c r="H974" s="125"/>
      <c r="I974" s="125"/>
      <c r="J974" s="118"/>
      <c r="K974" s="193"/>
      <c r="L974" s="125"/>
      <c r="M974" s="124"/>
      <c r="N974" s="126"/>
    </row>
    <row r="975" spans="1:14">
      <c r="A975" s="125"/>
      <c r="B975" s="125"/>
      <c r="C975" s="98"/>
      <c r="D975" s="118"/>
      <c r="E975" s="125"/>
      <c r="F975" s="125"/>
      <c r="G975" s="118"/>
      <c r="H975" s="125"/>
      <c r="I975" s="125"/>
      <c r="J975" s="118"/>
      <c r="K975" s="193"/>
      <c r="L975" s="125"/>
      <c r="M975" s="124"/>
      <c r="N975" s="126"/>
    </row>
    <row r="976" spans="1:14">
      <c r="A976" s="125"/>
      <c r="B976" s="125"/>
      <c r="C976" s="98"/>
      <c r="D976" s="118"/>
      <c r="E976" s="125"/>
      <c r="F976" s="125"/>
      <c r="G976" s="118"/>
      <c r="H976" s="125"/>
      <c r="I976" s="125"/>
      <c r="J976" s="118"/>
      <c r="K976" s="193"/>
      <c r="L976" s="125"/>
      <c r="M976" s="124"/>
      <c r="N976" s="126"/>
    </row>
    <row r="977" spans="1:14">
      <c r="A977" s="125"/>
      <c r="B977" s="125"/>
      <c r="C977" s="98"/>
      <c r="D977" s="118"/>
      <c r="E977" s="125"/>
      <c r="F977" s="125"/>
      <c r="G977" s="118"/>
      <c r="H977" s="125"/>
      <c r="I977" s="125"/>
      <c r="J977" s="118"/>
      <c r="K977" s="193"/>
      <c r="L977" s="125"/>
      <c r="M977" s="124"/>
      <c r="N977" s="126"/>
    </row>
    <row r="978" spans="1:14">
      <c r="A978" s="125"/>
      <c r="B978" s="125"/>
      <c r="C978" s="98"/>
      <c r="D978" s="118"/>
      <c r="E978" s="125"/>
      <c r="F978" s="125"/>
      <c r="G978" s="118"/>
      <c r="H978" s="125"/>
      <c r="I978" s="125"/>
      <c r="J978" s="118"/>
      <c r="K978" s="193"/>
      <c r="L978" s="125"/>
      <c r="M978" s="124"/>
      <c r="N978" s="126"/>
    </row>
    <row r="979" spans="1:14">
      <c r="A979" s="125"/>
      <c r="B979" s="125"/>
      <c r="C979" s="98"/>
      <c r="D979" s="118"/>
      <c r="E979" s="125"/>
      <c r="F979" s="125"/>
      <c r="G979" s="118"/>
      <c r="H979" s="125"/>
      <c r="I979" s="125"/>
      <c r="J979" s="118"/>
      <c r="K979" s="193"/>
      <c r="L979" s="125"/>
      <c r="M979" s="124"/>
      <c r="N979" s="126"/>
    </row>
    <row r="980" spans="1:14">
      <c r="A980" s="125"/>
      <c r="B980" s="125"/>
      <c r="C980" s="98"/>
      <c r="D980" s="118"/>
      <c r="E980" s="125"/>
      <c r="F980" s="125"/>
      <c r="G980" s="118"/>
      <c r="H980" s="125"/>
      <c r="I980" s="125"/>
      <c r="J980" s="118"/>
      <c r="K980" s="193"/>
      <c r="L980" s="125"/>
      <c r="M980" s="124"/>
      <c r="N980" s="126"/>
    </row>
    <row r="981" spans="1:14">
      <c r="A981" s="125"/>
      <c r="B981" s="125"/>
      <c r="C981" s="98"/>
      <c r="D981" s="118"/>
      <c r="E981" s="125"/>
      <c r="F981" s="125"/>
      <c r="G981" s="118"/>
      <c r="H981" s="125"/>
      <c r="I981" s="125"/>
      <c r="J981" s="118"/>
      <c r="K981" s="193"/>
      <c r="L981" s="125"/>
      <c r="M981" s="124"/>
      <c r="N981" s="126"/>
    </row>
    <row r="982" spans="1:14">
      <c r="A982" s="125"/>
      <c r="B982" s="125"/>
      <c r="C982" s="98"/>
      <c r="D982" s="118"/>
      <c r="E982" s="125"/>
      <c r="F982" s="125"/>
      <c r="G982" s="118"/>
      <c r="H982" s="125"/>
      <c r="I982" s="125"/>
      <c r="J982" s="118"/>
      <c r="K982" s="193"/>
      <c r="L982" s="125"/>
      <c r="M982" s="124"/>
      <c r="N982" s="126"/>
    </row>
    <row r="983" spans="1:14">
      <c r="A983" s="125"/>
      <c r="B983" s="125"/>
      <c r="C983" s="98"/>
      <c r="D983" s="118"/>
      <c r="E983" s="125"/>
      <c r="F983" s="125"/>
      <c r="G983" s="118"/>
      <c r="H983" s="125"/>
      <c r="I983" s="125"/>
      <c r="J983" s="118"/>
      <c r="K983" s="193"/>
      <c r="L983" s="125"/>
      <c r="M983" s="124"/>
      <c r="N983" s="126"/>
    </row>
    <row r="984" spans="1:14">
      <c r="A984" s="125"/>
      <c r="B984" s="125"/>
      <c r="C984" s="98"/>
      <c r="D984" s="118"/>
      <c r="E984" s="125"/>
      <c r="F984" s="125"/>
      <c r="G984" s="118"/>
      <c r="H984" s="125"/>
      <c r="I984" s="125"/>
      <c r="J984" s="118"/>
      <c r="K984" s="193"/>
      <c r="L984" s="125"/>
      <c r="M984" s="124"/>
      <c r="N984" s="126"/>
    </row>
    <row r="985" spans="1:14">
      <c r="A985" s="125"/>
      <c r="B985" s="125"/>
      <c r="C985" s="98"/>
      <c r="D985" s="118"/>
      <c r="E985" s="125"/>
      <c r="F985" s="125"/>
      <c r="G985" s="118"/>
      <c r="H985" s="125"/>
      <c r="I985" s="125"/>
      <c r="J985" s="118"/>
      <c r="K985" s="193"/>
      <c r="L985" s="125"/>
      <c r="M985" s="124"/>
      <c r="N985" s="126"/>
    </row>
    <row r="986" spans="1:14">
      <c r="A986" s="125"/>
      <c r="B986" s="125"/>
      <c r="C986" s="98"/>
      <c r="D986" s="118"/>
      <c r="E986" s="125"/>
      <c r="F986" s="125"/>
      <c r="G986" s="118"/>
      <c r="H986" s="125"/>
      <c r="I986" s="125"/>
      <c r="J986" s="118"/>
      <c r="K986" s="193"/>
      <c r="L986" s="125"/>
      <c r="M986" s="124"/>
      <c r="N986" s="126"/>
    </row>
    <row r="987" spans="1:14">
      <c r="A987" s="125"/>
      <c r="B987" s="125"/>
      <c r="C987" s="98"/>
      <c r="D987" s="118"/>
      <c r="E987" s="125"/>
      <c r="F987" s="125"/>
      <c r="G987" s="118"/>
      <c r="H987" s="125"/>
      <c r="I987" s="125"/>
      <c r="J987" s="118"/>
      <c r="K987" s="193"/>
      <c r="L987" s="125"/>
      <c r="M987" s="124"/>
      <c r="N987" s="126"/>
    </row>
    <row r="988" spans="1:14">
      <c r="A988" s="125"/>
      <c r="B988" s="125"/>
      <c r="C988" s="98"/>
      <c r="D988" s="118"/>
      <c r="E988" s="125"/>
      <c r="F988" s="125"/>
      <c r="G988" s="118"/>
      <c r="H988" s="125"/>
      <c r="I988" s="125"/>
      <c r="J988" s="118"/>
      <c r="K988" s="193"/>
      <c r="L988" s="125"/>
      <c r="M988" s="124"/>
      <c r="N988" s="126"/>
    </row>
    <row r="989" spans="1:14">
      <c r="A989" s="125"/>
      <c r="B989" s="125"/>
      <c r="C989" s="98"/>
      <c r="D989" s="118"/>
      <c r="E989" s="125"/>
      <c r="F989" s="125"/>
      <c r="G989" s="118"/>
      <c r="H989" s="125"/>
      <c r="I989" s="125"/>
      <c r="J989" s="118"/>
      <c r="K989" s="193"/>
      <c r="L989" s="125"/>
      <c r="M989" s="124"/>
      <c r="N989" s="126"/>
    </row>
    <row r="990" spans="1:14">
      <c r="A990" s="125"/>
      <c r="B990" s="125"/>
      <c r="C990" s="98"/>
      <c r="D990" s="118"/>
      <c r="E990" s="125"/>
      <c r="F990" s="125"/>
      <c r="G990" s="118"/>
      <c r="H990" s="125"/>
      <c r="I990" s="125"/>
      <c r="J990" s="118"/>
      <c r="K990" s="193"/>
      <c r="L990" s="125"/>
      <c r="M990" s="124"/>
      <c r="N990" s="126"/>
    </row>
    <row r="991" spans="1:14">
      <c r="A991" s="125"/>
      <c r="B991" s="125"/>
      <c r="C991" s="98"/>
      <c r="D991" s="118"/>
      <c r="E991" s="125"/>
      <c r="F991" s="125"/>
      <c r="G991" s="118"/>
      <c r="H991" s="125"/>
      <c r="I991" s="125"/>
      <c r="J991" s="118"/>
      <c r="K991" s="193"/>
      <c r="L991" s="125"/>
      <c r="M991" s="124"/>
      <c r="N991" s="126"/>
    </row>
    <row r="992" spans="1:14">
      <c r="A992" s="125"/>
      <c r="B992" s="125"/>
      <c r="C992" s="98"/>
      <c r="D992" s="118"/>
      <c r="E992" s="125"/>
      <c r="F992" s="125"/>
      <c r="G992" s="118"/>
      <c r="H992" s="125"/>
      <c r="I992" s="125"/>
      <c r="J992" s="118"/>
      <c r="K992" s="193"/>
      <c r="L992" s="125"/>
      <c r="M992" s="124"/>
      <c r="N992" s="126"/>
    </row>
    <row r="993" spans="1:14">
      <c r="A993" s="125"/>
      <c r="B993" s="125"/>
      <c r="C993" s="98"/>
      <c r="D993" s="118"/>
      <c r="E993" s="125"/>
      <c r="F993" s="125"/>
      <c r="G993" s="118"/>
      <c r="H993" s="125"/>
      <c r="I993" s="125"/>
      <c r="J993" s="118"/>
      <c r="K993" s="193"/>
      <c r="L993" s="125"/>
      <c r="M993" s="124"/>
      <c r="N993" s="126"/>
    </row>
    <row r="994" spans="1:14">
      <c r="A994" s="125"/>
      <c r="B994" s="125"/>
      <c r="C994" s="98"/>
      <c r="D994" s="118"/>
      <c r="E994" s="125"/>
      <c r="F994" s="125"/>
      <c r="G994" s="118"/>
      <c r="H994" s="125"/>
      <c r="I994" s="125"/>
      <c r="J994" s="118"/>
      <c r="K994" s="193"/>
      <c r="L994" s="125"/>
      <c r="M994" s="124"/>
      <c r="N994" s="126"/>
    </row>
    <row r="995" spans="1:14">
      <c r="A995" s="125"/>
      <c r="B995" s="125"/>
      <c r="C995" s="98"/>
      <c r="D995" s="118"/>
      <c r="E995" s="125"/>
      <c r="F995" s="125"/>
      <c r="G995" s="118"/>
      <c r="H995" s="125"/>
      <c r="I995" s="125"/>
      <c r="J995" s="118"/>
      <c r="K995" s="193"/>
      <c r="L995" s="125"/>
      <c r="M995" s="124"/>
      <c r="N995" s="126"/>
    </row>
    <row r="996" spans="1:14">
      <c r="A996" s="125"/>
      <c r="B996" s="125"/>
      <c r="C996" s="98"/>
      <c r="D996" s="118"/>
      <c r="E996" s="125"/>
      <c r="F996" s="125"/>
      <c r="G996" s="118"/>
      <c r="H996" s="125"/>
      <c r="I996" s="125"/>
      <c r="J996" s="118"/>
      <c r="K996" s="193"/>
      <c r="L996" s="125"/>
      <c r="M996" s="124"/>
      <c r="N996" s="126"/>
    </row>
    <row r="997" spans="1:14">
      <c r="A997" s="125"/>
      <c r="B997" s="125"/>
      <c r="C997" s="98"/>
      <c r="D997" s="118"/>
      <c r="E997" s="125"/>
      <c r="F997" s="125"/>
      <c r="G997" s="118"/>
      <c r="H997" s="125"/>
      <c r="I997" s="125"/>
      <c r="J997" s="118"/>
      <c r="K997" s="193"/>
      <c r="L997" s="125"/>
      <c r="M997" s="124"/>
      <c r="N997" s="126"/>
    </row>
    <row r="998" spans="1:14">
      <c r="A998" s="125"/>
      <c r="B998" s="125"/>
      <c r="C998" s="98"/>
      <c r="D998" s="118"/>
      <c r="E998" s="125"/>
      <c r="F998" s="125"/>
      <c r="G998" s="118"/>
      <c r="H998" s="125"/>
      <c r="I998" s="125"/>
      <c r="J998" s="118"/>
      <c r="K998" s="193"/>
      <c r="L998" s="125"/>
      <c r="M998" s="124"/>
      <c r="N998" s="126"/>
    </row>
    <row r="999" spans="1:14">
      <c r="A999" s="125"/>
      <c r="B999" s="125"/>
      <c r="C999" s="117"/>
      <c r="D999" s="118"/>
      <c r="E999" s="125"/>
      <c r="F999" s="125"/>
      <c r="G999" s="118"/>
      <c r="H999" s="125"/>
      <c r="I999" s="125"/>
      <c r="J999" s="118"/>
      <c r="K999" s="193"/>
      <c r="L999" s="125"/>
      <c r="M999" s="124"/>
      <c r="N999" s="126"/>
    </row>
    <row r="1000" spans="1:14">
      <c r="A1000" s="125"/>
      <c r="B1000" s="125"/>
      <c r="C1000" s="117"/>
      <c r="D1000" s="118"/>
      <c r="E1000" s="125"/>
      <c r="F1000" s="125"/>
      <c r="G1000" s="118"/>
      <c r="H1000" s="125"/>
      <c r="I1000" s="125"/>
      <c r="J1000" s="118"/>
      <c r="K1000" s="193"/>
      <c r="L1000" s="125"/>
      <c r="M1000" s="124"/>
      <c r="N1000" s="126"/>
    </row>
    <row r="1001" spans="1:14">
      <c r="A1001" s="125"/>
      <c r="B1001" s="125"/>
      <c r="C1001" s="117"/>
      <c r="D1001" s="118"/>
      <c r="E1001" s="125"/>
      <c r="F1001" s="125"/>
      <c r="G1001" s="118"/>
      <c r="H1001" s="125"/>
      <c r="I1001" s="125"/>
      <c r="J1001" s="118"/>
      <c r="K1001" s="193"/>
      <c r="L1001" s="125"/>
      <c r="M1001" s="124"/>
      <c r="N1001" s="126"/>
    </row>
    <row r="1002" spans="1:14">
      <c r="A1002" s="125"/>
      <c r="B1002" s="125"/>
      <c r="C1002" s="117"/>
      <c r="D1002" s="118"/>
      <c r="E1002" s="125"/>
      <c r="F1002" s="125"/>
      <c r="G1002" s="118"/>
      <c r="H1002" s="125"/>
      <c r="I1002" s="125"/>
      <c r="J1002" s="118"/>
      <c r="K1002" s="193"/>
      <c r="L1002" s="125"/>
      <c r="M1002" s="124"/>
      <c r="N1002" s="126"/>
    </row>
    <row r="1003" spans="1:14">
      <c r="A1003" s="125"/>
      <c r="B1003" s="125"/>
      <c r="C1003" s="117"/>
      <c r="D1003" s="118"/>
      <c r="E1003" s="125"/>
      <c r="F1003" s="125"/>
      <c r="G1003" s="118"/>
      <c r="H1003" s="125"/>
      <c r="I1003" s="125"/>
      <c r="J1003" s="118"/>
      <c r="K1003" s="193"/>
      <c r="L1003" s="125"/>
      <c r="M1003" s="124"/>
      <c r="N1003" s="126"/>
    </row>
    <row r="1004" spans="1:14">
      <c r="A1004" s="125"/>
      <c r="B1004" s="125"/>
      <c r="C1004" s="117"/>
      <c r="D1004" s="118"/>
      <c r="E1004" s="125"/>
      <c r="F1004" s="125"/>
      <c r="G1004" s="118"/>
      <c r="H1004" s="125"/>
      <c r="I1004" s="125"/>
      <c r="J1004" s="118"/>
      <c r="K1004" s="193"/>
      <c r="L1004" s="125"/>
      <c r="M1004" s="124"/>
      <c r="N1004" s="126"/>
    </row>
    <row r="1005" spans="1:14">
      <c r="A1005" s="125"/>
      <c r="B1005" s="125"/>
      <c r="C1005" s="117"/>
      <c r="D1005" s="118"/>
      <c r="E1005" s="125"/>
      <c r="F1005" s="125"/>
      <c r="G1005" s="118"/>
      <c r="H1005" s="125"/>
      <c r="I1005" s="125"/>
      <c r="J1005" s="118"/>
      <c r="K1005" s="193"/>
      <c r="L1005" s="125"/>
      <c r="M1005" s="124"/>
      <c r="N1005" s="126"/>
    </row>
    <row r="1006" spans="1:14">
      <c r="A1006" s="125"/>
      <c r="B1006" s="125"/>
      <c r="C1006" s="117"/>
      <c r="D1006" s="118"/>
      <c r="E1006" s="125"/>
      <c r="F1006" s="125"/>
      <c r="G1006" s="118"/>
      <c r="H1006" s="125"/>
      <c r="I1006" s="125"/>
      <c r="J1006" s="118"/>
      <c r="K1006" s="193"/>
      <c r="L1006" s="125"/>
      <c r="M1006" s="124"/>
      <c r="N1006" s="126"/>
    </row>
    <row r="1007" spans="1:14">
      <c r="A1007" s="125"/>
      <c r="B1007" s="125"/>
      <c r="C1007" s="117"/>
      <c r="D1007" s="118"/>
      <c r="E1007" s="125"/>
      <c r="F1007" s="125"/>
      <c r="G1007" s="118"/>
      <c r="H1007" s="125"/>
      <c r="I1007" s="125"/>
      <c r="J1007" s="118"/>
      <c r="K1007" s="193"/>
      <c r="L1007" s="125"/>
      <c r="M1007" s="124"/>
      <c r="N1007" s="126"/>
    </row>
    <row r="1008" spans="1:14">
      <c r="A1008" s="125"/>
      <c r="B1008" s="125"/>
      <c r="C1008" s="117"/>
      <c r="D1008" s="118"/>
      <c r="E1008" s="125"/>
      <c r="F1008" s="125"/>
      <c r="G1008" s="118"/>
      <c r="H1008" s="125"/>
      <c r="I1008" s="125"/>
      <c r="J1008" s="118"/>
      <c r="K1008" s="193"/>
      <c r="L1008" s="125"/>
      <c r="M1008" s="124"/>
      <c r="N1008" s="126"/>
    </row>
    <row r="1009" spans="1:14">
      <c r="A1009" s="125"/>
      <c r="B1009" s="125"/>
      <c r="C1009" s="117"/>
      <c r="D1009" s="118"/>
      <c r="E1009" s="125"/>
      <c r="F1009" s="125"/>
      <c r="G1009" s="118"/>
      <c r="H1009" s="125"/>
      <c r="I1009" s="125"/>
      <c r="J1009" s="118"/>
      <c r="K1009" s="193"/>
      <c r="L1009" s="125"/>
      <c r="M1009" s="124"/>
      <c r="N1009" s="126"/>
    </row>
    <row r="1010" spans="1:14">
      <c r="A1010" s="125"/>
      <c r="B1010" s="125"/>
      <c r="C1010" s="117"/>
      <c r="D1010" s="118"/>
      <c r="E1010" s="125"/>
      <c r="F1010" s="125"/>
      <c r="G1010" s="118"/>
      <c r="H1010" s="125"/>
      <c r="I1010" s="125"/>
      <c r="J1010" s="118"/>
      <c r="K1010" s="193"/>
      <c r="L1010" s="125"/>
      <c r="M1010" s="124"/>
      <c r="N1010" s="126"/>
    </row>
    <row r="1011" spans="1:14">
      <c r="A1011" s="125"/>
      <c r="B1011" s="125"/>
      <c r="C1011" s="117"/>
      <c r="D1011" s="118"/>
      <c r="E1011" s="125"/>
      <c r="F1011" s="125"/>
      <c r="G1011" s="118"/>
      <c r="H1011" s="125"/>
      <c r="I1011" s="125"/>
      <c r="J1011" s="118"/>
      <c r="K1011" s="193"/>
      <c r="L1011" s="125"/>
      <c r="M1011" s="124"/>
      <c r="N1011" s="126"/>
    </row>
    <row r="1012" spans="1:14">
      <c r="A1012" s="125"/>
      <c r="B1012" s="125"/>
      <c r="C1012" s="117"/>
      <c r="D1012" s="118"/>
      <c r="E1012" s="125"/>
      <c r="F1012" s="125"/>
      <c r="G1012" s="118"/>
      <c r="H1012" s="125"/>
      <c r="I1012" s="125"/>
      <c r="J1012" s="118"/>
      <c r="K1012" s="193"/>
      <c r="L1012" s="125"/>
      <c r="M1012" s="124"/>
      <c r="N1012" s="126"/>
    </row>
    <row r="1013" spans="1:14">
      <c r="A1013" s="125"/>
      <c r="B1013" s="125"/>
      <c r="C1013" s="117"/>
      <c r="D1013" s="118"/>
      <c r="E1013" s="125"/>
      <c r="F1013" s="125"/>
      <c r="G1013" s="118"/>
      <c r="H1013" s="125"/>
      <c r="I1013" s="125"/>
      <c r="J1013" s="118"/>
      <c r="K1013" s="193"/>
      <c r="L1013" s="125"/>
      <c r="M1013" s="124"/>
      <c r="N1013" s="126"/>
    </row>
    <row r="1014" spans="1:14">
      <c r="A1014" s="125"/>
      <c r="B1014" s="125"/>
      <c r="C1014" s="117"/>
      <c r="D1014" s="118"/>
      <c r="E1014" s="125"/>
      <c r="F1014" s="125"/>
      <c r="G1014" s="118"/>
      <c r="H1014" s="125"/>
      <c r="I1014" s="125"/>
      <c r="J1014" s="118"/>
      <c r="K1014" s="193"/>
      <c r="L1014" s="125"/>
      <c r="M1014" s="124"/>
      <c r="N1014" s="126"/>
    </row>
    <row r="1015" spans="1:14">
      <c r="A1015" s="125"/>
      <c r="B1015" s="125"/>
      <c r="C1015" s="117"/>
      <c r="D1015" s="118"/>
      <c r="E1015" s="125"/>
      <c r="F1015" s="125"/>
      <c r="G1015" s="118"/>
      <c r="H1015" s="125"/>
      <c r="I1015" s="125"/>
      <c r="J1015" s="118"/>
      <c r="K1015" s="193"/>
      <c r="L1015" s="125"/>
      <c r="M1015" s="124"/>
      <c r="N1015" s="126"/>
    </row>
    <row r="1016" spans="1:14">
      <c r="A1016" s="125"/>
      <c r="B1016" s="125"/>
      <c r="C1016" s="117"/>
      <c r="D1016" s="118"/>
      <c r="E1016" s="125"/>
      <c r="F1016" s="125"/>
      <c r="G1016" s="118"/>
      <c r="H1016" s="125"/>
      <c r="I1016" s="125"/>
      <c r="J1016" s="118"/>
      <c r="K1016" s="193"/>
      <c r="L1016" s="125"/>
      <c r="M1016" s="124"/>
      <c r="N1016" s="126"/>
    </row>
    <row r="1017" spans="1:14">
      <c r="A1017" s="125"/>
      <c r="B1017" s="125"/>
      <c r="C1017" s="117"/>
      <c r="D1017" s="118"/>
      <c r="E1017" s="125"/>
      <c r="F1017" s="125"/>
      <c r="G1017" s="118"/>
      <c r="H1017" s="125"/>
      <c r="I1017" s="125"/>
      <c r="J1017" s="118"/>
      <c r="K1017" s="193"/>
      <c r="L1017" s="125"/>
      <c r="M1017" s="124"/>
      <c r="N1017" s="126"/>
    </row>
    <row r="1018" spans="1:14">
      <c r="A1018" s="125"/>
      <c r="B1018" s="125"/>
      <c r="C1018" s="117"/>
      <c r="D1018" s="118"/>
      <c r="E1018" s="125"/>
      <c r="F1018" s="125"/>
      <c r="G1018" s="118"/>
      <c r="H1018" s="125"/>
      <c r="I1018" s="125"/>
      <c r="J1018" s="118"/>
      <c r="K1018" s="193"/>
      <c r="L1018" s="125"/>
      <c r="M1018" s="124"/>
      <c r="N1018" s="126"/>
    </row>
    <row r="1019" spans="1:14">
      <c r="A1019" s="125"/>
      <c r="B1019" s="125"/>
      <c r="C1019" s="98"/>
      <c r="D1019" s="118"/>
      <c r="E1019" s="125"/>
      <c r="F1019" s="125"/>
      <c r="G1019" s="118"/>
      <c r="H1019" s="125"/>
      <c r="I1019" s="125"/>
      <c r="J1019" s="125"/>
      <c r="K1019" s="193"/>
      <c r="L1019" s="125"/>
      <c r="M1019" s="124"/>
      <c r="N1019" s="126"/>
    </row>
    <row r="1020" spans="1:14">
      <c r="A1020" s="125"/>
      <c r="B1020" s="125"/>
      <c r="C1020" s="98"/>
      <c r="D1020" s="118"/>
      <c r="E1020" s="125"/>
      <c r="F1020" s="125"/>
      <c r="G1020" s="118"/>
      <c r="H1020" s="125"/>
      <c r="I1020" s="125"/>
      <c r="J1020" s="125"/>
      <c r="K1020" s="193"/>
      <c r="L1020" s="125"/>
      <c r="M1020" s="124"/>
      <c r="N1020" s="126"/>
    </row>
    <row r="1021" spans="1:14">
      <c r="A1021" s="125"/>
      <c r="B1021" s="125"/>
      <c r="C1021" s="98"/>
      <c r="D1021" s="118"/>
      <c r="E1021" s="125"/>
      <c r="F1021" s="125"/>
      <c r="G1021" s="118"/>
      <c r="H1021" s="125"/>
      <c r="I1021" s="125"/>
      <c r="J1021" s="125"/>
      <c r="K1021" s="193"/>
      <c r="L1021" s="125"/>
      <c r="M1021" s="124"/>
      <c r="N1021" s="126"/>
    </row>
    <row r="1022" spans="1:14">
      <c r="A1022" s="125"/>
      <c r="B1022" s="125"/>
      <c r="C1022" s="98"/>
      <c r="D1022" s="118"/>
      <c r="E1022" s="125"/>
      <c r="F1022" s="125"/>
      <c r="G1022" s="118"/>
      <c r="H1022" s="125"/>
      <c r="I1022" s="125"/>
      <c r="J1022" s="125"/>
      <c r="K1022" s="193"/>
      <c r="L1022" s="125"/>
      <c r="M1022" s="124"/>
      <c r="N1022" s="126"/>
    </row>
    <row r="1023" spans="1:14">
      <c r="A1023" s="125"/>
      <c r="B1023" s="125"/>
      <c r="C1023" s="98"/>
      <c r="D1023" s="118"/>
      <c r="E1023" s="125"/>
      <c r="F1023" s="125"/>
      <c r="G1023" s="118"/>
      <c r="H1023" s="125"/>
      <c r="I1023" s="125"/>
      <c r="J1023" s="118"/>
      <c r="K1023" s="193"/>
      <c r="L1023" s="125"/>
      <c r="M1023" s="124"/>
      <c r="N1023" s="126"/>
    </row>
    <row r="1024" spans="1:14">
      <c r="A1024" s="125"/>
      <c r="B1024" s="125"/>
      <c r="C1024" s="98"/>
      <c r="D1024" s="118"/>
      <c r="E1024" s="125"/>
      <c r="F1024" s="125"/>
      <c r="G1024" s="118"/>
      <c r="H1024" s="125"/>
      <c r="I1024" s="125"/>
      <c r="J1024" s="118"/>
      <c r="K1024" s="193"/>
      <c r="L1024" s="125"/>
      <c r="M1024" s="124"/>
      <c r="N1024" s="126"/>
    </row>
    <row r="1025" spans="1:14">
      <c r="A1025" s="118"/>
      <c r="B1025" s="125"/>
      <c r="C1025" s="98"/>
      <c r="D1025" s="125"/>
      <c r="E1025" s="125"/>
      <c r="F1025" s="125"/>
      <c r="G1025" s="118"/>
      <c r="H1025" s="125"/>
      <c r="I1025" s="125"/>
      <c r="J1025" s="118"/>
      <c r="K1025" s="193"/>
      <c r="L1025" s="125"/>
      <c r="M1025" s="124"/>
      <c r="N1025" s="126"/>
    </row>
    <row r="1026" spans="1:14">
      <c r="A1026" s="118"/>
      <c r="B1026" s="125"/>
      <c r="C1026" s="98"/>
      <c r="D1026" s="125"/>
      <c r="E1026" s="125"/>
      <c r="F1026" s="125"/>
      <c r="G1026" s="118"/>
      <c r="H1026" s="125"/>
      <c r="I1026" s="125"/>
      <c r="J1026" s="118"/>
      <c r="K1026" s="193"/>
      <c r="L1026" s="125"/>
      <c r="M1026" s="124"/>
      <c r="N1026" s="126"/>
    </row>
    <row r="1027" spans="1:14">
      <c r="A1027" s="118"/>
      <c r="B1027" s="125"/>
      <c r="C1027" s="98"/>
      <c r="D1027" s="125"/>
      <c r="E1027" s="125"/>
      <c r="F1027" s="125"/>
      <c r="G1027" s="118"/>
      <c r="H1027" s="125"/>
      <c r="I1027" s="125"/>
      <c r="J1027" s="118"/>
      <c r="K1027" s="193"/>
      <c r="L1027" s="125"/>
      <c r="M1027" s="124"/>
      <c r="N1027" s="126"/>
    </row>
    <row r="1028" spans="1:14">
      <c r="A1028" s="118"/>
      <c r="B1028" s="125"/>
      <c r="C1028" s="98"/>
      <c r="D1028" s="125"/>
      <c r="E1028" s="125"/>
      <c r="F1028" s="125"/>
      <c r="G1028" s="118"/>
      <c r="H1028" s="118"/>
      <c r="I1028" s="125"/>
      <c r="J1028" s="118"/>
      <c r="K1028" s="193"/>
      <c r="L1028" s="125"/>
      <c r="M1028" s="124"/>
      <c r="N1028" s="126"/>
    </row>
    <row r="1029" spans="1:14">
      <c r="A1029" s="118"/>
      <c r="B1029" s="125"/>
      <c r="C1029" s="98"/>
      <c r="D1029" s="125"/>
      <c r="E1029" s="125"/>
      <c r="F1029" s="125"/>
      <c r="G1029" s="118"/>
      <c r="H1029" s="118"/>
      <c r="I1029" s="125"/>
      <c r="J1029" s="118"/>
      <c r="K1029" s="193"/>
      <c r="L1029" s="125"/>
      <c r="M1029" s="124"/>
      <c r="N1029" s="126"/>
    </row>
    <row r="1030" spans="1:14">
      <c r="A1030" s="118"/>
      <c r="B1030" s="125"/>
      <c r="C1030" s="98"/>
      <c r="D1030" s="125"/>
      <c r="E1030" s="125"/>
      <c r="F1030" s="125"/>
      <c r="G1030" s="118"/>
      <c r="H1030" s="125"/>
      <c r="I1030" s="125"/>
      <c r="J1030" s="118"/>
      <c r="K1030" s="193"/>
      <c r="L1030" s="125"/>
      <c r="M1030" s="124"/>
      <c r="N1030" s="126"/>
    </row>
    <row r="1031" spans="1:14">
      <c r="A1031" s="118"/>
      <c r="B1031" s="125"/>
      <c r="C1031" s="98"/>
      <c r="D1031" s="125"/>
      <c r="E1031" s="125"/>
      <c r="F1031" s="125"/>
      <c r="G1031" s="118"/>
      <c r="H1031" s="125"/>
      <c r="I1031" s="125"/>
      <c r="J1031" s="118"/>
      <c r="K1031" s="193"/>
      <c r="L1031" s="125"/>
      <c r="M1031" s="124"/>
      <c r="N1031" s="126"/>
    </row>
    <row r="1032" spans="1:14">
      <c r="A1032" s="118"/>
      <c r="B1032" s="125"/>
      <c r="C1032" s="98"/>
      <c r="D1032" s="125"/>
      <c r="E1032" s="125"/>
      <c r="F1032" s="125"/>
      <c r="G1032" s="118"/>
      <c r="H1032" s="125"/>
      <c r="I1032" s="125"/>
      <c r="J1032" s="118"/>
      <c r="K1032" s="193"/>
      <c r="L1032" s="125"/>
      <c r="M1032" s="124"/>
      <c r="N1032" s="126"/>
    </row>
    <row r="1033" spans="1:14">
      <c r="A1033" s="118"/>
      <c r="B1033" s="125"/>
      <c r="C1033" s="98"/>
      <c r="D1033" s="125"/>
      <c r="E1033" s="125"/>
      <c r="F1033" s="125"/>
      <c r="G1033" s="118"/>
      <c r="H1033" s="125"/>
      <c r="I1033" s="125"/>
      <c r="J1033" s="118"/>
      <c r="K1033" s="193"/>
      <c r="L1033" s="125"/>
      <c r="M1033" s="124"/>
      <c r="N1033" s="126"/>
    </row>
    <row r="1034" spans="1:14">
      <c r="A1034" s="118"/>
      <c r="B1034" s="125"/>
      <c r="C1034" s="98"/>
      <c r="D1034" s="125"/>
      <c r="E1034" s="125"/>
      <c r="F1034" s="125"/>
      <c r="G1034" s="118"/>
      <c r="H1034" s="125"/>
      <c r="I1034" s="125"/>
      <c r="J1034" s="118"/>
      <c r="K1034" s="193"/>
      <c r="L1034" s="125"/>
      <c r="M1034" s="124"/>
      <c r="N1034" s="126"/>
    </row>
    <row r="1035" spans="1:14">
      <c r="A1035" s="118"/>
      <c r="B1035" s="125"/>
      <c r="C1035" s="98"/>
      <c r="D1035" s="125"/>
      <c r="E1035" s="125"/>
      <c r="F1035" s="125"/>
      <c r="G1035" s="118"/>
      <c r="H1035" s="125"/>
      <c r="I1035" s="125"/>
      <c r="J1035" s="118"/>
      <c r="K1035" s="193"/>
      <c r="L1035" s="125"/>
      <c r="M1035" s="124"/>
      <c r="N1035" s="126"/>
    </row>
    <row r="1036" spans="1:14">
      <c r="A1036" s="125"/>
      <c r="B1036" s="125"/>
      <c r="C1036" s="98"/>
      <c r="D1036" s="125"/>
      <c r="E1036" s="125"/>
      <c r="F1036" s="125"/>
      <c r="G1036" s="118"/>
      <c r="H1036" s="125"/>
      <c r="I1036" s="125"/>
      <c r="J1036" s="125"/>
      <c r="K1036" s="193"/>
      <c r="L1036" s="125"/>
      <c r="M1036" s="124"/>
      <c r="N1036" s="126"/>
    </row>
    <row r="1037" spans="1:14">
      <c r="A1037" s="125"/>
      <c r="B1037" s="125"/>
      <c r="C1037" s="98"/>
      <c r="D1037" s="125"/>
      <c r="E1037" s="125"/>
      <c r="F1037" s="125"/>
      <c r="G1037" s="118"/>
      <c r="H1037" s="125"/>
      <c r="I1037" s="125"/>
      <c r="J1037" s="125"/>
      <c r="K1037" s="193"/>
      <c r="L1037" s="125"/>
      <c r="M1037" s="124"/>
      <c r="N1037" s="126"/>
    </row>
    <row r="1038" spans="1:14">
      <c r="A1038" s="125"/>
      <c r="B1038" s="125"/>
      <c r="C1038" s="98"/>
      <c r="D1038" s="125"/>
      <c r="E1038" s="125"/>
      <c r="F1038" s="125"/>
      <c r="G1038" s="118"/>
      <c r="H1038" s="125"/>
      <c r="I1038" s="125"/>
      <c r="J1038" s="125"/>
      <c r="K1038" s="193"/>
      <c r="L1038" s="125"/>
      <c r="M1038" s="124"/>
      <c r="N1038" s="126"/>
    </row>
    <row r="1039" spans="1:14">
      <c r="A1039" s="125"/>
      <c r="B1039" s="125"/>
      <c r="C1039" s="98"/>
      <c r="D1039" s="125"/>
      <c r="E1039" s="125"/>
      <c r="F1039" s="125"/>
      <c r="G1039" s="118"/>
      <c r="H1039" s="125"/>
      <c r="I1039" s="125"/>
      <c r="J1039" s="125"/>
      <c r="K1039" s="193"/>
      <c r="L1039" s="125"/>
      <c r="M1039" s="124"/>
      <c r="N1039" s="126"/>
    </row>
    <row r="1040" spans="1:14">
      <c r="A1040" s="125"/>
      <c r="B1040" s="125"/>
      <c r="C1040" s="98"/>
      <c r="D1040" s="125"/>
      <c r="E1040" s="125"/>
      <c r="F1040" s="125"/>
      <c r="G1040" s="118"/>
      <c r="H1040" s="125"/>
      <c r="I1040" s="125"/>
      <c r="J1040" s="125"/>
      <c r="K1040" s="193"/>
      <c r="L1040" s="125"/>
      <c r="M1040" s="124"/>
      <c r="N1040" s="126"/>
    </row>
    <row r="1041" spans="1:14">
      <c r="A1041" s="125"/>
      <c r="B1041" s="125"/>
      <c r="C1041" s="98"/>
      <c r="D1041" s="125"/>
      <c r="E1041" s="125"/>
      <c r="F1041" s="125"/>
      <c r="G1041" s="118"/>
      <c r="H1041" s="125"/>
      <c r="I1041" s="125"/>
      <c r="J1041" s="125"/>
      <c r="K1041" s="193"/>
      <c r="L1041" s="125"/>
      <c r="M1041" s="124"/>
      <c r="N1041" s="126"/>
    </row>
    <row r="1042" spans="1:14">
      <c r="A1042" s="125"/>
      <c r="B1042" s="125"/>
      <c r="C1042" s="98"/>
      <c r="D1042" s="125"/>
      <c r="E1042" s="125"/>
      <c r="F1042" s="125"/>
      <c r="G1042" s="118"/>
      <c r="H1042" s="125"/>
      <c r="I1042" s="125"/>
      <c r="J1042" s="125"/>
      <c r="K1042" s="193"/>
      <c r="L1042" s="125"/>
      <c r="M1042" s="124"/>
      <c r="N1042" s="126"/>
    </row>
    <row r="1043" spans="1:14">
      <c r="A1043" s="125"/>
      <c r="B1043" s="125"/>
      <c r="C1043" s="98"/>
      <c r="D1043" s="125"/>
      <c r="E1043" s="125"/>
      <c r="F1043" s="125"/>
      <c r="G1043" s="118"/>
      <c r="H1043" s="125"/>
      <c r="I1043" s="125"/>
      <c r="J1043" s="125"/>
      <c r="K1043" s="193"/>
      <c r="L1043" s="125"/>
      <c r="M1043" s="124"/>
      <c r="N1043" s="126"/>
    </row>
    <row r="1044" spans="1:14">
      <c r="A1044" s="125"/>
      <c r="B1044" s="125"/>
      <c r="C1044" s="98"/>
      <c r="D1044" s="125"/>
      <c r="E1044" s="125"/>
      <c r="F1044" s="125"/>
      <c r="G1044" s="118"/>
      <c r="H1044" s="125"/>
      <c r="I1044" s="125"/>
      <c r="J1044" s="125"/>
      <c r="K1044" s="193"/>
      <c r="L1044" s="125"/>
      <c r="M1044" s="124"/>
      <c r="N1044" s="126"/>
    </row>
    <row r="1045" spans="1:14">
      <c r="A1045" s="125"/>
      <c r="B1045" s="125"/>
      <c r="C1045" s="98"/>
      <c r="D1045" s="125"/>
      <c r="E1045" s="125"/>
      <c r="F1045" s="125"/>
      <c r="G1045" s="118"/>
      <c r="H1045" s="125"/>
      <c r="I1045" s="125"/>
      <c r="J1045" s="125"/>
      <c r="K1045" s="193"/>
      <c r="L1045" s="125"/>
      <c r="M1045" s="124"/>
      <c r="N1045" s="126"/>
    </row>
    <row r="1046" spans="1:14">
      <c r="A1046" s="125"/>
      <c r="B1046" s="125"/>
      <c r="C1046" s="98"/>
      <c r="D1046" s="125"/>
      <c r="E1046" s="125"/>
      <c r="F1046" s="125"/>
      <c r="G1046" s="118"/>
      <c r="H1046" s="125"/>
      <c r="I1046" s="125"/>
      <c r="J1046" s="118"/>
      <c r="K1046" s="193"/>
      <c r="L1046" s="125"/>
      <c r="M1046" s="124"/>
      <c r="N1046" s="126"/>
    </row>
    <row r="1047" spans="1:14">
      <c r="A1047" s="125"/>
      <c r="B1047" s="125"/>
      <c r="C1047" s="98"/>
      <c r="D1047" s="125"/>
      <c r="E1047" s="125"/>
      <c r="F1047" s="125"/>
      <c r="G1047" s="118"/>
      <c r="H1047" s="125"/>
      <c r="I1047" s="125"/>
      <c r="J1047" s="118"/>
      <c r="K1047" s="193"/>
      <c r="L1047" s="125"/>
      <c r="M1047" s="124"/>
      <c r="N1047" s="126"/>
    </row>
    <row r="1048" spans="1:14">
      <c r="A1048" s="125"/>
      <c r="B1048" s="125"/>
      <c r="C1048" s="98"/>
      <c r="D1048" s="125"/>
      <c r="E1048" s="125"/>
      <c r="F1048" s="125"/>
      <c r="G1048" s="118"/>
      <c r="H1048" s="125"/>
      <c r="I1048" s="125"/>
      <c r="J1048" s="118"/>
      <c r="K1048" s="193"/>
      <c r="L1048" s="125"/>
      <c r="M1048" s="124"/>
      <c r="N1048" s="126"/>
    </row>
    <row r="1049" spans="1:14">
      <c r="A1049" s="125"/>
      <c r="B1049" s="125"/>
      <c r="C1049" s="98"/>
      <c r="D1049" s="125"/>
      <c r="E1049" s="125"/>
      <c r="F1049" s="125"/>
      <c r="G1049" s="118"/>
      <c r="H1049" s="125"/>
      <c r="I1049" s="125"/>
      <c r="J1049" s="118"/>
      <c r="K1049" s="193"/>
      <c r="L1049" s="125"/>
      <c r="M1049" s="124"/>
      <c r="N1049" s="126"/>
    </row>
    <row r="1050" spans="1:14">
      <c r="A1050" s="125"/>
      <c r="B1050" s="125"/>
      <c r="C1050" s="98"/>
      <c r="D1050" s="125"/>
      <c r="E1050" s="125"/>
      <c r="F1050" s="125"/>
      <c r="G1050" s="125"/>
      <c r="H1050" s="125"/>
      <c r="I1050" s="125"/>
      <c r="J1050" s="125"/>
      <c r="K1050" s="193"/>
      <c r="L1050" s="125"/>
      <c r="M1050" s="124"/>
      <c r="N1050" s="126"/>
    </row>
    <row r="1051" spans="1:14">
      <c r="A1051" s="125"/>
      <c r="B1051" s="125"/>
      <c r="C1051" s="98"/>
      <c r="D1051" s="125"/>
      <c r="E1051" s="125"/>
      <c r="F1051" s="125"/>
      <c r="G1051" s="125"/>
      <c r="H1051" s="125"/>
      <c r="I1051" s="125"/>
      <c r="J1051" s="125"/>
      <c r="K1051" s="193"/>
      <c r="L1051" s="125"/>
      <c r="M1051" s="124"/>
      <c r="N1051" s="126"/>
    </row>
    <row r="1052" spans="1:14">
      <c r="A1052" s="125"/>
      <c r="B1052" s="125"/>
      <c r="C1052" s="98"/>
      <c r="D1052" s="125"/>
      <c r="E1052" s="125"/>
      <c r="F1052" s="125"/>
      <c r="G1052" s="125"/>
      <c r="H1052" s="125"/>
      <c r="I1052" s="125"/>
      <c r="J1052" s="125"/>
      <c r="K1052" s="193"/>
      <c r="L1052" s="125"/>
      <c r="M1052" s="124"/>
      <c r="N1052" s="126"/>
    </row>
    <row r="1053" spans="1:14">
      <c r="A1053" s="125"/>
      <c r="B1053" s="125"/>
      <c r="C1053" s="98"/>
      <c r="D1053" s="125"/>
      <c r="E1053" s="125"/>
      <c r="F1053" s="125"/>
      <c r="G1053" s="125"/>
      <c r="H1053" s="125"/>
      <c r="I1053" s="125"/>
      <c r="J1053" s="125"/>
      <c r="K1053" s="193"/>
      <c r="L1053" s="125"/>
      <c r="M1053" s="124"/>
      <c r="N1053" s="126"/>
    </row>
    <row r="1054" spans="1:14">
      <c r="A1054" s="125"/>
      <c r="B1054" s="125"/>
      <c r="C1054" s="98"/>
      <c r="D1054" s="125"/>
      <c r="E1054" s="125"/>
      <c r="F1054" s="125"/>
      <c r="G1054" s="125"/>
      <c r="H1054" s="125"/>
      <c r="I1054" s="125"/>
      <c r="J1054" s="125"/>
      <c r="K1054" s="193"/>
      <c r="L1054" s="125"/>
      <c r="M1054" s="124"/>
      <c r="N1054" s="126"/>
    </row>
    <row r="1055" spans="1:14">
      <c r="A1055" s="125"/>
      <c r="B1055" s="125"/>
      <c r="C1055" s="98"/>
      <c r="D1055" s="125"/>
      <c r="E1055" s="125"/>
      <c r="F1055" s="125"/>
      <c r="G1055" s="125"/>
      <c r="H1055" s="125"/>
      <c r="I1055" s="125"/>
      <c r="J1055" s="125"/>
      <c r="K1055" s="193"/>
      <c r="L1055" s="125"/>
      <c r="M1055" s="124"/>
      <c r="N1055" s="126"/>
    </row>
    <row r="1056" spans="1:14">
      <c r="A1056" s="125"/>
      <c r="B1056" s="125"/>
      <c r="C1056" s="98"/>
      <c r="D1056" s="125"/>
      <c r="E1056" s="125"/>
      <c r="F1056" s="125"/>
      <c r="G1056" s="125"/>
      <c r="H1056" s="125"/>
      <c r="I1056" s="125"/>
      <c r="J1056" s="125"/>
      <c r="K1056" s="193"/>
      <c r="L1056" s="125"/>
      <c r="M1056" s="124"/>
      <c r="N1056" s="126"/>
    </row>
    <row r="1057" spans="1:14">
      <c r="A1057" s="125"/>
      <c r="B1057" s="125"/>
      <c r="C1057" s="98"/>
      <c r="D1057" s="125"/>
      <c r="E1057" s="125"/>
      <c r="F1057" s="125"/>
      <c r="G1057" s="125"/>
      <c r="H1057" s="125"/>
      <c r="I1057" s="125"/>
      <c r="J1057" s="125"/>
      <c r="K1057" s="193"/>
      <c r="L1057" s="125"/>
      <c r="M1057" s="124"/>
      <c r="N1057" s="126"/>
    </row>
    <row r="1058" spans="1:14">
      <c r="A1058" s="125"/>
      <c r="B1058" s="125"/>
      <c r="C1058" s="98"/>
      <c r="D1058" s="125"/>
      <c r="E1058" s="125"/>
      <c r="F1058" s="125"/>
      <c r="G1058" s="125"/>
      <c r="H1058" s="125"/>
      <c r="I1058" s="125"/>
      <c r="J1058" s="125"/>
      <c r="K1058" s="193"/>
      <c r="L1058" s="125"/>
      <c r="M1058" s="124"/>
      <c r="N1058" s="126"/>
    </row>
    <row r="1059" spans="1:14">
      <c r="A1059" s="125"/>
      <c r="B1059" s="125"/>
      <c r="C1059" s="98"/>
      <c r="D1059" s="125"/>
      <c r="E1059" s="125"/>
      <c r="F1059" s="125"/>
      <c r="G1059" s="125"/>
      <c r="H1059" s="125"/>
      <c r="I1059" s="125"/>
      <c r="J1059" s="125"/>
      <c r="K1059" s="193"/>
      <c r="L1059" s="125"/>
      <c r="M1059" s="124"/>
      <c r="N1059" s="126"/>
    </row>
    <row r="1060" spans="1:14">
      <c r="A1060" s="125"/>
      <c r="B1060" s="125"/>
      <c r="C1060" s="98"/>
      <c r="D1060" s="125"/>
      <c r="E1060" s="125"/>
      <c r="F1060" s="125"/>
      <c r="G1060" s="125"/>
      <c r="H1060" s="125"/>
      <c r="I1060" s="125"/>
      <c r="J1060" s="125"/>
      <c r="K1060" s="193"/>
      <c r="L1060" s="125"/>
      <c r="M1060" s="124"/>
      <c r="N1060" s="126"/>
    </row>
    <row r="1061" spans="1:14">
      <c r="A1061" s="125"/>
      <c r="B1061" s="125"/>
      <c r="C1061" s="98"/>
      <c r="D1061" s="125"/>
      <c r="E1061" s="125"/>
      <c r="F1061" s="125"/>
      <c r="G1061" s="125"/>
      <c r="H1061" s="125"/>
      <c r="I1061" s="125"/>
      <c r="J1061" s="125"/>
      <c r="K1061" s="193"/>
      <c r="L1061" s="125"/>
      <c r="M1061" s="124"/>
      <c r="N1061" s="126"/>
    </row>
    <row r="1062" spans="1:14">
      <c r="A1062" s="125"/>
      <c r="B1062" s="125"/>
      <c r="C1062" s="98"/>
      <c r="D1062" s="125"/>
      <c r="E1062" s="125"/>
      <c r="F1062" s="125"/>
      <c r="G1062" s="125"/>
      <c r="H1062" s="125"/>
      <c r="I1062" s="125"/>
      <c r="J1062" s="125"/>
      <c r="K1062" s="193"/>
      <c r="L1062" s="125"/>
      <c r="M1062" s="124"/>
      <c r="N1062" s="126"/>
    </row>
    <row r="1063" spans="1:14">
      <c r="A1063" s="125"/>
      <c r="B1063" s="125"/>
      <c r="C1063" s="98"/>
      <c r="D1063" s="125"/>
      <c r="E1063" s="125"/>
      <c r="F1063" s="125"/>
      <c r="G1063" s="125"/>
      <c r="H1063" s="125"/>
      <c r="I1063" s="125"/>
      <c r="J1063" s="125"/>
      <c r="K1063" s="193"/>
      <c r="L1063" s="125"/>
      <c r="M1063" s="124"/>
      <c r="N1063" s="126"/>
    </row>
    <row r="1064" spans="1:14">
      <c r="A1064" s="125"/>
      <c r="B1064" s="125"/>
      <c r="C1064" s="98"/>
      <c r="D1064" s="125"/>
      <c r="E1064" s="125"/>
      <c r="F1064" s="125"/>
      <c r="G1064" s="125"/>
      <c r="H1064" s="125"/>
      <c r="I1064" s="125"/>
      <c r="J1064" s="125"/>
      <c r="K1064" s="193"/>
      <c r="L1064" s="125"/>
      <c r="M1064" s="124"/>
      <c r="N1064" s="126"/>
    </row>
    <row r="1065" spans="1:14">
      <c r="A1065" s="125"/>
      <c r="B1065" s="125"/>
      <c r="C1065" s="98"/>
      <c r="D1065" s="125"/>
      <c r="E1065" s="125"/>
      <c r="F1065" s="125"/>
      <c r="G1065" s="125"/>
      <c r="H1065" s="125"/>
      <c r="I1065" s="125"/>
      <c r="J1065" s="125"/>
      <c r="K1065" s="193"/>
      <c r="L1065" s="125"/>
      <c r="M1065" s="124"/>
      <c r="N1065" s="126"/>
    </row>
    <row r="1066" spans="1:14">
      <c r="A1066" s="125"/>
      <c r="B1066" s="125"/>
      <c r="C1066" s="98"/>
      <c r="D1066" s="125"/>
      <c r="E1066" s="125"/>
      <c r="F1066" s="125"/>
      <c r="G1066" s="125"/>
      <c r="H1066" s="125"/>
      <c r="I1066" s="125"/>
      <c r="J1066" s="125"/>
      <c r="K1066" s="193"/>
      <c r="L1066" s="125"/>
      <c r="M1066" s="124"/>
      <c r="N1066" s="126"/>
    </row>
    <row r="1067" spans="1:14">
      <c r="A1067" s="125"/>
      <c r="B1067" s="125"/>
      <c r="C1067" s="98"/>
      <c r="D1067" s="125"/>
      <c r="E1067" s="125"/>
      <c r="F1067" s="125"/>
      <c r="G1067" s="125"/>
      <c r="H1067" s="125"/>
      <c r="I1067" s="125"/>
      <c r="J1067" s="125"/>
      <c r="K1067" s="193"/>
      <c r="L1067" s="125"/>
      <c r="M1067" s="124"/>
      <c r="N1067" s="126"/>
    </row>
    <row r="1068" spans="1:14">
      <c r="A1068" s="125"/>
      <c r="B1068" s="125"/>
      <c r="C1068" s="98"/>
      <c r="D1068" s="125"/>
      <c r="E1068" s="125"/>
      <c r="F1068" s="125"/>
      <c r="G1068" s="125"/>
      <c r="H1068" s="125"/>
      <c r="I1068" s="125"/>
      <c r="J1068" s="125"/>
      <c r="K1068" s="193"/>
      <c r="L1068" s="125"/>
      <c r="M1068" s="124"/>
      <c r="N1068" s="126"/>
    </row>
    <row r="1069" spans="1:14">
      <c r="A1069" s="125"/>
      <c r="B1069" s="125"/>
      <c r="C1069" s="98"/>
      <c r="D1069" s="125"/>
      <c r="E1069" s="125"/>
      <c r="F1069" s="125"/>
      <c r="G1069" s="125"/>
      <c r="H1069" s="125"/>
      <c r="I1069" s="125"/>
      <c r="J1069" s="125"/>
      <c r="K1069" s="193"/>
      <c r="L1069" s="125"/>
      <c r="M1069" s="124"/>
      <c r="N1069" s="126"/>
    </row>
    <row r="1070" spans="1:14">
      <c r="A1070" s="125"/>
      <c r="B1070" s="125"/>
      <c r="C1070" s="98"/>
      <c r="D1070" s="125"/>
      <c r="E1070" s="125"/>
      <c r="F1070" s="125"/>
      <c r="G1070" s="125"/>
      <c r="H1070" s="125"/>
      <c r="I1070" s="125"/>
      <c r="J1070" s="125"/>
      <c r="K1070" s="193"/>
      <c r="L1070" s="125"/>
      <c r="M1070" s="124"/>
      <c r="N1070" s="126"/>
    </row>
    <row r="1071" spans="1:14">
      <c r="A1071" s="125"/>
      <c r="B1071" s="125"/>
      <c r="C1071" s="98"/>
      <c r="D1071" s="125"/>
      <c r="E1071" s="125"/>
      <c r="F1071" s="125"/>
      <c r="G1071" s="125"/>
      <c r="H1071" s="125"/>
      <c r="I1071" s="125"/>
      <c r="J1071" s="125"/>
      <c r="K1071" s="193"/>
      <c r="L1071" s="125"/>
      <c r="M1071" s="124"/>
      <c r="N1071" s="126"/>
    </row>
    <row r="1072" spans="1:14">
      <c r="A1072" s="125"/>
      <c r="B1072" s="125"/>
      <c r="C1072" s="98"/>
      <c r="D1072" s="125"/>
      <c r="E1072" s="125"/>
      <c r="F1072" s="125"/>
      <c r="G1072" s="125"/>
      <c r="H1072" s="125"/>
      <c r="I1072" s="125"/>
      <c r="J1072" s="125"/>
      <c r="K1072" s="193"/>
      <c r="L1072" s="125"/>
      <c r="M1072" s="124"/>
      <c r="N1072" s="126"/>
    </row>
    <row r="1073" spans="1:14">
      <c r="A1073" s="125"/>
      <c r="B1073" s="125"/>
      <c r="C1073" s="98"/>
      <c r="D1073" s="125"/>
      <c r="E1073" s="125"/>
      <c r="F1073" s="125"/>
      <c r="G1073" s="125"/>
      <c r="H1073" s="125"/>
      <c r="I1073" s="125"/>
      <c r="J1073" s="125"/>
      <c r="K1073" s="193"/>
      <c r="L1073" s="125"/>
      <c r="M1073" s="124"/>
      <c r="N1073" s="126"/>
    </row>
    <row r="1074" spans="1:14">
      <c r="A1074" s="125"/>
      <c r="B1074" s="125"/>
      <c r="C1074" s="98"/>
      <c r="D1074" s="125"/>
      <c r="E1074" s="125"/>
      <c r="F1074" s="125"/>
      <c r="G1074" s="125"/>
      <c r="H1074" s="125"/>
      <c r="I1074" s="125"/>
      <c r="J1074" s="125"/>
      <c r="K1074" s="193"/>
      <c r="L1074" s="125"/>
      <c r="M1074" s="124"/>
      <c r="N1074" s="126"/>
    </row>
    <row r="1075" spans="1:14">
      <c r="A1075" s="125"/>
      <c r="B1075" s="125"/>
      <c r="C1075" s="98"/>
      <c r="D1075" s="125"/>
      <c r="E1075" s="125"/>
      <c r="F1075" s="125"/>
      <c r="G1075" s="125"/>
      <c r="H1075" s="125"/>
      <c r="I1075" s="125"/>
      <c r="J1075" s="125"/>
      <c r="K1075" s="193"/>
      <c r="L1075" s="125"/>
      <c r="M1075" s="124"/>
      <c r="N1075" s="126"/>
    </row>
    <row r="1076" spans="1:14">
      <c r="A1076" s="125"/>
      <c r="B1076" s="125"/>
      <c r="C1076" s="98"/>
      <c r="D1076" s="125"/>
      <c r="E1076" s="125"/>
      <c r="F1076" s="125"/>
      <c r="G1076" s="125"/>
      <c r="H1076" s="125"/>
      <c r="I1076" s="125"/>
      <c r="J1076" s="125"/>
      <c r="K1076" s="193"/>
      <c r="L1076" s="125"/>
      <c r="M1076" s="124"/>
      <c r="N1076" s="126"/>
    </row>
    <row r="1077" spans="1:14">
      <c r="A1077" s="125"/>
      <c r="B1077" s="125"/>
      <c r="C1077" s="98"/>
      <c r="D1077" s="125"/>
      <c r="E1077" s="125"/>
      <c r="F1077" s="125"/>
      <c r="G1077" s="125"/>
      <c r="H1077" s="125"/>
      <c r="I1077" s="125"/>
      <c r="J1077" s="125"/>
      <c r="K1077" s="193"/>
      <c r="L1077" s="125"/>
      <c r="M1077" s="124"/>
      <c r="N1077" s="126"/>
    </row>
    <row r="1078" spans="1:14">
      <c r="A1078" s="125"/>
      <c r="B1078" s="125"/>
      <c r="C1078" s="98"/>
      <c r="D1078" s="125"/>
      <c r="E1078" s="125"/>
      <c r="F1078" s="125"/>
      <c r="G1078" s="125"/>
      <c r="H1078" s="125"/>
      <c r="I1078" s="125"/>
      <c r="J1078" s="125"/>
      <c r="K1078" s="193"/>
      <c r="L1078" s="125"/>
      <c r="M1078" s="124"/>
      <c r="N1078" s="126"/>
    </row>
    <row r="1079" spans="1:14">
      <c r="A1079" s="125"/>
      <c r="B1079" s="125"/>
      <c r="C1079" s="98"/>
      <c r="D1079" s="125"/>
      <c r="E1079" s="125"/>
      <c r="F1079" s="125"/>
      <c r="G1079" s="125"/>
      <c r="H1079" s="125"/>
      <c r="I1079" s="125"/>
      <c r="J1079" s="125"/>
      <c r="K1079" s="193"/>
      <c r="L1079" s="125"/>
      <c r="M1079" s="124"/>
      <c r="N1079" s="126"/>
    </row>
    <row r="1080" spans="1:14">
      <c r="A1080" s="125"/>
      <c r="B1080" s="125"/>
      <c r="C1080" s="98"/>
      <c r="D1080" s="125"/>
      <c r="E1080" s="125"/>
      <c r="F1080" s="125"/>
      <c r="G1080" s="125"/>
      <c r="H1080" s="125"/>
      <c r="I1080" s="125"/>
      <c r="J1080" s="125"/>
      <c r="K1080" s="193"/>
      <c r="L1080" s="125"/>
      <c r="M1080" s="124"/>
      <c r="N1080" s="126"/>
    </row>
    <row r="1081" spans="1:14">
      <c r="A1081" s="125"/>
      <c r="B1081" s="125"/>
      <c r="C1081" s="98"/>
      <c r="D1081" s="125"/>
      <c r="E1081" s="125"/>
      <c r="F1081" s="125"/>
      <c r="G1081" s="125"/>
      <c r="H1081" s="125"/>
      <c r="I1081" s="125"/>
      <c r="J1081" s="125"/>
      <c r="K1081" s="193"/>
      <c r="L1081" s="125"/>
      <c r="M1081" s="124"/>
      <c r="N1081" s="126"/>
    </row>
    <row r="1082" spans="1:14">
      <c r="A1082" s="125"/>
      <c r="B1082" s="125"/>
      <c r="C1082" s="98"/>
      <c r="D1082" s="125"/>
      <c r="E1082" s="125"/>
      <c r="F1082" s="125"/>
      <c r="G1082" s="125"/>
      <c r="H1082" s="125"/>
      <c r="I1082" s="125"/>
      <c r="J1082" s="125"/>
      <c r="K1082" s="193"/>
      <c r="L1082" s="125"/>
      <c r="M1082" s="124"/>
      <c r="N1082" s="126"/>
    </row>
    <row r="1083" spans="1:14">
      <c r="A1083" s="125"/>
      <c r="B1083" s="125"/>
      <c r="C1083" s="98"/>
      <c r="D1083" s="125"/>
      <c r="E1083" s="125"/>
      <c r="F1083" s="125"/>
      <c r="G1083" s="125"/>
      <c r="H1083" s="125"/>
      <c r="I1083" s="125"/>
      <c r="J1083" s="125"/>
      <c r="K1083" s="193"/>
      <c r="L1083" s="125"/>
      <c r="M1083" s="124"/>
      <c r="N1083" s="126"/>
    </row>
    <row r="1084" spans="1:14">
      <c r="A1084" s="125"/>
      <c r="B1084" s="125"/>
      <c r="C1084" s="98"/>
      <c r="D1084" s="125"/>
      <c r="E1084" s="125"/>
      <c r="F1084" s="125"/>
      <c r="G1084" s="125"/>
      <c r="H1084" s="125"/>
      <c r="I1084" s="125"/>
      <c r="J1084" s="125"/>
      <c r="K1084" s="193"/>
      <c r="L1084" s="125"/>
      <c r="M1084" s="124"/>
      <c r="N1084" s="126"/>
    </row>
    <row r="1085" spans="1:14">
      <c r="A1085" s="125"/>
      <c r="B1085" s="125"/>
      <c r="C1085" s="98"/>
      <c r="D1085" s="125"/>
      <c r="E1085" s="125"/>
      <c r="F1085" s="125"/>
      <c r="G1085" s="125"/>
      <c r="H1085" s="125"/>
      <c r="I1085" s="125"/>
      <c r="J1085" s="125"/>
      <c r="K1085" s="193"/>
      <c r="L1085" s="125"/>
      <c r="M1085" s="124"/>
      <c r="N1085" s="126"/>
    </row>
    <row r="1086" spans="1:14">
      <c r="A1086" s="125"/>
      <c r="B1086" s="125"/>
      <c r="C1086" s="98"/>
      <c r="D1086" s="125"/>
      <c r="E1086" s="125"/>
      <c r="F1086" s="125"/>
      <c r="G1086" s="125"/>
      <c r="H1086" s="125"/>
      <c r="I1086" s="125"/>
      <c r="J1086" s="125"/>
      <c r="K1086" s="193"/>
      <c r="L1086" s="125"/>
      <c r="M1086" s="124"/>
      <c r="N1086" s="126"/>
    </row>
    <row r="1087" spans="1:14">
      <c r="A1087" s="125"/>
      <c r="B1087" s="125"/>
      <c r="C1087" s="98"/>
      <c r="D1087" s="125"/>
      <c r="E1087" s="125"/>
      <c r="F1087" s="125"/>
      <c r="G1087" s="125"/>
      <c r="H1087" s="125"/>
      <c r="I1087" s="125"/>
      <c r="J1087" s="125"/>
      <c r="K1087" s="193"/>
      <c r="L1087" s="125"/>
      <c r="M1087" s="124"/>
      <c r="N1087" s="126"/>
    </row>
    <row r="1088" spans="1:14">
      <c r="A1088" s="125"/>
      <c r="B1088" s="125"/>
      <c r="C1088" s="98"/>
      <c r="D1088" s="125"/>
      <c r="E1088" s="125"/>
      <c r="F1088" s="125"/>
      <c r="G1088" s="125"/>
      <c r="H1088" s="125"/>
      <c r="I1088" s="125"/>
      <c r="J1088" s="125"/>
      <c r="K1088" s="193"/>
      <c r="L1088" s="125"/>
      <c r="M1088" s="124"/>
      <c r="N1088" s="126"/>
    </row>
    <row r="1089" spans="1:14">
      <c r="A1089" s="125"/>
      <c r="B1089" s="125"/>
      <c r="C1089" s="98"/>
      <c r="D1089" s="125"/>
      <c r="E1089" s="125"/>
      <c r="F1089" s="125"/>
      <c r="G1089" s="125"/>
      <c r="H1089" s="125"/>
      <c r="I1089" s="125"/>
      <c r="J1089" s="125"/>
      <c r="K1089" s="193"/>
      <c r="L1089" s="125"/>
      <c r="M1089" s="124"/>
      <c r="N1089" s="126"/>
    </row>
    <row r="1090" spans="1:14">
      <c r="A1090" s="125"/>
      <c r="B1090" s="125"/>
      <c r="C1090" s="98"/>
      <c r="D1090" s="125"/>
      <c r="E1090" s="125"/>
      <c r="F1090" s="125"/>
      <c r="G1090" s="125"/>
      <c r="H1090" s="125"/>
      <c r="I1090" s="125"/>
      <c r="J1090" s="125"/>
      <c r="K1090" s="193"/>
      <c r="L1090" s="125"/>
      <c r="M1090" s="124"/>
      <c r="N1090" s="126"/>
    </row>
    <row r="1091" spans="1:14">
      <c r="A1091" s="125"/>
      <c r="B1091" s="125"/>
      <c r="C1091" s="98"/>
      <c r="D1091" s="125"/>
      <c r="E1091" s="125"/>
      <c r="F1091" s="125"/>
      <c r="G1091" s="125"/>
      <c r="H1091" s="125"/>
      <c r="I1091" s="125"/>
      <c r="J1091" s="125"/>
      <c r="K1091" s="193"/>
      <c r="L1091" s="125"/>
      <c r="M1091" s="124"/>
      <c r="N1091" s="126"/>
    </row>
    <row r="1092" spans="1:14">
      <c r="A1092" s="125"/>
      <c r="B1092" s="125"/>
      <c r="C1092" s="98"/>
      <c r="D1092" s="125"/>
      <c r="E1092" s="125"/>
      <c r="F1092" s="125"/>
      <c r="G1092" s="125"/>
      <c r="H1092" s="125"/>
      <c r="I1092" s="125"/>
      <c r="J1092" s="125"/>
      <c r="K1092" s="193"/>
      <c r="L1092" s="125"/>
      <c r="M1092" s="124"/>
      <c r="N1092" s="126"/>
    </row>
    <row r="1093" spans="1:14">
      <c r="A1093" s="125"/>
      <c r="B1093" s="125"/>
      <c r="C1093" s="98"/>
      <c r="D1093" s="125"/>
      <c r="E1093" s="125"/>
      <c r="F1093" s="125"/>
      <c r="G1093" s="125"/>
      <c r="H1093" s="125"/>
      <c r="I1093" s="125"/>
      <c r="J1093" s="125"/>
      <c r="K1093" s="193"/>
      <c r="L1093" s="125"/>
      <c r="M1093" s="124"/>
      <c r="N1093" s="126"/>
    </row>
    <row r="1094" spans="1:14">
      <c r="A1094" s="125"/>
      <c r="B1094" s="125"/>
      <c r="C1094" s="98"/>
      <c r="D1094" s="125"/>
      <c r="E1094" s="125"/>
      <c r="F1094" s="125"/>
      <c r="G1094" s="125"/>
      <c r="H1094" s="125"/>
      <c r="I1094" s="125"/>
      <c r="J1094" s="125"/>
      <c r="K1094" s="193"/>
      <c r="L1094" s="125"/>
      <c r="M1094" s="124"/>
      <c r="N1094" s="126"/>
    </row>
    <row r="1095" spans="1:14">
      <c r="A1095" s="125"/>
      <c r="B1095" s="125"/>
      <c r="C1095" s="98"/>
      <c r="D1095" s="125"/>
      <c r="E1095" s="125"/>
      <c r="F1095" s="125"/>
      <c r="G1095" s="125"/>
      <c r="H1095" s="125"/>
      <c r="I1095" s="125"/>
      <c r="J1095" s="125"/>
      <c r="K1095" s="193"/>
      <c r="L1095" s="125"/>
      <c r="M1095" s="124"/>
      <c r="N1095" s="126"/>
    </row>
    <row r="1096" spans="1:14">
      <c r="A1096" s="125"/>
      <c r="B1096" s="125"/>
      <c r="C1096" s="98"/>
      <c r="D1096" s="125"/>
      <c r="E1096" s="125"/>
      <c r="F1096" s="125"/>
      <c r="G1096" s="125"/>
      <c r="H1096" s="125"/>
      <c r="I1096" s="125"/>
      <c r="J1096" s="125"/>
      <c r="K1096" s="193"/>
      <c r="L1096" s="125"/>
      <c r="M1096" s="124"/>
      <c r="N1096" s="126"/>
    </row>
    <row r="1097" spans="1:14">
      <c r="A1097" s="125"/>
      <c r="B1097" s="125"/>
      <c r="C1097" s="98"/>
      <c r="D1097" s="125"/>
      <c r="E1097" s="125"/>
      <c r="F1097" s="125"/>
      <c r="G1097" s="125"/>
      <c r="H1097" s="125"/>
      <c r="I1097" s="125"/>
      <c r="J1097" s="125"/>
      <c r="K1097" s="193"/>
      <c r="L1097" s="125"/>
      <c r="M1097" s="124"/>
      <c r="N1097" s="126"/>
    </row>
    <row r="1098" spans="1:14">
      <c r="A1098" s="125"/>
      <c r="B1098" s="125"/>
      <c r="C1098" s="98"/>
      <c r="D1098" s="125"/>
      <c r="E1098" s="125"/>
      <c r="F1098" s="125"/>
      <c r="G1098" s="125"/>
      <c r="H1098" s="125"/>
      <c r="I1098" s="125"/>
      <c r="J1098" s="125"/>
      <c r="K1098" s="193"/>
      <c r="L1098" s="125"/>
      <c r="M1098" s="124"/>
      <c r="N1098" s="126"/>
    </row>
    <row r="1099" spans="1:14">
      <c r="A1099" s="125"/>
      <c r="B1099" s="125"/>
      <c r="C1099" s="98"/>
      <c r="D1099" s="125"/>
      <c r="E1099" s="125"/>
      <c r="F1099" s="125"/>
      <c r="G1099" s="125"/>
      <c r="H1099" s="125"/>
      <c r="I1099" s="125"/>
      <c r="J1099" s="125"/>
      <c r="K1099" s="193"/>
      <c r="L1099" s="125"/>
      <c r="M1099" s="124"/>
      <c r="N1099" s="126"/>
    </row>
    <row r="1100" spans="1:14">
      <c r="A1100" s="125"/>
      <c r="B1100" s="125"/>
      <c r="C1100" s="98"/>
      <c r="D1100" s="125"/>
      <c r="E1100" s="125"/>
      <c r="F1100" s="125"/>
      <c r="G1100" s="125"/>
      <c r="H1100" s="125"/>
      <c r="I1100" s="125"/>
      <c r="J1100" s="125"/>
      <c r="K1100" s="193"/>
      <c r="L1100" s="125"/>
      <c r="M1100" s="124"/>
      <c r="N1100" s="126"/>
    </row>
    <row r="1101" spans="1:14">
      <c r="A1101" s="125"/>
      <c r="B1101" s="125"/>
      <c r="C1101" s="98"/>
      <c r="D1101" s="125"/>
      <c r="E1101" s="125"/>
      <c r="F1101" s="125"/>
      <c r="G1101" s="125"/>
      <c r="H1101" s="125"/>
      <c r="I1101" s="125"/>
      <c r="J1101" s="125"/>
      <c r="K1101" s="193"/>
      <c r="L1101" s="125"/>
      <c r="M1101" s="124"/>
      <c r="N1101" s="126"/>
    </row>
    <row r="1102" spans="1:14">
      <c r="A1102" s="125"/>
      <c r="B1102" s="125"/>
      <c r="C1102" s="98"/>
      <c r="D1102" s="125"/>
      <c r="E1102" s="125"/>
      <c r="F1102" s="125"/>
      <c r="G1102" s="125"/>
      <c r="H1102" s="125"/>
      <c r="I1102" s="125"/>
      <c r="J1102" s="125"/>
      <c r="K1102" s="193"/>
      <c r="L1102" s="125"/>
      <c r="M1102" s="124"/>
      <c r="N1102" s="126"/>
    </row>
    <row r="1103" spans="1:14">
      <c r="A1103" s="125"/>
      <c r="B1103" s="125"/>
      <c r="C1103" s="98"/>
      <c r="D1103" s="125"/>
      <c r="E1103" s="125"/>
      <c r="F1103" s="125"/>
      <c r="G1103" s="125"/>
      <c r="H1103" s="125"/>
      <c r="I1103" s="125"/>
      <c r="J1103" s="125"/>
      <c r="K1103" s="193"/>
      <c r="L1103" s="125"/>
      <c r="M1103" s="124"/>
      <c r="N1103" s="126"/>
    </row>
    <row r="1104" spans="1:14">
      <c r="A1104" s="125"/>
      <c r="B1104" s="125"/>
      <c r="C1104" s="98"/>
      <c r="D1104" s="125"/>
      <c r="E1104" s="125"/>
      <c r="F1104" s="125"/>
      <c r="G1104" s="125"/>
      <c r="H1104" s="125"/>
      <c r="I1104" s="125"/>
      <c r="J1104" s="125"/>
      <c r="K1104" s="193"/>
      <c r="L1104" s="125"/>
      <c r="M1104" s="124"/>
      <c r="N1104" s="126"/>
    </row>
    <row r="1105" spans="1:14">
      <c r="A1105" s="125"/>
      <c r="B1105" s="125"/>
      <c r="C1105" s="98"/>
      <c r="D1105" s="125"/>
      <c r="E1105" s="125"/>
      <c r="F1105" s="125"/>
      <c r="G1105" s="125"/>
      <c r="H1105" s="125"/>
      <c r="I1105" s="125"/>
      <c r="J1105" s="125"/>
      <c r="K1105" s="193"/>
      <c r="L1105" s="125"/>
      <c r="M1105" s="124"/>
      <c r="N1105" s="126"/>
    </row>
    <row r="1106" spans="1:14">
      <c r="A1106" s="125"/>
      <c r="B1106" s="125"/>
      <c r="C1106" s="98"/>
      <c r="D1106" s="125"/>
      <c r="E1106" s="125"/>
      <c r="F1106" s="125"/>
      <c r="G1106" s="125"/>
      <c r="H1106" s="125"/>
      <c r="I1106" s="125"/>
      <c r="J1106" s="125"/>
      <c r="K1106" s="193"/>
      <c r="L1106" s="125"/>
      <c r="M1106" s="124"/>
      <c r="N1106" s="126"/>
    </row>
    <row r="1107" spans="1:14">
      <c r="A1107" s="125"/>
      <c r="B1107" s="125"/>
      <c r="C1107" s="98"/>
      <c r="D1107" s="125"/>
      <c r="E1107" s="125"/>
      <c r="F1107" s="125"/>
      <c r="G1107" s="125"/>
      <c r="H1107" s="125"/>
      <c r="I1107" s="125"/>
      <c r="J1107" s="125"/>
      <c r="K1107" s="193"/>
      <c r="L1107" s="125"/>
      <c r="M1107" s="124"/>
      <c r="N1107" s="126"/>
    </row>
    <row r="1108" spans="1:14">
      <c r="A1108" s="125"/>
      <c r="B1108" s="125"/>
      <c r="C1108" s="98"/>
      <c r="D1108" s="125"/>
      <c r="E1108" s="125"/>
      <c r="F1108" s="125"/>
      <c r="G1108" s="125"/>
      <c r="H1108" s="125"/>
      <c r="I1108" s="125"/>
      <c r="J1108" s="125"/>
      <c r="K1108" s="193"/>
      <c r="L1108" s="125"/>
      <c r="M1108" s="124"/>
      <c r="N1108" s="126"/>
    </row>
    <row r="1109" spans="1:14">
      <c r="A1109" s="125"/>
      <c r="B1109" s="125"/>
      <c r="C1109" s="98"/>
      <c r="D1109" s="125"/>
      <c r="E1109" s="125"/>
      <c r="F1109" s="125"/>
      <c r="G1109" s="125"/>
      <c r="H1109" s="125"/>
      <c r="I1109" s="125"/>
      <c r="J1109" s="125"/>
      <c r="K1109" s="193"/>
      <c r="L1109" s="125"/>
      <c r="M1109" s="124"/>
      <c r="N1109" s="126"/>
    </row>
    <row r="1110" spans="1:14">
      <c r="A1110" s="125"/>
      <c r="B1110" s="125"/>
      <c r="C1110" s="98"/>
      <c r="D1110" s="125"/>
      <c r="E1110" s="125"/>
      <c r="F1110" s="125"/>
      <c r="G1110" s="125"/>
      <c r="H1110" s="125"/>
      <c r="I1110" s="125"/>
      <c r="J1110" s="125"/>
      <c r="K1110" s="193"/>
      <c r="L1110" s="125"/>
      <c r="M1110" s="124"/>
      <c r="N1110" s="126"/>
    </row>
    <row r="1111" spans="1:14">
      <c r="A1111" s="125"/>
      <c r="B1111" s="125"/>
      <c r="C1111" s="98"/>
      <c r="D1111" s="125"/>
      <c r="E1111" s="125"/>
      <c r="F1111" s="125"/>
      <c r="G1111" s="125"/>
      <c r="H1111" s="125"/>
      <c r="I1111" s="125"/>
      <c r="J1111" s="125"/>
      <c r="K1111" s="193"/>
      <c r="L1111" s="125"/>
      <c r="M1111" s="124"/>
      <c r="N1111" s="126"/>
    </row>
    <row r="1112" spans="1:14">
      <c r="A1112" s="125"/>
      <c r="B1112" s="125"/>
      <c r="C1112" s="98"/>
      <c r="D1112" s="125"/>
      <c r="E1112" s="125"/>
      <c r="F1112" s="125"/>
      <c r="G1112" s="125"/>
      <c r="H1112" s="125"/>
      <c r="I1112" s="125"/>
      <c r="J1112" s="125"/>
      <c r="K1112" s="193"/>
      <c r="L1112" s="125"/>
      <c r="M1112" s="124"/>
      <c r="N1112" s="126"/>
    </row>
    <row r="1113" spans="1:14">
      <c r="A1113" s="125"/>
      <c r="B1113" s="125"/>
      <c r="C1113" s="98"/>
      <c r="D1113" s="125"/>
      <c r="E1113" s="125"/>
      <c r="F1113" s="125"/>
      <c r="G1113" s="125"/>
      <c r="H1113" s="125"/>
      <c r="I1113" s="125"/>
      <c r="J1113" s="125"/>
      <c r="K1113" s="193"/>
      <c r="L1113" s="125"/>
      <c r="M1113" s="124"/>
      <c r="N1113" s="126"/>
    </row>
    <row r="1114" spans="1:14">
      <c r="A1114" s="125"/>
      <c r="B1114" s="125"/>
      <c r="C1114" s="98"/>
      <c r="D1114" s="125"/>
      <c r="E1114" s="125"/>
      <c r="F1114" s="125"/>
      <c r="G1114" s="125"/>
      <c r="H1114" s="125"/>
      <c r="I1114" s="125"/>
      <c r="J1114" s="125"/>
      <c r="K1114" s="193"/>
      <c r="L1114" s="125"/>
      <c r="M1114" s="124"/>
      <c r="N1114" s="126"/>
    </row>
    <row r="1115" spans="1:14">
      <c r="A1115" s="125"/>
      <c r="B1115" s="125"/>
      <c r="C1115" s="98"/>
      <c r="D1115" s="125"/>
      <c r="E1115" s="125"/>
      <c r="F1115" s="125"/>
      <c r="G1115" s="125"/>
      <c r="H1115" s="125"/>
      <c r="I1115" s="125"/>
      <c r="J1115" s="125"/>
      <c r="K1115" s="193"/>
      <c r="L1115" s="125"/>
      <c r="M1115" s="124"/>
      <c r="N1115" s="126"/>
    </row>
    <row r="1116" spans="1:14">
      <c r="A1116" s="125"/>
      <c r="B1116" s="125"/>
      <c r="C1116" s="98"/>
      <c r="D1116" s="125"/>
      <c r="E1116" s="125"/>
      <c r="F1116" s="125"/>
      <c r="G1116" s="125"/>
      <c r="H1116" s="125"/>
      <c r="I1116" s="125"/>
      <c r="J1116" s="125"/>
      <c r="K1116" s="193"/>
      <c r="L1116" s="125"/>
      <c r="M1116" s="124"/>
      <c r="N1116" s="126"/>
    </row>
    <row r="1117" spans="1:14">
      <c r="A1117" s="125"/>
      <c r="B1117" s="125"/>
      <c r="C1117" s="98"/>
      <c r="D1117" s="125"/>
      <c r="E1117" s="125"/>
      <c r="F1117" s="125"/>
      <c r="G1117" s="125"/>
      <c r="H1117" s="125"/>
      <c r="I1117" s="125"/>
      <c r="J1117" s="125"/>
      <c r="K1117" s="193"/>
      <c r="L1117" s="125"/>
      <c r="M1117" s="124"/>
      <c r="N1117" s="126"/>
    </row>
    <row r="1118" spans="1:14">
      <c r="A1118" s="125"/>
      <c r="B1118" s="125"/>
      <c r="C1118" s="98"/>
      <c r="D1118" s="125"/>
      <c r="E1118" s="125"/>
      <c r="F1118" s="125"/>
      <c r="G1118" s="125"/>
      <c r="H1118" s="125"/>
      <c r="I1118" s="125"/>
      <c r="J1118" s="125"/>
      <c r="K1118" s="193"/>
      <c r="L1118" s="125"/>
      <c r="M1118" s="124"/>
      <c r="N1118" s="126"/>
    </row>
    <row r="1119" spans="1:14">
      <c r="A1119" s="125"/>
      <c r="B1119" s="125"/>
      <c r="C1119" s="98"/>
      <c r="D1119" s="125"/>
      <c r="E1119" s="125"/>
      <c r="F1119" s="125"/>
      <c r="G1119" s="125"/>
      <c r="H1119" s="125"/>
      <c r="I1119" s="125"/>
      <c r="J1119" s="125"/>
      <c r="K1119" s="193"/>
      <c r="L1119" s="125"/>
      <c r="M1119" s="124"/>
      <c r="N1119" s="126"/>
    </row>
    <row r="1120" spans="1:14">
      <c r="A1120" s="125"/>
      <c r="B1120" s="125"/>
      <c r="C1120" s="98"/>
      <c r="D1120" s="125"/>
      <c r="E1120" s="125"/>
      <c r="F1120" s="125"/>
      <c r="G1120" s="125"/>
      <c r="H1120" s="125"/>
      <c r="I1120" s="125"/>
      <c r="J1120" s="125"/>
      <c r="K1120" s="193"/>
      <c r="L1120" s="125"/>
      <c r="M1120" s="124"/>
      <c r="N1120" s="126"/>
    </row>
    <row r="1121" spans="1:14">
      <c r="A1121" s="125"/>
      <c r="B1121" s="125"/>
      <c r="C1121" s="98"/>
      <c r="D1121" s="125"/>
      <c r="E1121" s="125"/>
      <c r="F1121" s="125"/>
      <c r="G1121" s="125"/>
      <c r="H1121" s="125"/>
      <c r="I1121" s="125"/>
      <c r="J1121" s="125"/>
      <c r="K1121" s="193"/>
      <c r="L1121" s="125"/>
      <c r="M1121" s="124"/>
      <c r="N1121" s="126"/>
    </row>
    <row r="1122" spans="1:14">
      <c r="A1122" s="125"/>
      <c r="B1122" s="125"/>
      <c r="C1122" s="98"/>
      <c r="D1122" s="125"/>
      <c r="E1122" s="125"/>
      <c r="F1122" s="125"/>
      <c r="G1122" s="125"/>
      <c r="H1122" s="125"/>
      <c r="I1122" s="125"/>
      <c r="J1122" s="125"/>
      <c r="K1122" s="193"/>
      <c r="L1122" s="125"/>
      <c r="M1122" s="124"/>
      <c r="N1122" s="126"/>
    </row>
    <row r="1123" spans="1:14">
      <c r="A1123" s="125"/>
      <c r="B1123" s="125"/>
      <c r="C1123" s="98"/>
      <c r="D1123" s="125"/>
      <c r="E1123" s="125"/>
      <c r="F1123" s="125"/>
      <c r="G1123" s="125"/>
      <c r="H1123" s="125"/>
      <c r="I1123" s="125"/>
      <c r="J1123" s="125"/>
      <c r="K1123" s="193"/>
      <c r="L1123" s="125"/>
      <c r="M1123" s="124"/>
      <c r="N1123" s="126"/>
    </row>
    <row r="1124" spans="1:14">
      <c r="A1124" s="125"/>
      <c r="B1124" s="125"/>
      <c r="C1124" s="98"/>
      <c r="D1124" s="125"/>
      <c r="E1124" s="125"/>
      <c r="F1124" s="125"/>
      <c r="G1124" s="125"/>
      <c r="H1124" s="125"/>
      <c r="I1124" s="125"/>
      <c r="J1124" s="125"/>
      <c r="K1124" s="193"/>
      <c r="L1124" s="125"/>
      <c r="M1124" s="124"/>
      <c r="N1124" s="126"/>
    </row>
    <row r="1125" spans="1:14">
      <c r="A1125" s="125"/>
      <c r="B1125" s="125"/>
      <c r="C1125" s="98"/>
      <c r="D1125" s="125"/>
      <c r="E1125" s="125"/>
      <c r="F1125" s="125"/>
      <c r="G1125" s="125"/>
      <c r="H1125" s="125"/>
      <c r="I1125" s="125"/>
      <c r="J1125" s="125"/>
      <c r="K1125" s="193"/>
      <c r="L1125" s="125"/>
      <c r="M1125" s="124"/>
      <c r="N1125" s="126"/>
    </row>
    <row r="1126" spans="1:14">
      <c r="A1126" s="125"/>
      <c r="B1126" s="125"/>
      <c r="C1126" s="98"/>
      <c r="D1126" s="125"/>
      <c r="E1126" s="125"/>
      <c r="F1126" s="125"/>
      <c r="G1126" s="125"/>
      <c r="H1126" s="125"/>
      <c r="I1126" s="125"/>
      <c r="J1126" s="125"/>
      <c r="K1126" s="193"/>
      <c r="L1126" s="125"/>
      <c r="M1126" s="124"/>
      <c r="N1126" s="126"/>
    </row>
    <row r="1127" spans="1:14">
      <c r="A1127" s="125"/>
      <c r="B1127" s="125"/>
      <c r="C1127" s="98"/>
      <c r="D1127" s="125"/>
      <c r="E1127" s="125"/>
      <c r="F1127" s="125"/>
      <c r="G1127" s="125"/>
      <c r="H1127" s="125"/>
      <c r="I1127" s="125"/>
      <c r="J1127" s="125"/>
      <c r="K1127" s="193"/>
      <c r="L1127" s="125"/>
      <c r="M1127" s="124"/>
      <c r="N1127" s="126"/>
    </row>
    <row r="1128" spans="1:14">
      <c r="A1128" s="125"/>
      <c r="B1128" s="125"/>
      <c r="C1128" s="98"/>
      <c r="D1128" s="125"/>
      <c r="E1128" s="125"/>
      <c r="F1128" s="125"/>
      <c r="G1128" s="125"/>
      <c r="H1128" s="125"/>
      <c r="I1128" s="125"/>
      <c r="J1128" s="125"/>
      <c r="K1128" s="193"/>
      <c r="L1128" s="125"/>
      <c r="M1128" s="124"/>
      <c r="N1128" s="126"/>
    </row>
    <row r="1129" spans="1:14">
      <c r="A1129" s="125"/>
      <c r="B1129" s="125"/>
      <c r="C1129" s="98"/>
      <c r="D1129" s="125"/>
      <c r="E1129" s="125"/>
      <c r="F1129" s="125"/>
      <c r="G1129" s="125"/>
      <c r="H1129" s="125"/>
      <c r="I1129" s="125"/>
      <c r="J1129" s="125"/>
      <c r="K1129" s="193"/>
      <c r="L1129" s="125"/>
      <c r="M1129" s="124"/>
      <c r="N1129" s="126"/>
    </row>
    <row r="1130" spans="1:14">
      <c r="A1130" s="125"/>
      <c r="B1130" s="125"/>
      <c r="C1130" s="98"/>
      <c r="D1130" s="125"/>
      <c r="E1130" s="125"/>
      <c r="F1130" s="125"/>
      <c r="G1130" s="125"/>
      <c r="H1130" s="125"/>
      <c r="I1130" s="125"/>
      <c r="J1130" s="125"/>
      <c r="K1130" s="193"/>
      <c r="L1130" s="125"/>
      <c r="M1130" s="124"/>
      <c r="N1130" s="126"/>
    </row>
    <row r="1131" spans="1:14">
      <c r="A1131" s="125"/>
      <c r="B1131" s="125"/>
      <c r="C1131" s="98"/>
      <c r="D1131" s="125"/>
      <c r="E1131" s="125"/>
      <c r="F1131" s="125"/>
      <c r="G1131" s="125"/>
      <c r="H1131" s="125"/>
      <c r="I1131" s="125"/>
      <c r="J1131" s="125"/>
      <c r="K1131" s="193"/>
      <c r="L1131" s="125"/>
      <c r="M1131" s="124"/>
      <c r="N1131" s="126"/>
    </row>
    <row r="1132" spans="1:14">
      <c r="A1132" s="125"/>
      <c r="B1132" s="125"/>
      <c r="C1132" s="98"/>
      <c r="D1132" s="125"/>
      <c r="E1132" s="125"/>
      <c r="F1132" s="125"/>
      <c r="G1132" s="125"/>
      <c r="H1132" s="125"/>
      <c r="I1132" s="125"/>
      <c r="J1132" s="125"/>
      <c r="K1132" s="193"/>
      <c r="L1132" s="125"/>
      <c r="M1132" s="124"/>
      <c r="N1132" s="126"/>
    </row>
    <row r="1133" spans="1:14">
      <c r="A1133" s="125"/>
      <c r="B1133" s="125"/>
      <c r="C1133" s="98"/>
      <c r="D1133" s="125"/>
      <c r="E1133" s="125"/>
      <c r="F1133" s="125"/>
      <c r="G1133" s="125"/>
      <c r="H1133" s="125"/>
      <c r="I1133" s="125"/>
      <c r="J1133" s="125"/>
      <c r="K1133" s="193"/>
      <c r="L1133" s="125"/>
      <c r="M1133" s="124"/>
      <c r="N1133" s="126"/>
    </row>
    <row r="1134" spans="1:14">
      <c r="A1134" s="125"/>
      <c r="B1134" s="125"/>
      <c r="C1134" s="98"/>
      <c r="D1134" s="125"/>
      <c r="E1134" s="125"/>
      <c r="F1134" s="125"/>
      <c r="G1134" s="125"/>
      <c r="H1134" s="125"/>
      <c r="I1134" s="125"/>
      <c r="J1134" s="125"/>
      <c r="K1134" s="193"/>
      <c r="L1134" s="125"/>
      <c r="M1134" s="124"/>
      <c r="N1134" s="126"/>
    </row>
    <row r="1135" spans="1:14">
      <c r="A1135" s="125"/>
      <c r="B1135" s="125"/>
      <c r="C1135" s="98"/>
      <c r="D1135" s="125"/>
      <c r="E1135" s="125"/>
      <c r="F1135" s="125"/>
      <c r="G1135" s="125"/>
      <c r="H1135" s="125"/>
      <c r="I1135" s="125"/>
      <c r="J1135" s="125"/>
      <c r="K1135" s="193"/>
      <c r="L1135" s="125"/>
      <c r="M1135" s="124"/>
      <c r="N1135" s="126"/>
    </row>
    <row r="1136" spans="1:14">
      <c r="A1136" s="125"/>
      <c r="B1136" s="125"/>
      <c r="C1136" s="98"/>
      <c r="D1136" s="125"/>
      <c r="E1136" s="125"/>
      <c r="F1136" s="125"/>
      <c r="G1136" s="125"/>
      <c r="H1136" s="125"/>
      <c r="I1136" s="125"/>
      <c r="J1136" s="125"/>
      <c r="K1136" s="193"/>
      <c r="L1136" s="125"/>
      <c r="M1136" s="124"/>
      <c r="N1136" s="126"/>
    </row>
    <row r="1137" spans="1:14">
      <c r="A1137" s="125"/>
      <c r="B1137" s="125"/>
      <c r="C1137" s="98"/>
      <c r="D1137" s="125"/>
      <c r="E1137" s="125"/>
      <c r="F1137" s="125"/>
      <c r="G1137" s="125"/>
      <c r="H1137" s="125"/>
      <c r="I1137" s="125"/>
      <c r="J1137" s="125"/>
      <c r="K1137" s="193"/>
      <c r="L1137" s="125"/>
      <c r="M1137" s="124"/>
      <c r="N1137" s="126"/>
    </row>
    <row r="1138" spans="1:14">
      <c r="A1138" s="125"/>
      <c r="B1138" s="125"/>
      <c r="C1138" s="98"/>
      <c r="D1138" s="125"/>
      <c r="E1138" s="125"/>
      <c r="F1138" s="125"/>
      <c r="G1138" s="125"/>
      <c r="H1138" s="118"/>
      <c r="I1138" s="125"/>
      <c r="J1138" s="125"/>
      <c r="K1138" s="193"/>
      <c r="L1138" s="125"/>
      <c r="M1138" s="124"/>
      <c r="N1138" s="126"/>
    </row>
    <row r="1139" spans="1:14">
      <c r="A1139" s="125"/>
      <c r="B1139" s="125"/>
      <c r="C1139" s="98"/>
      <c r="D1139" s="125"/>
      <c r="E1139" s="125"/>
      <c r="F1139" s="125"/>
      <c r="G1139" s="125"/>
      <c r="H1139" s="118"/>
      <c r="I1139" s="125"/>
      <c r="J1139" s="125"/>
      <c r="K1139" s="193"/>
      <c r="L1139" s="125"/>
      <c r="M1139" s="124"/>
      <c r="N1139" s="126"/>
    </row>
    <row r="1140" spans="1:14">
      <c r="A1140" s="125"/>
      <c r="B1140" s="125"/>
      <c r="C1140" s="98"/>
      <c r="D1140" s="125"/>
      <c r="E1140" s="125"/>
      <c r="F1140" s="125"/>
      <c r="G1140" s="125"/>
      <c r="H1140" s="118"/>
      <c r="I1140" s="125"/>
      <c r="J1140" s="125"/>
      <c r="K1140" s="193"/>
      <c r="L1140" s="125"/>
      <c r="M1140" s="124"/>
      <c r="N1140" s="126"/>
    </row>
    <row r="1141" spans="1:14">
      <c r="A1141" s="125"/>
      <c r="B1141" s="125"/>
      <c r="C1141" s="98"/>
      <c r="D1141" s="125"/>
      <c r="E1141" s="125"/>
      <c r="F1141" s="125"/>
      <c r="G1141" s="125"/>
      <c r="H1141" s="118"/>
      <c r="I1141" s="125"/>
      <c r="J1141" s="125"/>
      <c r="K1141" s="193"/>
      <c r="L1141" s="125"/>
      <c r="M1141" s="124"/>
      <c r="N1141" s="126"/>
    </row>
    <row r="1142" spans="1:14">
      <c r="A1142" s="125"/>
      <c r="B1142" s="125"/>
      <c r="C1142" s="98"/>
      <c r="D1142" s="125"/>
      <c r="E1142" s="125"/>
      <c r="F1142" s="125"/>
      <c r="G1142" s="125"/>
      <c r="H1142" s="118"/>
      <c r="I1142" s="125"/>
      <c r="J1142" s="125"/>
      <c r="K1142" s="193"/>
      <c r="L1142" s="125"/>
      <c r="M1142" s="124"/>
      <c r="N1142" s="126"/>
    </row>
    <row r="1143" spans="1:14">
      <c r="A1143" s="125"/>
      <c r="B1143" s="125"/>
      <c r="C1143" s="98"/>
      <c r="D1143" s="125"/>
      <c r="E1143" s="125"/>
      <c r="F1143" s="125"/>
      <c r="G1143" s="125"/>
      <c r="H1143" s="118"/>
      <c r="I1143" s="125"/>
      <c r="J1143" s="125"/>
      <c r="K1143" s="193"/>
      <c r="L1143" s="125"/>
      <c r="M1143" s="124"/>
      <c r="N1143" s="126"/>
    </row>
    <row r="1144" spans="1:14">
      <c r="A1144" s="125"/>
      <c r="B1144" s="125"/>
      <c r="C1144" s="98"/>
      <c r="D1144" s="125"/>
      <c r="E1144" s="125"/>
      <c r="F1144" s="125"/>
      <c r="G1144" s="125"/>
      <c r="H1144" s="118"/>
      <c r="I1144" s="125"/>
      <c r="J1144" s="125"/>
      <c r="K1144" s="193"/>
      <c r="L1144" s="125"/>
      <c r="M1144" s="124"/>
      <c r="N1144" s="126"/>
    </row>
    <row r="1145" spans="1:14">
      <c r="A1145" s="125"/>
      <c r="B1145" s="125"/>
      <c r="C1145" s="98"/>
      <c r="D1145" s="125"/>
      <c r="E1145" s="125"/>
      <c r="F1145" s="125"/>
      <c r="G1145" s="125"/>
      <c r="H1145" s="118"/>
      <c r="I1145" s="125"/>
      <c r="J1145" s="125"/>
      <c r="K1145" s="193"/>
      <c r="L1145" s="125"/>
      <c r="M1145" s="124"/>
      <c r="N1145" s="126"/>
    </row>
    <row r="1146" spans="1:14">
      <c r="A1146" s="125"/>
      <c r="B1146" s="125"/>
      <c r="C1146" s="98"/>
      <c r="D1146" s="125"/>
      <c r="E1146" s="125"/>
      <c r="F1146" s="125"/>
      <c r="G1146" s="125"/>
      <c r="H1146" s="125"/>
      <c r="I1146" s="125"/>
      <c r="J1146" s="125"/>
      <c r="K1146" s="193"/>
      <c r="L1146" s="125"/>
      <c r="M1146" s="124"/>
      <c r="N1146" s="126"/>
    </row>
    <row r="1147" spans="1:14">
      <c r="A1147" s="125"/>
      <c r="B1147" s="125"/>
      <c r="C1147" s="98"/>
      <c r="D1147" s="125"/>
      <c r="E1147" s="125"/>
      <c r="F1147" s="125"/>
      <c r="G1147" s="125"/>
      <c r="H1147" s="125"/>
      <c r="I1147" s="125"/>
      <c r="J1147" s="125"/>
      <c r="K1147" s="193"/>
      <c r="L1147" s="125"/>
      <c r="M1147" s="124"/>
      <c r="N1147" s="126"/>
    </row>
    <row r="1148" spans="1:14">
      <c r="A1148" s="125"/>
      <c r="B1148" s="125"/>
      <c r="C1148" s="98"/>
      <c r="D1148" s="125"/>
      <c r="E1148" s="125"/>
      <c r="F1148" s="125"/>
      <c r="G1148" s="125"/>
      <c r="H1148" s="125"/>
      <c r="I1148" s="125"/>
      <c r="J1148" s="125"/>
      <c r="K1148" s="193"/>
      <c r="L1148" s="125"/>
      <c r="M1148" s="124"/>
      <c r="N1148" s="126"/>
    </row>
    <row r="1149" spans="1:14">
      <c r="A1149" s="125"/>
      <c r="B1149" s="125"/>
      <c r="C1149" s="98"/>
      <c r="D1149" s="125"/>
      <c r="E1149" s="125"/>
      <c r="F1149" s="125"/>
      <c r="G1149" s="125"/>
      <c r="H1149" s="125"/>
      <c r="I1149" s="125"/>
      <c r="J1149" s="125"/>
      <c r="K1149" s="193"/>
      <c r="L1149" s="125"/>
      <c r="M1149" s="124"/>
      <c r="N1149" s="126"/>
    </row>
    <row r="1150" spans="1:14">
      <c r="A1150" s="125"/>
      <c r="B1150" s="125"/>
      <c r="C1150" s="98"/>
      <c r="D1150" s="125"/>
      <c r="E1150" s="125"/>
      <c r="F1150" s="125"/>
      <c r="G1150" s="125"/>
      <c r="H1150" s="125"/>
      <c r="I1150" s="125"/>
      <c r="J1150" s="125"/>
      <c r="K1150" s="193"/>
      <c r="L1150" s="125"/>
      <c r="M1150" s="124"/>
      <c r="N1150" s="126"/>
    </row>
    <row r="1151" spans="1:14">
      <c r="A1151" s="125"/>
      <c r="B1151" s="125"/>
      <c r="C1151" s="98"/>
      <c r="D1151" s="125"/>
      <c r="E1151" s="125"/>
      <c r="F1151" s="125"/>
      <c r="G1151" s="125"/>
      <c r="H1151" s="125"/>
      <c r="I1151" s="125"/>
      <c r="J1151" s="125"/>
      <c r="K1151" s="193"/>
      <c r="L1151" s="125"/>
      <c r="M1151" s="124"/>
      <c r="N1151" s="126"/>
    </row>
    <row r="1152" spans="1:14">
      <c r="A1152" s="125"/>
      <c r="B1152" s="125"/>
      <c r="C1152" s="98"/>
      <c r="D1152" s="125"/>
      <c r="E1152" s="125"/>
      <c r="F1152" s="125"/>
      <c r="G1152" s="125"/>
      <c r="H1152" s="125"/>
      <c r="I1152" s="125"/>
      <c r="J1152" s="125"/>
      <c r="K1152" s="193"/>
      <c r="L1152" s="125"/>
      <c r="M1152" s="124"/>
      <c r="N1152" s="126"/>
    </row>
    <row r="1153" spans="1:14">
      <c r="A1153" s="125"/>
      <c r="B1153" s="125"/>
      <c r="C1153" s="98"/>
      <c r="D1153" s="125"/>
      <c r="E1153" s="125"/>
      <c r="F1153" s="125"/>
      <c r="G1153" s="125"/>
      <c r="H1153" s="125"/>
      <c r="I1153" s="125"/>
      <c r="J1153" s="125"/>
      <c r="K1153" s="193"/>
      <c r="L1153" s="125"/>
      <c r="M1153" s="124"/>
      <c r="N1153" s="126"/>
    </row>
    <row r="1154" spans="1:14">
      <c r="A1154" s="125"/>
      <c r="B1154" s="125"/>
      <c r="C1154" s="98"/>
      <c r="D1154" s="125"/>
      <c r="E1154" s="125"/>
      <c r="F1154" s="125"/>
      <c r="G1154" s="125"/>
      <c r="H1154" s="125"/>
      <c r="I1154" s="125"/>
      <c r="J1154" s="125"/>
      <c r="K1154" s="193"/>
      <c r="L1154" s="125"/>
      <c r="M1154" s="124"/>
      <c r="N1154" s="126"/>
    </row>
    <row r="1155" spans="1:14">
      <c r="A1155" s="125"/>
      <c r="B1155" s="125"/>
      <c r="C1155" s="98"/>
      <c r="D1155" s="125"/>
      <c r="E1155" s="125"/>
      <c r="F1155" s="125"/>
      <c r="G1155" s="125"/>
      <c r="H1155" s="125"/>
      <c r="I1155" s="125"/>
      <c r="J1155" s="125"/>
      <c r="K1155" s="193"/>
      <c r="L1155" s="125"/>
      <c r="M1155" s="124"/>
      <c r="N1155" s="126"/>
    </row>
    <row r="1156" spans="1:14">
      <c r="A1156" s="125"/>
      <c r="B1156" s="125"/>
      <c r="C1156" s="98"/>
      <c r="D1156" s="125"/>
      <c r="E1156" s="125"/>
      <c r="F1156" s="125"/>
      <c r="G1156" s="125"/>
      <c r="H1156" s="125"/>
      <c r="I1156" s="125"/>
      <c r="J1156" s="125"/>
      <c r="K1156" s="193"/>
      <c r="L1156" s="125"/>
      <c r="M1156" s="124"/>
      <c r="N1156" s="126"/>
    </row>
    <row r="1157" spans="1:14">
      <c r="A1157" s="125"/>
      <c r="B1157" s="125"/>
      <c r="C1157" s="98"/>
      <c r="D1157" s="125"/>
      <c r="E1157" s="125"/>
      <c r="F1157" s="125"/>
      <c r="G1157" s="125"/>
      <c r="H1157" s="125"/>
      <c r="I1157" s="125"/>
      <c r="J1157" s="125"/>
      <c r="K1157" s="193"/>
      <c r="L1157" s="125"/>
      <c r="M1157" s="124"/>
      <c r="N1157" s="126"/>
    </row>
    <row r="1158" spans="1:14">
      <c r="A1158" s="125"/>
      <c r="B1158" s="125"/>
      <c r="C1158" s="98"/>
      <c r="D1158" s="125"/>
      <c r="E1158" s="125"/>
      <c r="F1158" s="125"/>
      <c r="G1158" s="125"/>
      <c r="H1158" s="125"/>
      <c r="I1158" s="125"/>
      <c r="J1158" s="125"/>
      <c r="K1158" s="193"/>
      <c r="L1158" s="125"/>
      <c r="M1158" s="124"/>
      <c r="N1158" s="126"/>
    </row>
    <row r="1159" spans="1:14">
      <c r="A1159" s="125"/>
      <c r="B1159" s="125"/>
      <c r="C1159" s="98"/>
      <c r="D1159" s="125"/>
      <c r="E1159" s="125"/>
      <c r="F1159" s="125"/>
      <c r="G1159" s="125"/>
      <c r="H1159" s="125"/>
      <c r="I1159" s="125"/>
      <c r="J1159" s="125"/>
      <c r="K1159" s="193"/>
      <c r="L1159" s="125"/>
      <c r="M1159" s="124"/>
      <c r="N1159" s="126"/>
    </row>
    <row r="1160" spans="1:14">
      <c r="A1160" s="125"/>
      <c r="B1160" s="125"/>
      <c r="C1160" s="98"/>
      <c r="D1160" s="125"/>
      <c r="E1160" s="125"/>
      <c r="F1160" s="125"/>
      <c r="G1160" s="125"/>
      <c r="H1160" s="125"/>
      <c r="I1160" s="125"/>
      <c r="J1160" s="125"/>
      <c r="K1160" s="193"/>
      <c r="L1160" s="125"/>
      <c r="M1160" s="124"/>
      <c r="N1160" s="126"/>
    </row>
    <row r="1161" spans="1:14">
      <c r="A1161" s="125"/>
      <c r="B1161" s="125"/>
      <c r="C1161" s="98"/>
      <c r="D1161" s="125"/>
      <c r="E1161" s="125"/>
      <c r="F1161" s="125"/>
      <c r="G1161" s="125"/>
      <c r="H1161" s="125"/>
      <c r="I1161" s="125"/>
      <c r="J1161" s="125"/>
      <c r="K1161" s="193"/>
      <c r="L1161" s="125"/>
      <c r="M1161" s="124"/>
      <c r="N1161" s="126"/>
    </row>
    <row r="1162" spans="1:14">
      <c r="A1162" s="125"/>
      <c r="B1162" s="125"/>
      <c r="C1162" s="98"/>
      <c r="D1162" s="125"/>
      <c r="E1162" s="125"/>
      <c r="F1162" s="125"/>
      <c r="G1162" s="125"/>
      <c r="H1162" s="125"/>
      <c r="I1162" s="125"/>
      <c r="J1162" s="125"/>
      <c r="K1162" s="193"/>
      <c r="L1162" s="125"/>
      <c r="M1162" s="124"/>
      <c r="N1162" s="126"/>
    </row>
    <row r="1163" spans="1:14">
      <c r="A1163" s="125"/>
      <c r="B1163" s="125"/>
      <c r="C1163" s="98"/>
      <c r="D1163" s="125"/>
      <c r="E1163" s="125"/>
      <c r="F1163" s="125"/>
      <c r="G1163" s="125"/>
      <c r="H1163" s="125"/>
      <c r="I1163" s="125"/>
      <c r="J1163" s="125"/>
      <c r="K1163" s="193"/>
      <c r="L1163" s="125"/>
      <c r="M1163" s="124"/>
      <c r="N1163" s="126"/>
    </row>
    <row r="1164" spans="1:14">
      <c r="A1164" s="125"/>
      <c r="B1164" s="125"/>
      <c r="C1164" s="98"/>
      <c r="D1164" s="125"/>
      <c r="E1164" s="125"/>
      <c r="F1164" s="125"/>
      <c r="G1164" s="125"/>
      <c r="H1164" s="125"/>
      <c r="I1164" s="125"/>
      <c r="J1164" s="125"/>
      <c r="K1164" s="193"/>
      <c r="L1164" s="125"/>
      <c r="M1164" s="124"/>
      <c r="N1164" s="126"/>
    </row>
    <row r="1165" spans="1:14">
      <c r="A1165" s="125"/>
      <c r="B1165" s="125"/>
      <c r="C1165" s="98"/>
      <c r="D1165" s="125"/>
      <c r="E1165" s="125"/>
      <c r="F1165" s="125"/>
      <c r="G1165" s="125"/>
      <c r="H1165" s="125"/>
      <c r="I1165" s="125"/>
      <c r="J1165" s="125"/>
      <c r="K1165" s="193"/>
      <c r="L1165" s="125"/>
      <c r="M1165" s="124"/>
      <c r="N1165" s="126"/>
    </row>
    <row r="1166" spans="1:14">
      <c r="A1166" s="125"/>
      <c r="B1166" s="125"/>
      <c r="C1166" s="98"/>
      <c r="D1166" s="125"/>
      <c r="E1166" s="125"/>
      <c r="F1166" s="125"/>
      <c r="G1166" s="125"/>
      <c r="H1166" s="125"/>
      <c r="I1166" s="125"/>
      <c r="J1166" s="125"/>
      <c r="K1166" s="193"/>
      <c r="L1166" s="125"/>
      <c r="M1166" s="124"/>
      <c r="N1166" s="126"/>
    </row>
    <row r="1167" spans="1:14">
      <c r="A1167" s="125"/>
      <c r="B1167" s="125"/>
      <c r="C1167" s="98"/>
      <c r="D1167" s="125"/>
      <c r="E1167" s="125"/>
      <c r="F1167" s="125"/>
      <c r="G1167" s="125"/>
      <c r="H1167" s="125"/>
      <c r="I1167" s="125"/>
      <c r="J1167" s="125"/>
      <c r="K1167" s="193"/>
      <c r="L1167" s="125"/>
      <c r="M1167" s="124"/>
      <c r="N1167" s="126"/>
    </row>
    <row r="1168" spans="1:14">
      <c r="A1168" s="125"/>
      <c r="B1168" s="125"/>
      <c r="C1168" s="98"/>
      <c r="D1168" s="125"/>
      <c r="E1168" s="125"/>
      <c r="F1168" s="125"/>
      <c r="G1168" s="125"/>
      <c r="H1168" s="125"/>
      <c r="I1168" s="125"/>
      <c r="J1168" s="125"/>
      <c r="K1168" s="193"/>
      <c r="L1168" s="125"/>
      <c r="M1168" s="124"/>
      <c r="N1168" s="126"/>
    </row>
    <row r="1169" spans="1:14">
      <c r="A1169" s="125"/>
      <c r="B1169" s="125"/>
      <c r="C1169" s="98"/>
      <c r="D1169" s="125"/>
      <c r="E1169" s="125"/>
      <c r="F1169" s="125"/>
      <c r="G1169" s="125"/>
      <c r="H1169" s="125"/>
      <c r="I1169" s="125"/>
      <c r="J1169" s="125"/>
      <c r="K1169" s="193"/>
      <c r="L1169" s="125"/>
      <c r="M1169" s="124"/>
      <c r="N1169" s="126"/>
    </row>
    <row r="1170" spans="1:14">
      <c r="A1170" s="125"/>
      <c r="B1170" s="125"/>
      <c r="C1170" s="98"/>
      <c r="D1170" s="125"/>
      <c r="E1170" s="125"/>
      <c r="F1170" s="125"/>
      <c r="G1170" s="125"/>
      <c r="H1170" s="125"/>
      <c r="I1170" s="125"/>
      <c r="J1170" s="125"/>
      <c r="K1170" s="193"/>
      <c r="L1170" s="125"/>
      <c r="M1170" s="124"/>
      <c r="N1170" s="126"/>
    </row>
    <row r="1171" spans="1:14">
      <c r="A1171" s="125"/>
      <c r="B1171" s="125"/>
      <c r="C1171" s="98"/>
      <c r="D1171" s="125"/>
      <c r="E1171" s="125"/>
      <c r="F1171" s="125"/>
      <c r="G1171" s="125"/>
      <c r="H1171" s="125"/>
      <c r="I1171" s="125"/>
      <c r="J1171" s="125"/>
      <c r="K1171" s="193"/>
      <c r="L1171" s="125"/>
      <c r="M1171" s="124"/>
      <c r="N1171" s="126"/>
    </row>
    <row r="1172" spans="1:14">
      <c r="A1172" s="125"/>
      <c r="B1172" s="125"/>
      <c r="C1172" s="98"/>
      <c r="D1172" s="125"/>
      <c r="E1172" s="125"/>
      <c r="F1172" s="125"/>
      <c r="G1172" s="125"/>
      <c r="H1172" s="125"/>
      <c r="I1172" s="125"/>
      <c r="J1172" s="125"/>
      <c r="K1172" s="193"/>
      <c r="L1172" s="125"/>
      <c r="M1172" s="124"/>
      <c r="N1172" s="126"/>
    </row>
    <row r="1173" spans="1:14">
      <c r="A1173" s="125"/>
      <c r="B1173" s="125"/>
      <c r="C1173" s="98"/>
      <c r="D1173" s="125"/>
      <c r="E1173" s="125"/>
      <c r="F1173" s="125"/>
      <c r="G1173" s="125"/>
      <c r="H1173" s="125"/>
      <c r="I1173" s="125"/>
      <c r="J1173" s="125"/>
      <c r="K1173" s="193"/>
      <c r="L1173" s="125"/>
      <c r="M1173" s="124"/>
      <c r="N1173" s="126"/>
    </row>
    <row r="1174" spans="1:14">
      <c r="A1174" s="125"/>
      <c r="B1174" s="125"/>
      <c r="C1174" s="98"/>
      <c r="D1174" s="125"/>
      <c r="E1174" s="125"/>
      <c r="F1174" s="125"/>
      <c r="G1174" s="125"/>
      <c r="H1174" s="125"/>
      <c r="I1174" s="125"/>
      <c r="J1174" s="125"/>
      <c r="K1174" s="193"/>
      <c r="L1174" s="125"/>
      <c r="M1174" s="124"/>
      <c r="N1174" s="126"/>
    </row>
    <row r="1175" spans="1:14">
      <c r="A1175" s="125"/>
      <c r="B1175" s="125"/>
      <c r="C1175" s="98"/>
      <c r="D1175" s="125"/>
      <c r="E1175" s="125"/>
      <c r="F1175" s="125"/>
      <c r="G1175" s="125"/>
      <c r="H1175" s="125"/>
      <c r="I1175" s="125"/>
      <c r="J1175" s="125"/>
      <c r="K1175" s="193"/>
      <c r="L1175" s="125"/>
      <c r="M1175" s="124"/>
      <c r="N1175" s="126"/>
    </row>
    <row r="1176" spans="1:14">
      <c r="A1176" s="125"/>
      <c r="B1176" s="125"/>
      <c r="C1176" s="98"/>
      <c r="D1176" s="125"/>
      <c r="E1176" s="125"/>
      <c r="F1176" s="125"/>
      <c r="G1176" s="125"/>
      <c r="H1176" s="125"/>
      <c r="I1176" s="125"/>
      <c r="J1176" s="125"/>
      <c r="K1176" s="193"/>
      <c r="L1176" s="125"/>
      <c r="M1176" s="124"/>
      <c r="N1176" s="126"/>
    </row>
    <row r="1177" spans="1:14">
      <c r="A1177" s="125"/>
      <c r="B1177" s="125"/>
      <c r="C1177" s="98"/>
      <c r="D1177" s="125"/>
      <c r="E1177" s="125"/>
      <c r="F1177" s="125"/>
      <c r="G1177" s="125"/>
      <c r="H1177" s="125"/>
      <c r="I1177" s="125"/>
      <c r="J1177" s="125"/>
      <c r="K1177" s="193"/>
      <c r="L1177" s="125"/>
      <c r="M1177" s="124"/>
      <c r="N1177" s="126"/>
    </row>
    <row r="1178" spans="1:14">
      <c r="A1178" s="125"/>
      <c r="B1178" s="125"/>
      <c r="C1178" s="98"/>
      <c r="D1178" s="125"/>
      <c r="E1178" s="125"/>
      <c r="F1178" s="125"/>
      <c r="G1178" s="125"/>
      <c r="H1178" s="125"/>
      <c r="I1178" s="125"/>
      <c r="J1178" s="125"/>
      <c r="K1178" s="193"/>
      <c r="L1178" s="125"/>
      <c r="M1178" s="124"/>
      <c r="N1178" s="126"/>
    </row>
    <row r="1179" spans="1:14">
      <c r="A1179" s="125"/>
      <c r="B1179" s="125"/>
      <c r="C1179" s="98"/>
      <c r="D1179" s="125"/>
      <c r="E1179" s="125"/>
      <c r="F1179" s="125"/>
      <c r="G1179" s="125"/>
      <c r="H1179" s="125"/>
      <c r="I1179" s="125"/>
      <c r="J1179" s="125"/>
      <c r="K1179" s="193"/>
      <c r="L1179" s="125"/>
      <c r="M1179" s="124"/>
      <c r="N1179" s="126"/>
    </row>
    <row r="1180" spans="1:14">
      <c r="A1180" s="125"/>
      <c r="B1180" s="125"/>
      <c r="C1180" s="98"/>
      <c r="D1180" s="125"/>
      <c r="E1180" s="125"/>
      <c r="F1180" s="125"/>
      <c r="G1180" s="125"/>
      <c r="H1180" s="125"/>
      <c r="I1180" s="125"/>
      <c r="J1180" s="125"/>
      <c r="K1180" s="193"/>
      <c r="L1180" s="125"/>
      <c r="M1180" s="124"/>
      <c r="N1180" s="126"/>
    </row>
    <row r="1181" spans="1:14">
      <c r="A1181" s="125"/>
      <c r="B1181" s="125"/>
      <c r="C1181" s="98"/>
      <c r="D1181" s="125"/>
      <c r="E1181" s="125"/>
      <c r="F1181" s="125"/>
      <c r="G1181" s="125"/>
      <c r="H1181" s="125"/>
      <c r="I1181" s="125"/>
      <c r="J1181" s="125"/>
      <c r="K1181" s="193"/>
      <c r="L1181" s="125"/>
      <c r="M1181" s="124"/>
      <c r="N1181" s="126"/>
    </row>
    <row r="1182" spans="1:14">
      <c r="A1182" s="125"/>
      <c r="B1182" s="125"/>
      <c r="C1182" s="98"/>
      <c r="D1182" s="125"/>
      <c r="E1182" s="125"/>
      <c r="F1182" s="125"/>
      <c r="G1182" s="125"/>
      <c r="H1182" s="125"/>
      <c r="I1182" s="125"/>
      <c r="J1182" s="125"/>
      <c r="K1182" s="193"/>
      <c r="L1182" s="125"/>
      <c r="M1182" s="124"/>
      <c r="N1182" s="126"/>
    </row>
    <row r="1183" spans="1:14">
      <c r="A1183" s="125"/>
      <c r="B1183" s="125"/>
      <c r="C1183" s="98"/>
      <c r="D1183" s="125"/>
      <c r="E1183" s="125"/>
      <c r="F1183" s="125"/>
      <c r="G1183" s="125"/>
      <c r="H1183" s="125"/>
      <c r="I1183" s="125"/>
      <c r="J1183" s="125"/>
      <c r="K1183" s="193"/>
      <c r="L1183" s="125"/>
      <c r="M1183" s="124"/>
      <c r="N1183" s="126"/>
    </row>
    <row r="1184" spans="1:14">
      <c r="A1184" s="125"/>
      <c r="B1184" s="125"/>
      <c r="C1184" s="98"/>
      <c r="D1184" s="125"/>
      <c r="E1184" s="125"/>
      <c r="F1184" s="125"/>
      <c r="G1184" s="125"/>
      <c r="H1184" s="125"/>
      <c r="I1184" s="125"/>
      <c r="J1184" s="125"/>
      <c r="K1184" s="193"/>
      <c r="L1184" s="125"/>
      <c r="M1184" s="124"/>
      <c r="N1184" s="126"/>
    </row>
    <row r="1185" spans="1:14">
      <c r="A1185" s="125"/>
      <c r="B1185" s="125"/>
      <c r="C1185" s="98"/>
      <c r="D1185" s="125"/>
      <c r="E1185" s="125"/>
      <c r="F1185" s="125"/>
      <c r="G1185" s="125"/>
      <c r="H1185" s="125"/>
      <c r="I1185" s="125"/>
      <c r="J1185" s="125"/>
      <c r="K1185" s="193"/>
      <c r="L1185" s="125"/>
      <c r="M1185" s="124"/>
      <c r="N1185" s="126"/>
    </row>
    <row r="1186" spans="1:14">
      <c r="A1186" s="125"/>
      <c r="B1186" s="125"/>
      <c r="C1186" s="98"/>
      <c r="D1186" s="125"/>
      <c r="E1186" s="125"/>
      <c r="F1186" s="125"/>
      <c r="G1186" s="125"/>
      <c r="H1186" s="125"/>
      <c r="I1186" s="125"/>
      <c r="J1186" s="125"/>
      <c r="K1186" s="193"/>
      <c r="L1186" s="125"/>
      <c r="M1186" s="124"/>
      <c r="N1186" s="126"/>
    </row>
    <row r="1187" spans="1:14">
      <c r="A1187" s="125"/>
      <c r="B1187" s="125"/>
      <c r="C1187" s="98"/>
      <c r="D1187" s="125"/>
      <c r="E1187" s="125"/>
      <c r="F1187" s="125"/>
      <c r="G1187" s="125"/>
      <c r="H1187" s="125"/>
      <c r="I1187" s="125"/>
      <c r="J1187" s="125"/>
      <c r="K1187" s="193"/>
      <c r="L1187" s="125"/>
      <c r="M1187" s="124"/>
      <c r="N1187" s="126"/>
    </row>
    <row r="1188" spans="1:14">
      <c r="A1188" s="125"/>
      <c r="B1188" s="125"/>
      <c r="C1188" s="98"/>
      <c r="D1188" s="125"/>
      <c r="E1188" s="125"/>
      <c r="F1188" s="125"/>
      <c r="G1188" s="125"/>
      <c r="H1188" s="125"/>
      <c r="I1188" s="125"/>
      <c r="J1188" s="125"/>
      <c r="K1188" s="193"/>
      <c r="L1188" s="125"/>
      <c r="M1188" s="124"/>
      <c r="N1188" s="126"/>
    </row>
    <row r="1189" spans="1:14">
      <c r="A1189" s="125"/>
      <c r="B1189" s="125"/>
      <c r="C1189" s="98"/>
      <c r="D1189" s="125"/>
      <c r="E1189" s="125"/>
      <c r="F1189" s="125"/>
      <c r="G1189" s="125"/>
      <c r="H1189" s="125"/>
      <c r="I1189" s="125"/>
      <c r="J1189" s="125"/>
      <c r="K1189" s="193"/>
      <c r="L1189" s="125"/>
      <c r="M1189" s="124"/>
      <c r="N1189" s="126"/>
    </row>
    <row r="1190" spans="1:14">
      <c r="A1190" s="125"/>
      <c r="B1190" s="125"/>
      <c r="C1190" s="98"/>
      <c r="D1190" s="125"/>
      <c r="E1190" s="125"/>
      <c r="F1190" s="125"/>
      <c r="G1190" s="125"/>
      <c r="H1190" s="125"/>
      <c r="I1190" s="125"/>
      <c r="J1190" s="125"/>
      <c r="K1190" s="193"/>
      <c r="L1190" s="125"/>
      <c r="M1190" s="124"/>
      <c r="N1190" s="126"/>
    </row>
    <row r="1191" spans="1:14">
      <c r="A1191" s="125"/>
      <c r="B1191" s="125"/>
      <c r="C1191" s="98"/>
      <c r="D1191" s="125"/>
      <c r="E1191" s="125"/>
      <c r="F1191" s="125"/>
      <c r="G1191" s="125"/>
      <c r="H1191" s="125"/>
      <c r="I1191" s="125"/>
      <c r="J1191" s="125"/>
      <c r="K1191" s="193"/>
      <c r="L1191" s="125"/>
      <c r="M1191" s="124"/>
      <c r="N1191" s="126"/>
    </row>
    <row r="1192" spans="1:14">
      <c r="A1192" s="125"/>
      <c r="B1192" s="125"/>
      <c r="C1192" s="98"/>
      <c r="D1192" s="125"/>
      <c r="E1192" s="125"/>
      <c r="F1192" s="125"/>
      <c r="G1192" s="125"/>
      <c r="H1192" s="125"/>
      <c r="I1192" s="125"/>
      <c r="J1192" s="125"/>
      <c r="K1192" s="193"/>
      <c r="L1192" s="125"/>
      <c r="M1192" s="124"/>
      <c r="N1192" s="126"/>
    </row>
    <row r="1193" spans="1:14">
      <c r="A1193" s="125"/>
      <c r="B1193" s="125"/>
      <c r="C1193" s="98"/>
      <c r="D1193" s="125"/>
      <c r="E1193" s="125"/>
      <c r="F1193" s="125"/>
      <c r="G1193" s="125"/>
      <c r="H1193" s="125"/>
      <c r="I1193" s="125"/>
      <c r="J1193" s="125"/>
      <c r="K1193" s="193"/>
      <c r="L1193" s="125"/>
      <c r="M1193" s="124"/>
      <c r="N1193" s="126"/>
    </row>
    <row r="1194" spans="1:14">
      <c r="A1194" s="125"/>
      <c r="B1194" s="125"/>
      <c r="C1194" s="98"/>
      <c r="D1194" s="125"/>
      <c r="E1194" s="125"/>
      <c r="F1194" s="125"/>
      <c r="G1194" s="125"/>
      <c r="H1194" s="125"/>
      <c r="I1194" s="125"/>
      <c r="J1194" s="125"/>
      <c r="K1194" s="193"/>
      <c r="L1194" s="125"/>
      <c r="M1194" s="124"/>
      <c r="N1194" s="126"/>
    </row>
    <row r="1195" spans="1:14">
      <c r="A1195" s="125"/>
      <c r="B1195" s="125"/>
      <c r="C1195" s="98"/>
      <c r="D1195" s="125"/>
      <c r="E1195" s="125"/>
      <c r="F1195" s="125"/>
      <c r="G1195" s="125"/>
      <c r="H1195" s="125"/>
      <c r="I1195" s="125"/>
      <c r="J1195" s="125"/>
      <c r="K1195" s="193"/>
      <c r="L1195" s="125"/>
      <c r="M1195" s="124"/>
      <c r="N1195" s="126"/>
    </row>
    <row r="1196" spans="1:14">
      <c r="A1196" s="125"/>
      <c r="B1196" s="125"/>
      <c r="C1196" s="98"/>
      <c r="D1196" s="125"/>
      <c r="E1196" s="125"/>
      <c r="F1196" s="125"/>
      <c r="G1196" s="125"/>
      <c r="H1196" s="125"/>
      <c r="I1196" s="125"/>
      <c r="J1196" s="125"/>
      <c r="K1196" s="193"/>
      <c r="L1196" s="125"/>
      <c r="M1196" s="124"/>
      <c r="N1196" s="126"/>
    </row>
    <row r="1197" spans="1:14">
      <c r="A1197" s="125"/>
      <c r="B1197" s="125"/>
      <c r="C1197" s="98"/>
      <c r="D1197" s="125"/>
      <c r="E1197" s="125"/>
      <c r="F1197" s="125"/>
      <c r="G1197" s="125"/>
      <c r="H1197" s="125"/>
      <c r="I1197" s="125"/>
      <c r="J1197" s="125"/>
      <c r="K1197" s="193"/>
      <c r="L1197" s="125"/>
      <c r="M1197" s="124"/>
      <c r="N1197" s="126"/>
    </row>
    <row r="1198" spans="1:14">
      <c r="A1198" s="125"/>
      <c r="B1198" s="125"/>
      <c r="C1198" s="98"/>
      <c r="D1198" s="125"/>
      <c r="E1198" s="125"/>
      <c r="F1198" s="125"/>
      <c r="G1198" s="125"/>
      <c r="H1198" s="125"/>
      <c r="I1198" s="125"/>
      <c r="J1198" s="125"/>
      <c r="K1198" s="193"/>
      <c r="L1198" s="125"/>
      <c r="M1198" s="124"/>
      <c r="N1198" s="126"/>
    </row>
    <row r="1199" spans="1:14">
      <c r="A1199" s="125"/>
      <c r="B1199" s="125"/>
      <c r="C1199" s="98"/>
      <c r="D1199" s="125"/>
      <c r="E1199" s="125"/>
      <c r="F1199" s="125"/>
      <c r="G1199" s="125"/>
      <c r="H1199" s="125"/>
      <c r="I1199" s="125"/>
      <c r="J1199" s="125"/>
      <c r="K1199" s="193"/>
      <c r="L1199" s="125"/>
      <c r="M1199" s="124"/>
      <c r="N1199" s="126"/>
    </row>
    <row r="1200" spans="1:14">
      <c r="A1200" s="125"/>
      <c r="B1200" s="125"/>
      <c r="C1200" s="98"/>
      <c r="D1200" s="125"/>
      <c r="E1200" s="125"/>
      <c r="F1200" s="125"/>
      <c r="G1200" s="125"/>
      <c r="H1200" s="125"/>
      <c r="I1200" s="125"/>
      <c r="J1200" s="125"/>
      <c r="K1200" s="193"/>
      <c r="L1200" s="125"/>
      <c r="M1200" s="124"/>
      <c r="N1200" s="126"/>
    </row>
    <row r="1201" spans="1:14">
      <c r="A1201" s="125"/>
      <c r="B1201" s="125"/>
      <c r="C1201" s="98"/>
      <c r="D1201" s="125"/>
      <c r="E1201" s="125"/>
      <c r="F1201" s="125"/>
      <c r="G1201" s="125"/>
      <c r="H1201" s="125"/>
      <c r="I1201" s="125"/>
      <c r="J1201" s="125"/>
      <c r="K1201" s="193"/>
      <c r="L1201" s="125"/>
      <c r="M1201" s="124"/>
      <c r="N1201" s="126"/>
    </row>
    <row r="1202" spans="1:14">
      <c r="A1202" s="125"/>
      <c r="B1202" s="125"/>
      <c r="C1202" s="98"/>
      <c r="D1202" s="125"/>
      <c r="E1202" s="125"/>
      <c r="F1202" s="125"/>
      <c r="G1202" s="125"/>
      <c r="H1202" s="125"/>
      <c r="I1202" s="125"/>
      <c r="J1202" s="125"/>
      <c r="K1202" s="193"/>
      <c r="L1202" s="125"/>
      <c r="M1202" s="124"/>
      <c r="N1202" s="126"/>
    </row>
    <row r="1203" spans="1:14">
      <c r="A1203" s="125"/>
      <c r="B1203" s="125"/>
      <c r="C1203" s="98"/>
      <c r="D1203" s="125"/>
      <c r="E1203" s="125"/>
      <c r="F1203" s="125"/>
      <c r="G1203" s="125"/>
      <c r="H1203" s="125"/>
      <c r="I1203" s="125"/>
      <c r="J1203" s="125"/>
      <c r="K1203" s="193"/>
      <c r="L1203" s="125"/>
      <c r="M1203" s="124"/>
      <c r="N1203" s="126"/>
    </row>
    <row r="1204" spans="1:14">
      <c r="A1204" s="125"/>
      <c r="B1204" s="125"/>
      <c r="C1204" s="98"/>
      <c r="D1204" s="125"/>
      <c r="E1204" s="125"/>
      <c r="F1204" s="125"/>
      <c r="G1204" s="125"/>
      <c r="H1204" s="125"/>
      <c r="I1204" s="125"/>
      <c r="J1204" s="125"/>
      <c r="K1204" s="193"/>
      <c r="L1204" s="125"/>
      <c r="M1204" s="124"/>
      <c r="N1204" s="126"/>
    </row>
    <row r="1205" spans="1:14">
      <c r="A1205" s="125"/>
      <c r="B1205" s="125"/>
      <c r="C1205" s="98"/>
      <c r="D1205" s="125"/>
      <c r="E1205" s="125"/>
      <c r="F1205" s="125"/>
      <c r="G1205" s="125"/>
      <c r="H1205" s="125"/>
      <c r="I1205" s="125"/>
      <c r="J1205" s="125"/>
      <c r="K1205" s="193"/>
      <c r="L1205" s="125"/>
      <c r="M1205" s="124"/>
      <c r="N1205" s="126"/>
    </row>
    <row r="1206" spans="1:14">
      <c r="A1206" s="125"/>
      <c r="B1206" s="125"/>
      <c r="C1206" s="98"/>
      <c r="D1206" s="125"/>
      <c r="E1206" s="125"/>
      <c r="F1206" s="125"/>
      <c r="G1206" s="125"/>
      <c r="H1206" s="125"/>
      <c r="I1206" s="125"/>
      <c r="J1206" s="125"/>
      <c r="K1206" s="193"/>
      <c r="L1206" s="125"/>
      <c r="M1206" s="124"/>
      <c r="N1206" s="126"/>
    </row>
    <row r="1207" spans="1:14">
      <c r="A1207" s="125"/>
      <c r="B1207" s="125"/>
      <c r="C1207" s="98"/>
      <c r="D1207" s="125"/>
      <c r="E1207" s="125"/>
      <c r="F1207" s="125"/>
      <c r="G1207" s="125"/>
      <c r="H1207" s="125"/>
      <c r="I1207" s="125"/>
      <c r="J1207" s="125"/>
      <c r="K1207" s="193"/>
      <c r="L1207" s="125"/>
      <c r="M1207" s="124"/>
      <c r="N1207" s="126"/>
    </row>
    <row r="1208" spans="1:14">
      <c r="A1208" s="125"/>
      <c r="B1208" s="125"/>
      <c r="C1208" s="98"/>
      <c r="D1208" s="125"/>
      <c r="E1208" s="125"/>
      <c r="F1208" s="125"/>
      <c r="G1208" s="125"/>
      <c r="H1208" s="125"/>
      <c r="I1208" s="125"/>
      <c r="J1208" s="125"/>
      <c r="K1208" s="193"/>
      <c r="L1208" s="125"/>
      <c r="M1208" s="124"/>
      <c r="N1208" s="126"/>
    </row>
    <row r="1209" spans="1:14">
      <c r="A1209" s="125"/>
      <c r="B1209" s="125"/>
      <c r="C1209" s="98"/>
      <c r="D1209" s="125"/>
      <c r="E1209" s="125"/>
      <c r="F1209" s="125"/>
      <c r="G1209" s="125"/>
      <c r="H1209" s="125"/>
      <c r="I1209" s="125"/>
      <c r="J1209" s="125"/>
      <c r="K1209" s="193"/>
      <c r="L1209" s="125"/>
      <c r="M1209" s="124"/>
      <c r="N1209" s="126"/>
    </row>
    <row r="1210" spans="1:14">
      <c r="A1210" s="125"/>
      <c r="B1210" s="125"/>
      <c r="C1210" s="98"/>
      <c r="D1210" s="125"/>
      <c r="E1210" s="125"/>
      <c r="F1210" s="125"/>
      <c r="G1210" s="125"/>
      <c r="H1210" s="125"/>
      <c r="I1210" s="125"/>
      <c r="J1210" s="125"/>
      <c r="K1210" s="193"/>
      <c r="L1210" s="125"/>
      <c r="M1210" s="124"/>
      <c r="N1210" s="126"/>
    </row>
    <row r="1211" spans="1:14">
      <c r="A1211" s="125"/>
      <c r="B1211" s="125"/>
      <c r="C1211" s="98"/>
      <c r="D1211" s="125"/>
      <c r="E1211" s="125"/>
      <c r="F1211" s="125"/>
      <c r="G1211" s="125"/>
      <c r="H1211" s="125"/>
      <c r="I1211" s="125"/>
      <c r="J1211" s="125"/>
      <c r="K1211" s="193"/>
      <c r="L1211" s="125"/>
      <c r="M1211" s="124"/>
      <c r="N1211" s="126"/>
    </row>
    <row r="1212" spans="1:14">
      <c r="A1212" s="125"/>
      <c r="B1212" s="125"/>
      <c r="C1212" s="98"/>
      <c r="D1212" s="125"/>
      <c r="E1212" s="125"/>
      <c r="F1212" s="125"/>
      <c r="G1212" s="125"/>
      <c r="H1212" s="125"/>
      <c r="I1212" s="125"/>
      <c r="J1212" s="125"/>
      <c r="K1212" s="193"/>
      <c r="L1212" s="125"/>
      <c r="M1212" s="124"/>
      <c r="N1212" s="126"/>
    </row>
    <row r="1213" spans="1:14">
      <c r="A1213" s="125"/>
      <c r="B1213" s="125"/>
      <c r="C1213" s="98"/>
      <c r="D1213" s="125"/>
      <c r="E1213" s="125"/>
      <c r="F1213" s="125"/>
      <c r="G1213" s="125"/>
      <c r="H1213" s="125"/>
      <c r="I1213" s="125"/>
      <c r="J1213" s="125"/>
      <c r="K1213" s="193"/>
      <c r="L1213" s="125"/>
      <c r="M1213" s="124"/>
      <c r="N1213" s="126"/>
    </row>
    <row r="1214" spans="1:14">
      <c r="A1214" s="125"/>
      <c r="B1214" s="125"/>
      <c r="C1214" s="98"/>
      <c r="D1214" s="125"/>
      <c r="E1214" s="125"/>
      <c r="F1214" s="125"/>
      <c r="G1214" s="125"/>
      <c r="H1214" s="125"/>
      <c r="I1214" s="125"/>
      <c r="J1214" s="125"/>
      <c r="K1214" s="193"/>
      <c r="L1214" s="125"/>
      <c r="M1214" s="124"/>
      <c r="N1214" s="126"/>
    </row>
    <row r="1215" spans="1:14">
      <c r="A1215" s="125"/>
      <c r="B1215" s="125"/>
      <c r="C1215" s="98"/>
      <c r="D1215" s="125"/>
      <c r="E1215" s="125"/>
      <c r="F1215" s="125"/>
      <c r="G1215" s="125"/>
      <c r="H1215" s="125"/>
      <c r="I1215" s="125"/>
      <c r="J1215" s="125"/>
      <c r="K1215" s="193"/>
      <c r="L1215" s="125"/>
      <c r="M1215" s="124"/>
      <c r="N1215" s="126"/>
    </row>
    <row r="1216" spans="1:14">
      <c r="A1216" s="125"/>
      <c r="B1216" s="125"/>
      <c r="C1216" s="98"/>
      <c r="D1216" s="125"/>
      <c r="E1216" s="125"/>
      <c r="F1216" s="125"/>
      <c r="G1216" s="125"/>
      <c r="H1216" s="125"/>
      <c r="I1216" s="125"/>
      <c r="J1216" s="125"/>
      <c r="K1216" s="193"/>
      <c r="L1216" s="125"/>
      <c r="M1216" s="124"/>
      <c r="N1216" s="126"/>
    </row>
    <row r="1217" spans="1:14">
      <c r="A1217" s="125"/>
      <c r="B1217" s="125"/>
      <c r="C1217" s="98"/>
      <c r="D1217" s="125"/>
      <c r="E1217" s="125"/>
      <c r="F1217" s="125"/>
      <c r="G1217" s="125"/>
      <c r="H1217" s="125"/>
      <c r="I1217" s="125"/>
      <c r="J1217" s="125"/>
      <c r="K1217" s="193"/>
      <c r="L1217" s="125"/>
      <c r="M1217" s="124"/>
      <c r="N1217" s="126"/>
    </row>
    <row r="1218" spans="1:14">
      <c r="A1218" s="125"/>
      <c r="B1218" s="125"/>
      <c r="C1218" s="98"/>
      <c r="D1218" s="125"/>
      <c r="E1218" s="125"/>
      <c r="F1218" s="125"/>
      <c r="G1218" s="125"/>
      <c r="H1218" s="125"/>
      <c r="I1218" s="125"/>
      <c r="J1218" s="125"/>
      <c r="K1218" s="193"/>
      <c r="L1218" s="125"/>
      <c r="M1218" s="124"/>
      <c r="N1218" s="126"/>
    </row>
    <row r="1219" spans="1:14">
      <c r="A1219" s="125"/>
      <c r="B1219" s="125"/>
      <c r="C1219" s="98"/>
      <c r="D1219" s="125"/>
      <c r="E1219" s="125"/>
      <c r="F1219" s="125"/>
      <c r="G1219" s="125"/>
      <c r="H1219" s="125"/>
      <c r="I1219" s="125"/>
      <c r="J1219" s="125"/>
      <c r="K1219" s="193"/>
      <c r="L1219" s="125"/>
      <c r="M1219" s="124"/>
      <c r="N1219" s="126"/>
    </row>
    <row r="1220" spans="1:14">
      <c r="A1220" s="125"/>
      <c r="B1220" s="125"/>
      <c r="C1220" s="98"/>
      <c r="D1220" s="125"/>
      <c r="E1220" s="125"/>
      <c r="F1220" s="125"/>
      <c r="G1220" s="125"/>
      <c r="H1220" s="125"/>
      <c r="I1220" s="125"/>
      <c r="J1220" s="125"/>
      <c r="K1220" s="193"/>
      <c r="L1220" s="125"/>
      <c r="M1220" s="124"/>
      <c r="N1220" s="126"/>
    </row>
    <row r="1221" spans="1:14">
      <c r="A1221" s="125"/>
      <c r="B1221" s="125"/>
      <c r="C1221" s="98"/>
      <c r="D1221" s="125"/>
      <c r="E1221" s="125"/>
      <c r="F1221" s="125"/>
      <c r="G1221" s="125"/>
      <c r="H1221" s="125"/>
      <c r="I1221" s="125"/>
      <c r="J1221" s="125"/>
      <c r="K1221" s="193"/>
      <c r="L1221" s="125"/>
      <c r="M1221" s="124"/>
      <c r="N1221" s="126"/>
    </row>
    <row r="1222" spans="1:14">
      <c r="A1222" s="125"/>
      <c r="B1222" s="125"/>
      <c r="C1222" s="98"/>
      <c r="D1222" s="125"/>
      <c r="E1222" s="125"/>
      <c r="F1222" s="125"/>
      <c r="G1222" s="125"/>
      <c r="H1222" s="125"/>
      <c r="I1222" s="125"/>
      <c r="J1222" s="125"/>
      <c r="K1222" s="193"/>
      <c r="L1222" s="125"/>
      <c r="M1222" s="124"/>
      <c r="N1222" s="126"/>
    </row>
    <row r="1223" spans="1:14">
      <c r="A1223" s="125"/>
      <c r="B1223" s="125"/>
      <c r="C1223" s="98"/>
      <c r="D1223" s="125"/>
      <c r="E1223" s="125"/>
      <c r="F1223" s="125"/>
      <c r="G1223" s="125"/>
      <c r="H1223" s="125"/>
      <c r="I1223" s="125"/>
      <c r="J1223" s="125"/>
      <c r="K1223" s="193"/>
      <c r="L1223" s="125"/>
      <c r="M1223" s="124"/>
      <c r="N1223" s="126"/>
    </row>
    <row r="1224" spans="1:14">
      <c r="A1224" s="125"/>
      <c r="B1224" s="125"/>
      <c r="C1224" s="98"/>
      <c r="D1224" s="125"/>
      <c r="E1224" s="125"/>
      <c r="F1224" s="125"/>
      <c r="G1224" s="125"/>
      <c r="H1224" s="125"/>
      <c r="I1224" s="125"/>
      <c r="J1224" s="125"/>
      <c r="K1224" s="193"/>
      <c r="L1224" s="125"/>
      <c r="M1224" s="124"/>
      <c r="N1224" s="126"/>
    </row>
    <row r="1225" spans="1:14">
      <c r="A1225" s="125"/>
      <c r="B1225" s="125"/>
      <c r="C1225" s="98"/>
      <c r="D1225" s="125"/>
      <c r="E1225" s="125"/>
      <c r="F1225" s="125"/>
      <c r="G1225" s="125"/>
      <c r="H1225" s="125"/>
      <c r="I1225" s="125"/>
      <c r="J1225" s="125"/>
      <c r="K1225" s="193"/>
      <c r="L1225" s="125"/>
      <c r="M1225" s="124"/>
      <c r="N1225" s="126"/>
    </row>
    <row r="1226" spans="1:14">
      <c r="A1226" s="125"/>
      <c r="B1226" s="125"/>
      <c r="C1226" s="98"/>
      <c r="D1226" s="125"/>
      <c r="E1226" s="125"/>
      <c r="F1226" s="125"/>
      <c r="G1226" s="125"/>
      <c r="H1226" s="125"/>
      <c r="I1226" s="125"/>
      <c r="J1226" s="125"/>
      <c r="K1226" s="193"/>
      <c r="L1226" s="125"/>
      <c r="M1226" s="124"/>
      <c r="N1226" s="126"/>
    </row>
    <row r="1227" spans="1:14">
      <c r="A1227" s="125"/>
      <c r="B1227" s="125"/>
      <c r="C1227" s="98"/>
      <c r="D1227" s="125"/>
      <c r="E1227" s="125"/>
      <c r="F1227" s="125"/>
      <c r="G1227" s="125"/>
      <c r="H1227" s="125"/>
      <c r="I1227" s="125"/>
      <c r="J1227" s="125"/>
      <c r="K1227" s="193"/>
      <c r="L1227" s="125"/>
      <c r="M1227" s="124"/>
      <c r="N1227" s="126"/>
    </row>
    <row r="1228" spans="1:14">
      <c r="A1228" s="125"/>
      <c r="B1228" s="125"/>
      <c r="C1228" s="98"/>
      <c r="D1228" s="125"/>
      <c r="E1228" s="125"/>
      <c r="F1228" s="125"/>
      <c r="G1228" s="125"/>
      <c r="H1228" s="125"/>
      <c r="I1228" s="125"/>
      <c r="J1228" s="125"/>
      <c r="K1228" s="193"/>
      <c r="L1228" s="125"/>
      <c r="M1228" s="124"/>
      <c r="N1228" s="126"/>
    </row>
    <row r="1229" spans="1:14">
      <c r="A1229" s="125"/>
      <c r="B1229" s="125"/>
      <c r="C1229" s="98"/>
      <c r="D1229" s="125"/>
      <c r="E1229" s="125"/>
      <c r="F1229" s="125"/>
      <c r="G1229" s="125"/>
      <c r="H1229" s="125"/>
      <c r="I1229" s="125"/>
      <c r="J1229" s="125"/>
      <c r="K1229" s="193"/>
      <c r="L1229" s="125"/>
      <c r="M1229" s="124"/>
      <c r="N1229" s="126"/>
    </row>
    <row r="1230" spans="1:14">
      <c r="A1230" s="125"/>
      <c r="B1230" s="125"/>
      <c r="C1230" s="98"/>
      <c r="D1230" s="125"/>
      <c r="E1230" s="125"/>
      <c r="F1230" s="125"/>
      <c r="G1230" s="125"/>
      <c r="H1230" s="125"/>
      <c r="I1230" s="125"/>
      <c r="J1230" s="125"/>
      <c r="K1230" s="193"/>
      <c r="L1230" s="125"/>
      <c r="M1230" s="124"/>
      <c r="N1230" s="126"/>
    </row>
    <row r="1231" spans="1:14">
      <c r="A1231" s="125"/>
      <c r="B1231" s="125"/>
      <c r="C1231" s="98"/>
      <c r="D1231" s="125"/>
      <c r="E1231" s="125"/>
      <c r="F1231" s="125"/>
      <c r="G1231" s="125"/>
      <c r="H1231" s="125"/>
      <c r="I1231" s="125"/>
      <c r="J1231" s="125"/>
      <c r="K1231" s="193"/>
      <c r="L1231" s="125"/>
      <c r="M1231" s="124"/>
      <c r="N1231" s="126"/>
    </row>
    <row r="1232" spans="1:14">
      <c r="A1232" s="125"/>
      <c r="B1232" s="125"/>
      <c r="C1232" s="98"/>
      <c r="D1232" s="125"/>
      <c r="E1232" s="125"/>
      <c r="F1232" s="125"/>
      <c r="G1232" s="125"/>
      <c r="H1232" s="125"/>
      <c r="I1232" s="125"/>
      <c r="J1232" s="125"/>
      <c r="K1232" s="193"/>
      <c r="L1232" s="125"/>
      <c r="M1232" s="124"/>
      <c r="N1232" s="126"/>
    </row>
    <row r="1233" spans="1:14">
      <c r="A1233" s="125"/>
      <c r="B1233" s="125"/>
      <c r="C1233" s="98"/>
      <c r="D1233" s="125"/>
      <c r="E1233" s="125"/>
      <c r="F1233" s="125"/>
      <c r="G1233" s="125"/>
      <c r="H1233" s="125"/>
      <c r="I1233" s="125"/>
      <c r="J1233" s="125"/>
      <c r="K1233" s="193"/>
      <c r="L1233" s="125"/>
      <c r="M1233" s="124"/>
      <c r="N1233" s="126"/>
    </row>
    <row r="1234" spans="1:14">
      <c r="A1234" s="125"/>
      <c r="B1234" s="125"/>
      <c r="C1234" s="98"/>
      <c r="D1234" s="125"/>
      <c r="E1234" s="125"/>
      <c r="F1234" s="125"/>
      <c r="G1234" s="125"/>
      <c r="H1234" s="125"/>
      <c r="I1234" s="125"/>
      <c r="J1234" s="125"/>
      <c r="K1234" s="193"/>
      <c r="L1234" s="125"/>
      <c r="M1234" s="124"/>
      <c r="N1234" s="126"/>
    </row>
    <row r="1235" spans="1:14">
      <c r="A1235" s="125"/>
      <c r="B1235" s="125"/>
      <c r="C1235" s="98"/>
      <c r="D1235" s="125"/>
      <c r="E1235" s="125"/>
      <c r="F1235" s="125"/>
      <c r="G1235" s="125"/>
      <c r="H1235" s="125"/>
      <c r="I1235" s="125"/>
      <c r="J1235" s="125"/>
      <c r="K1235" s="193"/>
      <c r="L1235" s="125"/>
      <c r="M1235" s="124"/>
      <c r="N1235" s="126"/>
    </row>
    <row r="1236" spans="1:14">
      <c r="A1236" s="125"/>
      <c r="B1236" s="125"/>
      <c r="C1236" s="98"/>
      <c r="D1236" s="125"/>
      <c r="E1236" s="125"/>
      <c r="F1236" s="125"/>
      <c r="G1236" s="125"/>
      <c r="H1236" s="125"/>
      <c r="I1236" s="125"/>
      <c r="J1236" s="125"/>
      <c r="K1236" s="193"/>
      <c r="L1236" s="125"/>
      <c r="M1236" s="124"/>
      <c r="N1236" s="126"/>
    </row>
    <row r="1237" spans="1:14">
      <c r="A1237" s="125"/>
      <c r="B1237" s="125"/>
      <c r="C1237" s="98"/>
      <c r="D1237" s="125"/>
      <c r="E1237" s="125"/>
      <c r="F1237" s="125"/>
      <c r="G1237" s="125"/>
      <c r="H1237" s="125"/>
      <c r="I1237" s="125"/>
      <c r="J1237" s="125"/>
      <c r="K1237" s="193"/>
      <c r="L1237" s="125"/>
      <c r="M1237" s="124"/>
      <c r="N1237" s="126"/>
    </row>
    <row r="1238" spans="1:14">
      <c r="A1238" s="125"/>
      <c r="B1238" s="125"/>
      <c r="C1238" s="98"/>
      <c r="D1238" s="125"/>
      <c r="E1238" s="125"/>
      <c r="F1238" s="125"/>
      <c r="G1238" s="125"/>
      <c r="H1238" s="125"/>
      <c r="I1238" s="125"/>
      <c r="J1238" s="125"/>
      <c r="K1238" s="193"/>
      <c r="L1238" s="125"/>
      <c r="M1238" s="124"/>
      <c r="N1238" s="126"/>
    </row>
    <row r="1239" spans="1:14">
      <c r="A1239" s="125"/>
      <c r="B1239" s="125"/>
      <c r="C1239" s="98"/>
      <c r="D1239" s="125"/>
      <c r="E1239" s="125"/>
      <c r="F1239" s="125"/>
      <c r="G1239" s="125"/>
      <c r="H1239" s="125"/>
      <c r="I1239" s="125"/>
      <c r="J1239" s="125"/>
      <c r="K1239" s="193"/>
      <c r="L1239" s="125"/>
      <c r="M1239" s="124"/>
      <c r="N1239" s="126"/>
    </row>
    <row r="1240" spans="1:14">
      <c r="A1240" s="125"/>
      <c r="B1240" s="125"/>
      <c r="C1240" s="98"/>
      <c r="D1240" s="125"/>
      <c r="E1240" s="125"/>
      <c r="F1240" s="125"/>
      <c r="G1240" s="125"/>
      <c r="H1240" s="125"/>
      <c r="I1240" s="125"/>
      <c r="J1240" s="125"/>
      <c r="K1240" s="193"/>
      <c r="L1240" s="125"/>
      <c r="M1240" s="124"/>
      <c r="N1240" s="126"/>
    </row>
    <row r="1241" spans="1:14">
      <c r="A1241" s="125"/>
      <c r="B1241" s="125"/>
      <c r="C1241" s="98"/>
      <c r="D1241" s="125"/>
      <c r="E1241" s="125"/>
      <c r="F1241" s="125"/>
      <c r="G1241" s="125"/>
      <c r="H1241" s="125"/>
      <c r="I1241" s="125"/>
      <c r="J1241" s="125"/>
      <c r="K1241" s="193"/>
      <c r="L1241" s="125"/>
      <c r="M1241" s="124"/>
      <c r="N1241" s="126"/>
    </row>
    <row r="1242" spans="1:14">
      <c r="A1242" s="125"/>
      <c r="B1242" s="125"/>
      <c r="C1242" s="98"/>
      <c r="D1242" s="125"/>
      <c r="E1242" s="125"/>
      <c r="F1242" s="125"/>
      <c r="G1242" s="125"/>
      <c r="H1242" s="125"/>
      <c r="I1242" s="125"/>
      <c r="J1242" s="125"/>
      <c r="K1242" s="193"/>
      <c r="L1242" s="125"/>
      <c r="M1242" s="124"/>
      <c r="N1242" s="126"/>
    </row>
    <row r="1243" spans="1:14">
      <c r="A1243" s="125"/>
      <c r="B1243" s="125"/>
      <c r="C1243" s="98"/>
      <c r="D1243" s="125"/>
      <c r="E1243" s="125"/>
      <c r="F1243" s="125"/>
      <c r="G1243" s="125"/>
      <c r="H1243" s="125"/>
      <c r="I1243" s="125"/>
      <c r="J1243" s="125"/>
      <c r="K1243" s="193"/>
      <c r="L1243" s="125"/>
      <c r="M1243" s="124"/>
      <c r="N1243" s="126"/>
    </row>
    <row r="1244" spans="1:14">
      <c r="A1244" s="125"/>
      <c r="B1244" s="125"/>
      <c r="C1244" s="98"/>
      <c r="D1244" s="125"/>
      <c r="E1244" s="125"/>
      <c r="F1244" s="125"/>
      <c r="G1244" s="125"/>
      <c r="H1244" s="125"/>
      <c r="I1244" s="125"/>
      <c r="J1244" s="125"/>
      <c r="K1244" s="193"/>
      <c r="L1244" s="125"/>
      <c r="M1244" s="124"/>
      <c r="N1244" s="126"/>
    </row>
    <row r="1245" spans="1:14">
      <c r="A1245" s="125"/>
      <c r="B1245" s="125"/>
      <c r="C1245" s="98"/>
      <c r="D1245" s="125"/>
      <c r="E1245" s="125"/>
      <c r="F1245" s="125"/>
      <c r="G1245" s="125"/>
      <c r="H1245" s="125"/>
      <c r="I1245" s="125"/>
      <c r="J1245" s="125"/>
      <c r="K1245" s="193"/>
      <c r="L1245" s="125"/>
      <c r="M1245" s="124"/>
      <c r="N1245" s="126"/>
    </row>
    <row r="1246" spans="1:14">
      <c r="A1246" s="125"/>
      <c r="B1246" s="125"/>
      <c r="C1246" s="98"/>
      <c r="D1246" s="125"/>
      <c r="E1246" s="125"/>
      <c r="F1246" s="125"/>
      <c r="G1246" s="125"/>
      <c r="H1246" s="125"/>
      <c r="I1246" s="125"/>
      <c r="J1246" s="125"/>
      <c r="K1246" s="193"/>
      <c r="L1246" s="125"/>
      <c r="M1246" s="124"/>
      <c r="N1246" s="126"/>
    </row>
    <row r="1247" spans="1:14">
      <c r="A1247" s="125"/>
      <c r="B1247" s="125"/>
      <c r="C1247" s="98"/>
      <c r="D1247" s="125"/>
      <c r="E1247" s="125"/>
      <c r="F1247" s="125"/>
      <c r="G1247" s="125"/>
      <c r="H1247" s="125"/>
      <c r="I1247" s="125"/>
      <c r="J1247" s="125"/>
      <c r="K1247" s="193"/>
      <c r="L1247" s="125"/>
      <c r="M1247" s="124"/>
      <c r="N1247" s="126"/>
    </row>
    <row r="1248" spans="1:14">
      <c r="A1248" s="125"/>
      <c r="B1248" s="125"/>
      <c r="C1248" s="98"/>
      <c r="D1248" s="125"/>
      <c r="E1248" s="125"/>
      <c r="F1248" s="125"/>
      <c r="G1248" s="125"/>
      <c r="H1248" s="125"/>
      <c r="I1248" s="125"/>
      <c r="J1248" s="125"/>
      <c r="K1248" s="193"/>
      <c r="L1248" s="125"/>
      <c r="M1248" s="124"/>
      <c r="N1248" s="126"/>
    </row>
    <row r="1249" spans="1:14">
      <c r="A1249" s="125"/>
      <c r="B1249" s="125"/>
      <c r="C1249" s="98"/>
      <c r="D1249" s="125"/>
      <c r="E1249" s="125"/>
      <c r="F1249" s="125"/>
      <c r="G1249" s="125"/>
      <c r="H1249" s="125"/>
      <c r="I1249" s="125"/>
      <c r="J1249" s="125"/>
      <c r="K1249" s="193"/>
      <c r="L1249" s="125"/>
      <c r="M1249" s="124"/>
      <c r="N1249" s="126"/>
    </row>
    <row r="1250" spans="1:14">
      <c r="A1250" s="125"/>
      <c r="B1250" s="125"/>
      <c r="C1250" s="98"/>
      <c r="D1250" s="125"/>
      <c r="E1250" s="125"/>
      <c r="F1250" s="125"/>
      <c r="G1250" s="125"/>
      <c r="H1250" s="125"/>
      <c r="I1250" s="125"/>
      <c r="J1250" s="125"/>
      <c r="K1250" s="193"/>
      <c r="L1250" s="125"/>
      <c r="M1250" s="124"/>
      <c r="N1250" s="126"/>
    </row>
    <row r="1251" spans="1:14">
      <c r="A1251" s="125"/>
      <c r="B1251" s="125"/>
      <c r="C1251" s="98"/>
      <c r="D1251" s="125"/>
      <c r="E1251" s="125"/>
      <c r="F1251" s="125"/>
      <c r="G1251" s="125"/>
      <c r="H1251" s="125"/>
      <c r="I1251" s="125"/>
      <c r="J1251" s="125"/>
      <c r="K1251" s="193"/>
      <c r="L1251" s="125"/>
      <c r="M1251" s="124"/>
      <c r="N1251" s="126"/>
    </row>
    <row r="1252" spans="1:14">
      <c r="A1252" s="125"/>
      <c r="B1252" s="125"/>
      <c r="C1252" s="98"/>
      <c r="D1252" s="125"/>
      <c r="E1252" s="125"/>
      <c r="F1252" s="125"/>
      <c r="G1252" s="125"/>
      <c r="H1252" s="125"/>
      <c r="I1252" s="125"/>
      <c r="J1252" s="125"/>
      <c r="K1252" s="193"/>
      <c r="L1252" s="125"/>
      <c r="M1252" s="124"/>
      <c r="N1252" s="126"/>
    </row>
    <row r="1253" spans="1:14">
      <c r="A1253" s="125"/>
      <c r="B1253" s="125"/>
      <c r="C1253" s="98"/>
      <c r="D1253" s="125"/>
      <c r="E1253" s="125"/>
      <c r="F1253" s="125"/>
      <c r="G1253" s="125"/>
      <c r="H1253" s="125"/>
      <c r="I1253" s="125"/>
      <c r="J1253" s="125"/>
      <c r="K1253" s="193"/>
      <c r="L1253" s="125"/>
      <c r="M1253" s="124"/>
      <c r="N1253" s="126"/>
    </row>
    <row r="1254" spans="1:14">
      <c r="A1254" s="125"/>
      <c r="B1254" s="125"/>
      <c r="C1254" s="98"/>
      <c r="D1254" s="125"/>
      <c r="E1254" s="125"/>
      <c r="F1254" s="125"/>
      <c r="G1254" s="125"/>
      <c r="H1254" s="125"/>
      <c r="I1254" s="125"/>
      <c r="J1254" s="125"/>
      <c r="K1254" s="193"/>
      <c r="L1254" s="125"/>
      <c r="M1254" s="124"/>
      <c r="N1254" s="126"/>
    </row>
    <row r="1255" spans="1:14">
      <c r="A1255" s="125"/>
      <c r="B1255" s="125"/>
      <c r="C1255" s="98"/>
      <c r="D1255" s="125"/>
      <c r="E1255" s="125"/>
      <c r="F1255" s="125"/>
      <c r="G1255" s="125"/>
      <c r="H1255" s="125"/>
      <c r="I1255" s="125"/>
      <c r="J1255" s="125"/>
      <c r="K1255" s="193"/>
      <c r="L1255" s="125"/>
      <c r="M1255" s="124"/>
      <c r="N1255" s="126"/>
    </row>
    <row r="1256" spans="1:14">
      <c r="A1256" s="125"/>
      <c r="B1256" s="125"/>
      <c r="C1256" s="98"/>
      <c r="D1256" s="125"/>
      <c r="E1256" s="125"/>
      <c r="F1256" s="125"/>
      <c r="G1256" s="125"/>
      <c r="H1256" s="125"/>
      <c r="I1256" s="125"/>
      <c r="J1256" s="125"/>
      <c r="K1256" s="193"/>
      <c r="L1256" s="125"/>
      <c r="M1256" s="124"/>
      <c r="N1256" s="126"/>
    </row>
    <row r="1257" spans="1:14">
      <c r="A1257" s="125"/>
      <c r="B1257" s="125"/>
      <c r="C1257" s="98"/>
      <c r="D1257" s="125"/>
      <c r="E1257" s="125"/>
      <c r="F1257" s="125"/>
      <c r="G1257" s="125"/>
      <c r="H1257" s="125"/>
      <c r="I1257" s="125"/>
      <c r="J1257" s="125"/>
      <c r="K1257" s="193"/>
      <c r="L1257" s="125"/>
      <c r="M1257" s="124"/>
      <c r="N1257" s="126"/>
    </row>
    <row r="1258" spans="1:14">
      <c r="A1258" s="125"/>
      <c r="B1258" s="125"/>
      <c r="C1258" s="98"/>
      <c r="D1258" s="125"/>
      <c r="E1258" s="125"/>
      <c r="F1258" s="125"/>
      <c r="G1258" s="125"/>
      <c r="H1258" s="125"/>
      <c r="I1258" s="125"/>
      <c r="J1258" s="125"/>
      <c r="K1258" s="193"/>
      <c r="L1258" s="125"/>
      <c r="M1258" s="124"/>
      <c r="N1258" s="126"/>
    </row>
    <row r="1259" spans="1:14">
      <c r="A1259" s="125"/>
      <c r="B1259" s="125"/>
      <c r="C1259" s="98"/>
      <c r="D1259" s="125"/>
      <c r="E1259" s="125"/>
      <c r="F1259" s="125"/>
      <c r="G1259" s="125"/>
      <c r="H1259" s="125"/>
      <c r="I1259" s="125"/>
      <c r="J1259" s="125"/>
      <c r="K1259" s="193"/>
      <c r="L1259" s="125"/>
      <c r="M1259" s="124"/>
      <c r="N1259" s="126"/>
    </row>
    <row r="1260" spans="1:14">
      <c r="A1260" s="125"/>
      <c r="B1260" s="125"/>
      <c r="C1260" s="98"/>
      <c r="D1260" s="125"/>
      <c r="E1260" s="125"/>
      <c r="F1260" s="125"/>
      <c r="G1260" s="125"/>
      <c r="H1260" s="125"/>
      <c r="I1260" s="125"/>
      <c r="J1260" s="125"/>
      <c r="K1260" s="193"/>
      <c r="L1260" s="125"/>
      <c r="M1260" s="124"/>
      <c r="N1260" s="126"/>
    </row>
    <row r="1261" spans="1:14">
      <c r="A1261" s="125"/>
      <c r="B1261" s="125"/>
      <c r="C1261" s="98"/>
      <c r="D1261" s="125"/>
      <c r="E1261" s="125"/>
      <c r="F1261" s="125"/>
      <c r="G1261" s="125"/>
      <c r="H1261" s="125"/>
      <c r="I1261" s="125"/>
      <c r="J1261" s="125"/>
      <c r="K1261" s="193"/>
      <c r="L1261" s="125"/>
      <c r="M1261" s="124"/>
      <c r="N1261" s="126"/>
    </row>
    <row r="1262" spans="1:14">
      <c r="A1262" s="125"/>
      <c r="B1262" s="125"/>
      <c r="C1262" s="98"/>
      <c r="D1262" s="125"/>
      <c r="E1262" s="125"/>
      <c r="F1262" s="125"/>
      <c r="G1262" s="125"/>
      <c r="H1262" s="125"/>
      <c r="I1262" s="125"/>
      <c r="J1262" s="125"/>
      <c r="K1262" s="193"/>
      <c r="L1262" s="125"/>
      <c r="M1262" s="124"/>
      <c r="N1262" s="126"/>
    </row>
    <row r="1263" spans="1:14">
      <c r="A1263" s="125"/>
      <c r="B1263" s="125"/>
      <c r="C1263" s="98"/>
      <c r="D1263" s="125"/>
      <c r="E1263" s="125"/>
      <c r="F1263" s="125"/>
      <c r="G1263" s="125"/>
      <c r="H1263" s="125"/>
      <c r="I1263" s="125"/>
      <c r="J1263" s="125"/>
      <c r="K1263" s="193"/>
      <c r="L1263" s="125"/>
      <c r="M1263" s="124"/>
      <c r="N1263" s="126"/>
    </row>
    <row r="1264" spans="1:14">
      <c r="A1264" s="125"/>
      <c r="B1264" s="125"/>
      <c r="C1264" s="98"/>
      <c r="D1264" s="125"/>
      <c r="E1264" s="125"/>
      <c r="F1264" s="125"/>
      <c r="G1264" s="125"/>
      <c r="H1264" s="125"/>
      <c r="I1264" s="125"/>
      <c r="J1264" s="125"/>
      <c r="K1264" s="193"/>
      <c r="L1264" s="125"/>
      <c r="M1264" s="124"/>
      <c r="N1264" s="126"/>
    </row>
    <row r="1265" spans="1:14">
      <c r="A1265" s="125"/>
      <c r="B1265" s="125"/>
      <c r="C1265" s="98"/>
      <c r="D1265" s="125"/>
      <c r="E1265" s="125"/>
      <c r="F1265" s="125"/>
      <c r="G1265" s="125"/>
      <c r="H1265" s="125"/>
      <c r="I1265" s="125"/>
      <c r="J1265" s="125"/>
      <c r="K1265" s="193"/>
      <c r="L1265" s="125"/>
      <c r="M1265" s="124"/>
      <c r="N1265" s="126"/>
    </row>
    <row r="1266" spans="1:14">
      <c r="A1266" s="125"/>
      <c r="B1266" s="125"/>
      <c r="C1266" s="98"/>
      <c r="D1266" s="125"/>
      <c r="E1266" s="125"/>
      <c r="F1266" s="125"/>
      <c r="G1266" s="125"/>
      <c r="H1266" s="125"/>
      <c r="I1266" s="125"/>
      <c r="J1266" s="125"/>
      <c r="K1266" s="193"/>
      <c r="L1266" s="125"/>
      <c r="M1266" s="124"/>
      <c r="N1266" s="126"/>
    </row>
    <row r="1267" spans="1:14">
      <c r="A1267" s="125"/>
      <c r="B1267" s="125"/>
      <c r="C1267" s="98"/>
      <c r="D1267" s="125"/>
      <c r="E1267" s="125"/>
      <c r="F1267" s="125"/>
      <c r="G1267" s="125"/>
      <c r="H1267" s="125"/>
      <c r="I1267" s="125"/>
      <c r="J1267" s="125"/>
      <c r="K1267" s="193"/>
      <c r="L1267" s="125"/>
      <c r="M1267" s="124"/>
      <c r="N1267" s="126"/>
    </row>
    <row r="1268" spans="1:14">
      <c r="A1268" s="125"/>
      <c r="B1268" s="125"/>
      <c r="C1268" s="98"/>
      <c r="D1268" s="125"/>
      <c r="E1268" s="125"/>
      <c r="F1268" s="125"/>
      <c r="G1268" s="125"/>
      <c r="H1268" s="125"/>
      <c r="I1268" s="125"/>
      <c r="J1268" s="125"/>
      <c r="K1268" s="193"/>
      <c r="L1268" s="125"/>
      <c r="M1268" s="124"/>
      <c r="N1268" s="126"/>
    </row>
    <row r="1269" spans="1:14">
      <c r="A1269" s="125"/>
      <c r="B1269" s="125"/>
      <c r="C1269" s="98"/>
      <c r="D1269" s="125"/>
      <c r="E1269" s="125"/>
      <c r="F1269" s="125"/>
      <c r="G1269" s="125"/>
      <c r="H1269" s="125"/>
      <c r="I1269" s="125"/>
      <c r="J1269" s="125"/>
      <c r="K1269" s="193"/>
      <c r="L1269" s="125"/>
      <c r="M1269" s="124"/>
      <c r="N1269" s="126"/>
    </row>
    <row r="1270" spans="1:14">
      <c r="A1270" s="125"/>
      <c r="B1270" s="125"/>
      <c r="C1270" s="98"/>
      <c r="D1270" s="125"/>
      <c r="E1270" s="125"/>
      <c r="F1270" s="125"/>
      <c r="G1270" s="125"/>
      <c r="H1270" s="125"/>
      <c r="I1270" s="125"/>
      <c r="J1270" s="125"/>
      <c r="K1270" s="193"/>
      <c r="L1270" s="125"/>
      <c r="M1270" s="124"/>
      <c r="N1270" s="126"/>
    </row>
    <row r="1271" spans="1:14">
      <c r="A1271" s="125"/>
      <c r="B1271" s="125"/>
      <c r="C1271" s="98"/>
      <c r="D1271" s="125"/>
      <c r="E1271" s="125"/>
      <c r="F1271" s="125"/>
      <c r="G1271" s="125"/>
      <c r="H1271" s="125"/>
      <c r="I1271" s="125"/>
      <c r="J1271" s="125"/>
      <c r="K1271" s="193"/>
      <c r="L1271" s="125"/>
      <c r="M1271" s="124"/>
      <c r="N1271" s="126"/>
    </row>
    <row r="1272" spans="1:14">
      <c r="A1272" s="125"/>
      <c r="B1272" s="125"/>
      <c r="C1272" s="98"/>
      <c r="D1272" s="125"/>
      <c r="E1272" s="125"/>
      <c r="F1272" s="125"/>
      <c r="G1272" s="125"/>
      <c r="H1272" s="125"/>
      <c r="I1272" s="125"/>
      <c r="J1272" s="125"/>
      <c r="K1272" s="193"/>
      <c r="L1272" s="125"/>
      <c r="M1272" s="124"/>
      <c r="N1272" s="126"/>
    </row>
    <row r="1273" spans="1:14">
      <c r="A1273" s="125"/>
      <c r="B1273" s="125"/>
      <c r="C1273" s="98"/>
      <c r="D1273" s="125"/>
      <c r="E1273" s="125"/>
      <c r="F1273" s="125"/>
      <c r="G1273" s="125"/>
      <c r="H1273" s="125"/>
      <c r="I1273" s="125"/>
      <c r="J1273" s="125"/>
      <c r="K1273" s="193"/>
      <c r="L1273" s="125"/>
      <c r="M1273" s="124"/>
      <c r="N1273" s="126"/>
    </row>
    <row r="1274" spans="1:14">
      <c r="A1274" s="125"/>
      <c r="B1274" s="125"/>
      <c r="C1274" s="98"/>
      <c r="D1274" s="125"/>
      <c r="E1274" s="125"/>
      <c r="F1274" s="125"/>
      <c r="G1274" s="125"/>
      <c r="H1274" s="125"/>
      <c r="I1274" s="125"/>
      <c r="J1274" s="125"/>
      <c r="K1274" s="193"/>
      <c r="L1274" s="125"/>
      <c r="M1274" s="124"/>
      <c r="N1274" s="126"/>
    </row>
    <row r="1275" spans="1:14">
      <c r="A1275" s="125"/>
      <c r="B1275" s="125"/>
      <c r="C1275" s="98"/>
      <c r="D1275" s="125"/>
      <c r="E1275" s="125"/>
      <c r="F1275" s="125"/>
      <c r="G1275" s="125"/>
      <c r="H1275" s="125"/>
      <c r="I1275" s="125"/>
      <c r="J1275" s="125"/>
      <c r="K1275" s="193"/>
      <c r="L1275" s="125"/>
      <c r="M1275" s="124"/>
      <c r="N1275" s="126"/>
    </row>
    <row r="1276" spans="1:14">
      <c r="A1276" s="125"/>
      <c r="B1276" s="125"/>
      <c r="C1276" s="98"/>
      <c r="D1276" s="125"/>
      <c r="E1276" s="125"/>
      <c r="F1276" s="125"/>
      <c r="G1276" s="125"/>
      <c r="H1276" s="125"/>
      <c r="I1276" s="125"/>
      <c r="J1276" s="125"/>
      <c r="K1276" s="193"/>
      <c r="L1276" s="125"/>
      <c r="M1276" s="124"/>
      <c r="N1276" s="126"/>
    </row>
    <row r="1277" spans="1:14">
      <c r="A1277" s="125"/>
      <c r="B1277" s="125"/>
      <c r="C1277" s="98"/>
      <c r="D1277" s="125"/>
      <c r="E1277" s="125"/>
      <c r="F1277" s="125"/>
      <c r="G1277" s="125"/>
      <c r="H1277" s="125"/>
      <c r="I1277" s="125"/>
      <c r="J1277" s="125"/>
      <c r="K1277" s="193"/>
      <c r="L1277" s="125"/>
      <c r="M1277" s="124"/>
      <c r="N1277" s="126"/>
    </row>
    <row r="1278" spans="1:14">
      <c r="A1278" s="125"/>
      <c r="B1278" s="125"/>
      <c r="C1278" s="98"/>
      <c r="D1278" s="125"/>
      <c r="E1278" s="125"/>
      <c r="F1278" s="125"/>
      <c r="G1278" s="125"/>
      <c r="H1278" s="125"/>
      <c r="I1278" s="125"/>
      <c r="J1278" s="125"/>
      <c r="K1278" s="193"/>
      <c r="L1278" s="125"/>
      <c r="M1278" s="124"/>
      <c r="N1278" s="126"/>
    </row>
    <row r="1279" spans="1:14">
      <c r="A1279" s="125"/>
      <c r="B1279" s="125"/>
      <c r="C1279" s="98"/>
      <c r="D1279" s="125"/>
      <c r="E1279" s="125"/>
      <c r="F1279" s="125"/>
      <c r="G1279" s="125"/>
      <c r="H1279" s="125"/>
      <c r="I1279" s="125"/>
      <c r="J1279" s="125"/>
      <c r="K1279" s="193"/>
      <c r="L1279" s="125"/>
      <c r="M1279" s="124"/>
      <c r="N1279" s="126"/>
    </row>
    <row r="1280" spans="1:14">
      <c r="A1280" s="125"/>
      <c r="B1280" s="125"/>
      <c r="C1280" s="98"/>
      <c r="D1280" s="125"/>
      <c r="E1280" s="125"/>
      <c r="F1280" s="125"/>
      <c r="G1280" s="125"/>
      <c r="H1280" s="125"/>
      <c r="I1280" s="125"/>
      <c r="J1280" s="125"/>
      <c r="K1280" s="193"/>
      <c r="L1280" s="125"/>
      <c r="M1280" s="124"/>
      <c r="N1280" s="126"/>
    </row>
    <row r="1281" spans="1:14">
      <c r="A1281" s="125"/>
      <c r="B1281" s="125"/>
      <c r="C1281" s="98"/>
      <c r="D1281" s="125"/>
      <c r="E1281" s="125"/>
      <c r="F1281" s="125"/>
      <c r="G1281" s="125"/>
      <c r="H1281" s="125"/>
      <c r="I1281" s="125"/>
      <c r="J1281" s="125"/>
      <c r="K1281" s="193"/>
      <c r="L1281" s="125"/>
      <c r="M1281" s="124"/>
      <c r="N1281" s="126"/>
    </row>
    <row r="1282" spans="1:14">
      <c r="A1282" s="125"/>
      <c r="B1282" s="125"/>
      <c r="C1282" s="98"/>
      <c r="D1282" s="125"/>
      <c r="E1282" s="125"/>
      <c r="F1282" s="125"/>
      <c r="G1282" s="125"/>
      <c r="H1282" s="125"/>
      <c r="I1282" s="125"/>
      <c r="J1282" s="125"/>
      <c r="K1282" s="193"/>
      <c r="L1282" s="125"/>
      <c r="M1282" s="124"/>
      <c r="N1282" s="126"/>
    </row>
    <row r="1283" spans="1:14">
      <c r="A1283" s="125"/>
      <c r="B1283" s="125"/>
      <c r="C1283" s="98"/>
      <c r="D1283" s="125"/>
      <c r="E1283" s="125"/>
      <c r="F1283" s="125"/>
      <c r="G1283" s="125"/>
      <c r="H1283" s="125"/>
      <c r="I1283" s="125"/>
      <c r="J1283" s="125"/>
      <c r="K1283" s="193"/>
      <c r="L1283" s="125"/>
      <c r="M1283" s="124"/>
      <c r="N1283" s="126"/>
    </row>
    <row r="1284" spans="1:14">
      <c r="A1284" s="125"/>
      <c r="B1284" s="125"/>
      <c r="C1284" s="98"/>
      <c r="D1284" s="125"/>
      <c r="E1284" s="125"/>
      <c r="F1284" s="125"/>
      <c r="G1284" s="125"/>
      <c r="H1284" s="125"/>
      <c r="I1284" s="125"/>
      <c r="J1284" s="125"/>
      <c r="K1284" s="193"/>
      <c r="L1284" s="125"/>
      <c r="M1284" s="124"/>
      <c r="N1284" s="126"/>
    </row>
    <row r="1285" spans="1:14">
      <c r="A1285" s="125"/>
      <c r="B1285" s="125"/>
      <c r="C1285" s="98"/>
      <c r="D1285" s="125"/>
      <c r="E1285" s="125"/>
      <c r="F1285" s="125"/>
      <c r="G1285" s="125"/>
      <c r="H1285" s="125"/>
      <c r="I1285" s="125"/>
      <c r="J1285" s="125"/>
      <c r="K1285" s="193"/>
      <c r="L1285" s="125"/>
      <c r="M1285" s="124"/>
      <c r="N1285" s="126"/>
    </row>
    <row r="1286" spans="1:14">
      <c r="A1286" s="125"/>
      <c r="B1286" s="125"/>
      <c r="C1286" s="98"/>
      <c r="D1286" s="125"/>
      <c r="E1286" s="125"/>
      <c r="F1286" s="125"/>
      <c r="G1286" s="125"/>
      <c r="H1286" s="125"/>
      <c r="I1286" s="125"/>
      <c r="J1286" s="125"/>
      <c r="K1286" s="193"/>
      <c r="L1286" s="125"/>
      <c r="M1286" s="124"/>
      <c r="N1286" s="126"/>
    </row>
    <row r="1287" spans="1:14">
      <c r="A1287" s="125"/>
      <c r="B1287" s="125"/>
      <c r="C1287" s="98"/>
      <c r="D1287" s="125"/>
      <c r="E1287" s="125"/>
      <c r="F1287" s="125"/>
      <c r="G1287" s="125"/>
      <c r="H1287" s="125"/>
      <c r="I1287" s="125"/>
      <c r="J1287" s="125"/>
      <c r="K1287" s="193"/>
      <c r="L1287" s="125"/>
      <c r="M1287" s="124"/>
      <c r="N1287" s="126"/>
    </row>
    <row r="1288" spans="1:14">
      <c r="A1288" s="125"/>
      <c r="B1288" s="125"/>
      <c r="C1288" s="98"/>
      <c r="D1288" s="125"/>
      <c r="E1288" s="125"/>
      <c r="F1288" s="125"/>
      <c r="G1288" s="125"/>
      <c r="H1288" s="125"/>
      <c r="I1288" s="125"/>
      <c r="J1288" s="125"/>
      <c r="K1288" s="193"/>
      <c r="L1288" s="125"/>
      <c r="M1288" s="124"/>
      <c r="N1288" s="126"/>
    </row>
    <row r="1289" spans="1:14">
      <c r="A1289" s="125"/>
      <c r="B1289" s="125"/>
      <c r="C1289" s="98"/>
      <c r="D1289" s="125"/>
      <c r="E1289" s="125"/>
      <c r="F1289" s="125"/>
      <c r="G1289" s="125"/>
      <c r="H1289" s="125"/>
      <c r="I1289" s="125"/>
      <c r="J1289" s="125"/>
      <c r="K1289" s="193"/>
      <c r="L1289" s="125"/>
      <c r="M1289" s="124"/>
      <c r="N1289" s="126"/>
    </row>
    <row r="1290" spans="1:14">
      <c r="A1290" s="125"/>
      <c r="B1290" s="125"/>
      <c r="C1290" s="98"/>
      <c r="D1290" s="125"/>
      <c r="E1290" s="125"/>
      <c r="F1290" s="125"/>
      <c r="G1290" s="125"/>
      <c r="H1290" s="125"/>
      <c r="I1290" s="125"/>
      <c r="J1290" s="125"/>
      <c r="K1290" s="193"/>
      <c r="L1290" s="125"/>
      <c r="M1290" s="124"/>
      <c r="N1290" s="126"/>
    </row>
    <row r="1291" spans="1:14">
      <c r="A1291" s="125"/>
      <c r="B1291" s="125"/>
      <c r="C1291" s="98"/>
      <c r="D1291" s="125"/>
      <c r="E1291" s="125"/>
      <c r="F1291" s="125"/>
      <c r="G1291" s="125"/>
      <c r="H1291" s="125"/>
      <c r="I1291" s="125"/>
      <c r="J1291" s="125"/>
      <c r="K1291" s="193"/>
      <c r="L1291" s="125"/>
      <c r="M1291" s="124"/>
      <c r="N1291" s="126"/>
    </row>
    <row r="1292" spans="1:14">
      <c r="A1292" s="125"/>
      <c r="B1292" s="125"/>
      <c r="C1292" s="98"/>
      <c r="D1292" s="125"/>
      <c r="E1292" s="125"/>
      <c r="F1292" s="125"/>
      <c r="G1292" s="125"/>
      <c r="H1292" s="125"/>
      <c r="I1292" s="125"/>
      <c r="J1292" s="125"/>
      <c r="K1292" s="193"/>
      <c r="L1292" s="125"/>
      <c r="M1292" s="124"/>
      <c r="N1292" s="126"/>
    </row>
    <row r="1293" spans="1:14">
      <c r="A1293" s="125"/>
      <c r="B1293" s="125"/>
      <c r="C1293" s="98"/>
      <c r="D1293" s="125"/>
      <c r="E1293" s="125"/>
      <c r="F1293" s="125"/>
      <c r="G1293" s="125"/>
      <c r="H1293" s="125"/>
      <c r="I1293" s="125"/>
      <c r="J1293" s="125"/>
      <c r="K1293" s="193"/>
      <c r="L1293" s="125"/>
      <c r="M1293" s="124"/>
      <c r="N1293" s="126"/>
    </row>
    <row r="1294" spans="1:14">
      <c r="A1294" s="125"/>
      <c r="B1294" s="125"/>
      <c r="C1294" s="98"/>
      <c r="D1294" s="125"/>
      <c r="E1294" s="125"/>
      <c r="F1294" s="125"/>
      <c r="G1294" s="125"/>
      <c r="H1294" s="125"/>
      <c r="I1294" s="125"/>
      <c r="J1294" s="125"/>
      <c r="K1294" s="193"/>
      <c r="L1294" s="125"/>
      <c r="M1294" s="124"/>
      <c r="N1294" s="126"/>
    </row>
    <row r="1295" spans="1:14">
      <c r="A1295" s="125"/>
      <c r="B1295" s="125"/>
      <c r="C1295" s="98"/>
      <c r="D1295" s="125"/>
      <c r="E1295" s="125"/>
      <c r="F1295" s="125"/>
      <c r="G1295" s="125"/>
      <c r="H1295" s="125"/>
      <c r="I1295" s="125"/>
      <c r="J1295" s="125"/>
      <c r="K1295" s="193"/>
      <c r="L1295" s="125"/>
      <c r="M1295" s="124"/>
      <c r="N1295" s="126"/>
    </row>
    <row r="1296" spans="1:14">
      <c r="A1296" s="125"/>
      <c r="B1296" s="125"/>
      <c r="C1296" s="98"/>
      <c r="D1296" s="125"/>
      <c r="E1296" s="125"/>
      <c r="F1296" s="125"/>
      <c r="G1296" s="125"/>
      <c r="H1296" s="125"/>
      <c r="I1296" s="125"/>
      <c r="J1296" s="125"/>
      <c r="K1296" s="193"/>
      <c r="L1296" s="125"/>
      <c r="M1296" s="124"/>
      <c r="N1296" s="126"/>
    </row>
    <row r="1297" spans="1:14">
      <c r="A1297" s="125"/>
      <c r="B1297" s="125"/>
      <c r="C1297" s="98"/>
      <c r="D1297" s="125"/>
      <c r="E1297" s="125"/>
      <c r="F1297" s="125"/>
      <c r="G1297" s="125"/>
      <c r="H1297" s="125"/>
      <c r="I1297" s="125"/>
      <c r="J1297" s="125"/>
      <c r="K1297" s="193"/>
      <c r="L1297" s="125"/>
      <c r="M1297" s="124"/>
      <c r="N1297" s="126"/>
    </row>
    <row r="1298" spans="1:14">
      <c r="A1298" s="125"/>
      <c r="B1298" s="125"/>
      <c r="C1298" s="98"/>
      <c r="D1298" s="125"/>
      <c r="E1298" s="125"/>
      <c r="F1298" s="125"/>
      <c r="G1298" s="125"/>
      <c r="H1298" s="125"/>
      <c r="I1298" s="125"/>
      <c r="J1298" s="125"/>
      <c r="K1298" s="193"/>
      <c r="L1298" s="125"/>
      <c r="M1298" s="124"/>
      <c r="N1298" s="126"/>
    </row>
    <row r="1299" spans="1:14">
      <c r="A1299" s="125"/>
      <c r="B1299" s="125"/>
      <c r="C1299" s="98"/>
      <c r="D1299" s="125"/>
      <c r="E1299" s="125"/>
      <c r="F1299" s="125"/>
      <c r="G1299" s="125"/>
      <c r="H1299" s="125"/>
      <c r="I1299" s="125"/>
      <c r="J1299" s="125"/>
      <c r="K1299" s="193"/>
      <c r="L1299" s="125"/>
      <c r="M1299" s="124"/>
      <c r="N1299" s="126"/>
    </row>
    <row r="1300" spans="1:14">
      <c r="A1300" s="125"/>
      <c r="B1300" s="125"/>
      <c r="C1300" s="98"/>
      <c r="D1300" s="125"/>
      <c r="E1300" s="125"/>
      <c r="F1300" s="125"/>
      <c r="G1300" s="125"/>
      <c r="H1300" s="125"/>
      <c r="I1300" s="125"/>
      <c r="J1300" s="125"/>
      <c r="K1300" s="193"/>
      <c r="L1300" s="125"/>
      <c r="M1300" s="124"/>
      <c r="N1300" s="126"/>
    </row>
    <row r="1301" spans="1:14">
      <c r="A1301" s="125"/>
      <c r="B1301" s="125"/>
      <c r="C1301" s="98"/>
      <c r="D1301" s="125"/>
      <c r="E1301" s="125"/>
      <c r="F1301" s="125"/>
      <c r="G1301" s="125"/>
      <c r="H1301" s="125"/>
      <c r="I1301" s="125"/>
      <c r="J1301" s="125"/>
      <c r="K1301" s="193"/>
      <c r="L1301" s="125"/>
      <c r="M1301" s="124"/>
      <c r="N1301" s="126"/>
    </row>
    <row r="1302" spans="1:14">
      <c r="A1302" s="125"/>
      <c r="B1302" s="125"/>
      <c r="C1302" s="98"/>
      <c r="D1302" s="125"/>
      <c r="E1302" s="125"/>
      <c r="F1302" s="125"/>
      <c r="G1302" s="125"/>
      <c r="H1302" s="125"/>
      <c r="I1302" s="125"/>
      <c r="J1302" s="125"/>
      <c r="K1302" s="193"/>
      <c r="L1302" s="125"/>
      <c r="M1302" s="124"/>
      <c r="N1302" s="126"/>
    </row>
    <row r="1303" spans="1:14">
      <c r="A1303" s="125"/>
      <c r="B1303" s="125"/>
      <c r="C1303" s="98"/>
      <c r="D1303" s="125"/>
      <c r="E1303" s="125"/>
      <c r="F1303" s="125"/>
      <c r="G1303" s="125"/>
      <c r="H1303" s="125"/>
      <c r="I1303" s="125"/>
      <c r="J1303" s="125"/>
      <c r="K1303" s="193"/>
      <c r="L1303" s="125"/>
      <c r="M1303" s="124"/>
      <c r="N1303" s="126"/>
    </row>
    <row r="1304" spans="1:14">
      <c r="A1304" s="125"/>
      <c r="B1304" s="125"/>
      <c r="C1304" s="98"/>
      <c r="D1304" s="125"/>
      <c r="E1304" s="125"/>
      <c r="F1304" s="125"/>
      <c r="G1304" s="125"/>
      <c r="H1304" s="125"/>
      <c r="I1304" s="125"/>
      <c r="J1304" s="125"/>
      <c r="K1304" s="193"/>
      <c r="L1304" s="125"/>
      <c r="M1304" s="124"/>
      <c r="N1304" s="126"/>
    </row>
    <row r="1305" spans="1:14">
      <c r="A1305" s="125"/>
      <c r="B1305" s="125"/>
      <c r="C1305" s="98"/>
      <c r="D1305" s="125"/>
      <c r="E1305" s="125"/>
      <c r="F1305" s="125"/>
      <c r="G1305" s="125"/>
      <c r="H1305" s="125"/>
      <c r="I1305" s="125"/>
      <c r="J1305" s="125"/>
      <c r="K1305" s="193"/>
      <c r="L1305" s="125"/>
      <c r="M1305" s="124"/>
      <c r="N1305" s="126"/>
    </row>
    <row r="1306" spans="1:14">
      <c r="A1306" s="125"/>
      <c r="B1306" s="125"/>
      <c r="C1306" s="98"/>
      <c r="D1306" s="125"/>
      <c r="E1306" s="125"/>
      <c r="F1306" s="125"/>
      <c r="G1306" s="125"/>
      <c r="H1306" s="125"/>
      <c r="I1306" s="125"/>
      <c r="J1306" s="125"/>
      <c r="K1306" s="193"/>
      <c r="L1306" s="125"/>
      <c r="M1306" s="124"/>
      <c r="N1306" s="126"/>
    </row>
    <row r="1307" spans="1:14">
      <c r="A1307" s="125"/>
      <c r="B1307" s="125"/>
      <c r="C1307" s="98"/>
      <c r="D1307" s="125"/>
      <c r="E1307" s="125"/>
      <c r="F1307" s="125"/>
      <c r="G1307" s="125"/>
      <c r="H1307" s="125"/>
      <c r="I1307" s="125"/>
      <c r="J1307" s="125"/>
      <c r="K1307" s="193"/>
      <c r="L1307" s="125"/>
      <c r="M1307" s="124"/>
      <c r="N1307" s="126"/>
    </row>
    <row r="1308" spans="1:14">
      <c r="A1308" s="125"/>
      <c r="B1308" s="125"/>
      <c r="C1308" s="98"/>
      <c r="D1308" s="125"/>
      <c r="E1308" s="125"/>
      <c r="F1308" s="125"/>
      <c r="G1308" s="125"/>
      <c r="H1308" s="125"/>
      <c r="I1308" s="125"/>
      <c r="J1308" s="125"/>
      <c r="K1308" s="193"/>
      <c r="L1308" s="125"/>
      <c r="M1308" s="124"/>
      <c r="N1308" s="126"/>
    </row>
    <row r="1309" spans="1:14">
      <c r="A1309" s="125"/>
      <c r="B1309" s="125"/>
      <c r="C1309" s="98"/>
      <c r="D1309" s="125"/>
      <c r="E1309" s="125"/>
      <c r="F1309" s="125"/>
      <c r="G1309" s="125"/>
      <c r="H1309" s="125"/>
      <c r="I1309" s="125"/>
      <c r="J1309" s="125"/>
      <c r="K1309" s="193"/>
      <c r="L1309" s="125"/>
      <c r="M1309" s="124"/>
      <c r="N1309" s="126"/>
    </row>
    <row r="1310" spans="1:14">
      <c r="A1310" s="125"/>
      <c r="B1310" s="125"/>
      <c r="C1310" s="98"/>
      <c r="D1310" s="125"/>
      <c r="E1310" s="125"/>
      <c r="F1310" s="125"/>
      <c r="G1310" s="125"/>
      <c r="H1310" s="125"/>
      <c r="I1310" s="125"/>
      <c r="J1310" s="125"/>
      <c r="K1310" s="193"/>
      <c r="L1310" s="125"/>
      <c r="M1310" s="124"/>
      <c r="N1310" s="126"/>
    </row>
    <row r="1311" spans="1:14">
      <c r="A1311" s="125"/>
      <c r="B1311" s="125"/>
      <c r="C1311" s="98"/>
      <c r="D1311" s="125"/>
      <c r="E1311" s="125"/>
      <c r="F1311" s="125"/>
      <c r="G1311" s="125"/>
      <c r="H1311" s="125"/>
      <c r="I1311" s="125"/>
      <c r="J1311" s="125"/>
      <c r="K1311" s="193"/>
      <c r="L1311" s="125"/>
      <c r="M1311" s="124"/>
      <c r="N1311" s="126"/>
    </row>
    <row r="1312" spans="1:14">
      <c r="A1312" s="125"/>
      <c r="B1312" s="125"/>
      <c r="C1312" s="98"/>
      <c r="D1312" s="125"/>
      <c r="E1312" s="125"/>
      <c r="F1312" s="125"/>
      <c r="G1312" s="125"/>
      <c r="H1312" s="125"/>
      <c r="I1312" s="125"/>
      <c r="J1312" s="125"/>
      <c r="K1312" s="193"/>
      <c r="L1312" s="125"/>
      <c r="M1312" s="124"/>
      <c r="N1312" s="126"/>
    </row>
    <row r="1313" spans="1:14">
      <c r="A1313" s="125"/>
      <c r="B1313" s="125"/>
      <c r="C1313" s="98"/>
      <c r="D1313" s="125"/>
      <c r="E1313" s="125"/>
      <c r="F1313" s="125"/>
      <c r="G1313" s="125"/>
      <c r="H1313" s="125"/>
      <c r="I1313" s="125"/>
      <c r="J1313" s="125"/>
      <c r="K1313" s="193"/>
      <c r="L1313" s="125"/>
      <c r="M1313" s="124"/>
      <c r="N1313" s="126"/>
    </row>
    <row r="1314" spans="1:14">
      <c r="A1314" s="125"/>
      <c r="B1314" s="125"/>
      <c r="C1314" s="98"/>
      <c r="D1314" s="125"/>
      <c r="E1314" s="125"/>
      <c r="F1314" s="125"/>
      <c r="G1314" s="125"/>
      <c r="H1314" s="125"/>
      <c r="I1314" s="125"/>
      <c r="J1314" s="125"/>
      <c r="K1314" s="193"/>
      <c r="L1314" s="125"/>
      <c r="M1314" s="124"/>
      <c r="N1314" s="126"/>
    </row>
    <row r="1315" spans="1:14">
      <c r="A1315" s="125"/>
      <c r="B1315" s="125"/>
      <c r="C1315" s="98"/>
      <c r="D1315" s="125"/>
      <c r="E1315" s="125"/>
      <c r="F1315" s="125"/>
      <c r="G1315" s="125"/>
      <c r="H1315" s="125"/>
      <c r="I1315" s="125"/>
      <c r="J1315" s="125"/>
      <c r="K1315" s="193"/>
      <c r="L1315" s="125"/>
      <c r="M1315" s="124"/>
      <c r="N1315" s="126"/>
    </row>
    <row r="1316" spans="1:14">
      <c r="A1316" s="125"/>
      <c r="B1316" s="125"/>
      <c r="C1316" s="98"/>
      <c r="D1316" s="125"/>
      <c r="E1316" s="125"/>
      <c r="F1316" s="125"/>
      <c r="G1316" s="125"/>
      <c r="H1316" s="125"/>
      <c r="I1316" s="125"/>
      <c r="J1316" s="125"/>
      <c r="K1316" s="193"/>
      <c r="L1316" s="125"/>
      <c r="M1316" s="124"/>
      <c r="N1316" s="126"/>
    </row>
    <row r="1317" spans="1:14">
      <c r="A1317" s="125"/>
      <c r="B1317" s="125"/>
      <c r="C1317" s="98"/>
      <c r="D1317" s="125"/>
      <c r="E1317" s="125"/>
      <c r="F1317" s="125"/>
      <c r="G1317" s="125"/>
      <c r="H1317" s="125"/>
      <c r="I1317" s="125"/>
      <c r="J1317" s="125"/>
      <c r="K1317" s="193"/>
      <c r="L1317" s="125"/>
      <c r="M1317" s="124"/>
      <c r="N1317" s="126"/>
    </row>
    <row r="1318" spans="1:14">
      <c r="A1318" s="125"/>
      <c r="B1318" s="125"/>
      <c r="C1318" s="98"/>
      <c r="D1318" s="125"/>
      <c r="E1318" s="125"/>
      <c r="F1318" s="125"/>
      <c r="G1318" s="125"/>
      <c r="H1318" s="125"/>
      <c r="I1318" s="125"/>
      <c r="J1318" s="125"/>
      <c r="K1318" s="193"/>
      <c r="L1318" s="125"/>
      <c r="M1318" s="124"/>
      <c r="N1318" s="126"/>
    </row>
    <row r="1319" spans="1:14">
      <c r="A1319" s="125"/>
      <c r="B1319" s="125"/>
      <c r="C1319" s="98"/>
      <c r="D1319" s="125"/>
      <c r="E1319" s="125"/>
      <c r="F1319" s="125"/>
      <c r="G1319" s="125"/>
      <c r="H1319" s="125"/>
      <c r="I1319" s="125"/>
      <c r="J1319" s="125"/>
      <c r="K1319" s="193"/>
      <c r="L1319" s="125"/>
      <c r="M1319" s="124"/>
      <c r="N1319" s="126"/>
    </row>
    <row r="1320" spans="1:14">
      <c r="A1320" s="125"/>
      <c r="B1320" s="125"/>
      <c r="C1320" s="98"/>
      <c r="D1320" s="125"/>
      <c r="E1320" s="125"/>
      <c r="F1320" s="125"/>
      <c r="G1320" s="125"/>
      <c r="H1320" s="125"/>
      <c r="I1320" s="125"/>
      <c r="J1320" s="125"/>
      <c r="K1320" s="193"/>
      <c r="L1320" s="125"/>
      <c r="M1320" s="124"/>
      <c r="N1320" s="126"/>
    </row>
    <row r="1321" spans="1:14">
      <c r="A1321" s="125"/>
      <c r="B1321" s="125"/>
      <c r="C1321" s="98"/>
      <c r="D1321" s="125"/>
      <c r="E1321" s="125"/>
      <c r="F1321" s="125"/>
      <c r="G1321" s="125"/>
      <c r="H1321" s="125"/>
      <c r="I1321" s="125"/>
      <c r="J1321" s="125"/>
      <c r="K1321" s="193"/>
      <c r="L1321" s="125"/>
      <c r="M1321" s="124"/>
      <c r="N1321" s="126"/>
    </row>
    <row r="1322" spans="1:14">
      <c r="A1322" s="125"/>
      <c r="B1322" s="125"/>
      <c r="C1322" s="98"/>
      <c r="D1322" s="125"/>
      <c r="E1322" s="125"/>
      <c r="F1322" s="125"/>
      <c r="G1322" s="125"/>
      <c r="H1322" s="125"/>
      <c r="I1322" s="125"/>
      <c r="J1322" s="125"/>
      <c r="K1322" s="193"/>
      <c r="L1322" s="125"/>
      <c r="M1322" s="124"/>
      <c r="N1322" s="126"/>
    </row>
    <row r="1323" spans="1:14">
      <c r="A1323" s="125"/>
      <c r="B1323" s="125"/>
      <c r="C1323" s="98"/>
      <c r="D1323" s="125"/>
      <c r="E1323" s="125"/>
      <c r="F1323" s="125"/>
      <c r="G1323" s="125"/>
      <c r="H1323" s="125"/>
      <c r="I1323" s="125"/>
      <c r="J1323" s="125"/>
      <c r="K1323" s="193"/>
      <c r="L1323" s="125"/>
      <c r="M1323" s="124"/>
      <c r="N1323" s="126"/>
    </row>
    <row r="1324" spans="1:14">
      <c r="A1324" s="125"/>
      <c r="B1324" s="125"/>
      <c r="C1324" s="98"/>
      <c r="D1324" s="125"/>
      <c r="E1324" s="125"/>
      <c r="F1324" s="125"/>
      <c r="G1324" s="125"/>
      <c r="H1324" s="125"/>
      <c r="I1324" s="125"/>
      <c r="J1324" s="125"/>
      <c r="K1324" s="193"/>
      <c r="L1324" s="125"/>
      <c r="M1324" s="124"/>
      <c r="N1324" s="126"/>
    </row>
    <row r="1325" spans="1:14">
      <c r="A1325" s="125"/>
      <c r="B1325" s="125"/>
      <c r="C1325" s="98"/>
      <c r="D1325" s="125"/>
      <c r="E1325" s="125"/>
      <c r="F1325" s="125"/>
      <c r="G1325" s="125"/>
      <c r="H1325" s="125"/>
      <c r="I1325" s="125"/>
      <c r="J1325" s="125"/>
      <c r="K1325" s="193"/>
      <c r="L1325" s="125"/>
      <c r="M1325" s="124"/>
      <c r="N1325" s="126"/>
    </row>
    <row r="1326" spans="1:14">
      <c r="A1326" s="125"/>
      <c r="B1326" s="125"/>
      <c r="C1326" s="98"/>
      <c r="D1326" s="125"/>
      <c r="E1326" s="125"/>
      <c r="F1326" s="125"/>
      <c r="G1326" s="125"/>
      <c r="H1326" s="125"/>
      <c r="I1326" s="125"/>
      <c r="J1326" s="125"/>
      <c r="K1326" s="193"/>
      <c r="L1326" s="125"/>
      <c r="M1326" s="124"/>
      <c r="N1326" s="126"/>
    </row>
    <row r="1327" spans="1:14">
      <c r="A1327" s="125"/>
      <c r="B1327" s="125"/>
      <c r="C1327" s="98"/>
      <c r="D1327" s="125"/>
      <c r="E1327" s="125"/>
      <c r="F1327" s="125"/>
      <c r="G1327" s="125"/>
      <c r="H1327" s="125"/>
      <c r="I1327" s="125"/>
      <c r="J1327" s="125"/>
      <c r="K1327" s="193"/>
      <c r="L1327" s="125"/>
      <c r="M1327" s="124"/>
      <c r="N1327" s="126"/>
    </row>
    <row r="1328" spans="1:14">
      <c r="A1328" s="125"/>
      <c r="B1328" s="125"/>
      <c r="C1328" s="98"/>
      <c r="D1328" s="125"/>
      <c r="E1328" s="125"/>
      <c r="F1328" s="125"/>
      <c r="G1328" s="125"/>
      <c r="H1328" s="125"/>
      <c r="I1328" s="125"/>
      <c r="J1328" s="125"/>
      <c r="K1328" s="193"/>
      <c r="L1328" s="125"/>
      <c r="M1328" s="124"/>
      <c r="N1328" s="126"/>
    </row>
    <row r="1329" spans="1:14">
      <c r="A1329" s="125"/>
      <c r="B1329" s="125"/>
      <c r="C1329" s="98"/>
      <c r="D1329" s="125"/>
      <c r="E1329" s="125"/>
      <c r="F1329" s="125"/>
      <c r="G1329" s="125"/>
      <c r="H1329" s="125"/>
      <c r="I1329" s="125"/>
      <c r="J1329" s="125"/>
      <c r="K1329" s="193"/>
      <c r="L1329" s="125"/>
      <c r="M1329" s="124"/>
      <c r="N1329" s="126"/>
    </row>
    <row r="1330" spans="1:14">
      <c r="A1330" s="125"/>
      <c r="B1330" s="125"/>
      <c r="C1330" s="98"/>
      <c r="D1330" s="125"/>
      <c r="E1330" s="125"/>
      <c r="F1330" s="125"/>
      <c r="G1330" s="125"/>
      <c r="H1330" s="125"/>
      <c r="I1330" s="125"/>
      <c r="J1330" s="125"/>
      <c r="K1330" s="193"/>
      <c r="L1330" s="125"/>
      <c r="M1330" s="124"/>
      <c r="N1330" s="126"/>
    </row>
    <row r="1331" spans="1:14">
      <c r="A1331" s="125"/>
      <c r="B1331" s="125"/>
      <c r="C1331" s="98"/>
      <c r="D1331" s="125"/>
      <c r="E1331" s="125"/>
      <c r="F1331" s="125"/>
      <c r="G1331" s="125"/>
      <c r="H1331" s="125"/>
      <c r="I1331" s="125"/>
      <c r="J1331" s="125"/>
      <c r="K1331" s="193"/>
      <c r="L1331" s="125"/>
      <c r="M1331" s="124"/>
      <c r="N1331" s="126"/>
    </row>
    <row r="1332" spans="1:14">
      <c r="A1332" s="125"/>
      <c r="B1332" s="125"/>
      <c r="C1332" s="98"/>
      <c r="D1332" s="125"/>
      <c r="E1332" s="125"/>
      <c r="F1332" s="125"/>
      <c r="G1332" s="125"/>
      <c r="H1332" s="125"/>
      <c r="I1332" s="125"/>
      <c r="J1332" s="125"/>
      <c r="K1332" s="193"/>
      <c r="L1332" s="125"/>
      <c r="M1332" s="124"/>
      <c r="N1332" s="126"/>
    </row>
    <row r="1333" spans="1:14">
      <c r="A1333" s="125"/>
      <c r="B1333" s="125"/>
      <c r="C1333" s="98"/>
      <c r="D1333" s="125"/>
      <c r="E1333" s="125"/>
      <c r="F1333" s="125"/>
      <c r="G1333" s="125"/>
      <c r="H1333" s="125"/>
      <c r="I1333" s="125"/>
      <c r="J1333" s="125"/>
      <c r="K1333" s="193"/>
      <c r="L1333" s="125"/>
      <c r="M1333" s="124"/>
      <c r="N1333" s="126"/>
    </row>
    <row r="1334" spans="1:14">
      <c r="A1334" s="125"/>
      <c r="B1334" s="125"/>
      <c r="C1334" s="98"/>
      <c r="D1334" s="125"/>
      <c r="E1334" s="125"/>
      <c r="F1334" s="125"/>
      <c r="G1334" s="125"/>
      <c r="H1334" s="125"/>
      <c r="I1334" s="125"/>
      <c r="J1334" s="125"/>
      <c r="K1334" s="193"/>
      <c r="L1334" s="125"/>
      <c r="M1334" s="124"/>
      <c r="N1334" s="126"/>
    </row>
    <row r="1335" spans="1:14">
      <c r="A1335" s="125"/>
      <c r="B1335" s="125"/>
      <c r="C1335" s="98"/>
      <c r="D1335" s="125"/>
      <c r="E1335" s="125"/>
      <c r="F1335" s="125"/>
      <c r="G1335" s="125"/>
      <c r="H1335" s="125"/>
      <c r="I1335" s="125"/>
      <c r="J1335" s="125"/>
      <c r="K1335" s="193"/>
      <c r="L1335" s="125"/>
      <c r="M1335" s="124"/>
      <c r="N1335" s="126"/>
    </row>
    <row r="1336" spans="1:14">
      <c r="A1336" s="125"/>
      <c r="B1336" s="125"/>
      <c r="C1336" s="98"/>
      <c r="D1336" s="125"/>
      <c r="E1336" s="125"/>
      <c r="F1336" s="125"/>
      <c r="G1336" s="125"/>
      <c r="H1336" s="125"/>
      <c r="I1336" s="125"/>
      <c r="J1336" s="125"/>
      <c r="K1336" s="193"/>
      <c r="L1336" s="125"/>
      <c r="M1336" s="124"/>
      <c r="N1336" s="126"/>
    </row>
    <row r="1337" spans="1:14">
      <c r="A1337" s="125"/>
      <c r="B1337" s="125"/>
      <c r="C1337" s="98"/>
      <c r="D1337" s="125"/>
      <c r="E1337" s="125"/>
      <c r="F1337" s="125"/>
      <c r="G1337" s="125"/>
      <c r="H1337" s="125"/>
      <c r="I1337" s="125"/>
      <c r="J1337" s="125"/>
      <c r="K1337" s="193"/>
      <c r="L1337" s="125"/>
      <c r="M1337" s="124"/>
      <c r="N1337" s="126"/>
    </row>
    <row r="1338" spans="1:14">
      <c r="A1338" s="125"/>
      <c r="B1338" s="125"/>
      <c r="C1338" s="98"/>
      <c r="D1338" s="125"/>
      <c r="E1338" s="125"/>
      <c r="F1338" s="125"/>
      <c r="G1338" s="125"/>
      <c r="H1338" s="125"/>
      <c r="I1338" s="125"/>
      <c r="J1338" s="125"/>
      <c r="K1338" s="193"/>
      <c r="L1338" s="125"/>
      <c r="M1338" s="124"/>
      <c r="N1338" s="126"/>
    </row>
    <row r="1339" spans="1:14">
      <c r="A1339" s="125"/>
      <c r="B1339" s="125"/>
      <c r="C1339" s="98"/>
      <c r="D1339" s="125"/>
      <c r="E1339" s="125"/>
      <c r="F1339" s="125"/>
      <c r="G1339" s="125"/>
      <c r="H1339" s="125"/>
      <c r="I1339" s="125"/>
      <c r="J1339" s="125"/>
      <c r="K1339" s="193"/>
      <c r="L1339" s="125"/>
      <c r="M1339" s="124"/>
      <c r="N1339" s="126"/>
    </row>
    <row r="1340" spans="1:14">
      <c r="A1340" s="125"/>
      <c r="B1340" s="125"/>
      <c r="C1340" s="98"/>
      <c r="D1340" s="125"/>
      <c r="E1340" s="125"/>
      <c r="F1340" s="125"/>
      <c r="G1340" s="125"/>
      <c r="H1340" s="125"/>
      <c r="I1340" s="125"/>
      <c r="J1340" s="125"/>
      <c r="K1340" s="193"/>
      <c r="L1340" s="125"/>
      <c r="M1340" s="124"/>
      <c r="N1340" s="126"/>
    </row>
    <row r="1341" spans="1:14">
      <c r="A1341" s="125"/>
      <c r="B1341" s="125"/>
      <c r="C1341" s="98"/>
      <c r="D1341" s="125"/>
      <c r="E1341" s="125"/>
      <c r="F1341" s="125"/>
      <c r="G1341" s="125"/>
      <c r="H1341" s="125"/>
      <c r="I1341" s="125"/>
      <c r="J1341" s="125"/>
      <c r="K1341" s="193"/>
      <c r="L1341" s="125"/>
      <c r="M1341" s="124"/>
      <c r="N1341" s="126"/>
    </row>
    <row r="1342" spans="1:14">
      <c r="A1342" s="125"/>
      <c r="B1342" s="125"/>
      <c r="C1342" s="98"/>
      <c r="D1342" s="125"/>
      <c r="E1342" s="125"/>
      <c r="F1342" s="125"/>
      <c r="G1342" s="125"/>
      <c r="H1342" s="125"/>
      <c r="I1342" s="125"/>
      <c r="J1342" s="125"/>
      <c r="K1342" s="193"/>
      <c r="L1342" s="125"/>
      <c r="M1342" s="124"/>
      <c r="N1342" s="126"/>
    </row>
    <row r="1343" spans="1:14">
      <c r="A1343" s="125"/>
      <c r="B1343" s="125"/>
      <c r="C1343" s="98"/>
      <c r="D1343" s="125"/>
      <c r="E1343" s="125"/>
      <c r="F1343" s="125"/>
      <c r="G1343" s="125"/>
      <c r="H1343" s="125"/>
      <c r="I1343" s="125"/>
      <c r="J1343" s="125"/>
      <c r="K1343" s="193"/>
      <c r="L1343" s="125"/>
      <c r="M1343" s="124"/>
      <c r="N1343" s="126"/>
    </row>
    <row r="1344" spans="1:14">
      <c r="A1344" s="125"/>
      <c r="B1344" s="125"/>
      <c r="C1344" s="98"/>
      <c r="D1344" s="125"/>
      <c r="E1344" s="125"/>
      <c r="F1344" s="125"/>
      <c r="G1344" s="125"/>
      <c r="H1344" s="125"/>
      <c r="I1344" s="125"/>
      <c r="J1344" s="125"/>
      <c r="K1344" s="193"/>
      <c r="L1344" s="125"/>
      <c r="M1344" s="124"/>
      <c r="N1344" s="126"/>
    </row>
    <row r="1345" spans="1:14">
      <c r="A1345" s="125"/>
      <c r="B1345" s="125"/>
      <c r="C1345" s="98"/>
      <c r="D1345" s="125"/>
      <c r="E1345" s="125"/>
      <c r="F1345" s="125"/>
      <c r="G1345" s="125"/>
      <c r="H1345" s="125"/>
      <c r="I1345" s="125"/>
      <c r="J1345" s="125"/>
      <c r="K1345" s="193"/>
      <c r="L1345" s="125"/>
      <c r="M1345" s="124"/>
      <c r="N1345" s="126"/>
    </row>
    <row r="1346" spans="1:14">
      <c r="A1346" s="125"/>
      <c r="B1346" s="125"/>
      <c r="C1346" s="98"/>
      <c r="D1346" s="125"/>
      <c r="E1346" s="125"/>
      <c r="F1346" s="125"/>
      <c r="G1346" s="125"/>
      <c r="H1346" s="125"/>
      <c r="I1346" s="125"/>
      <c r="J1346" s="125"/>
      <c r="K1346" s="193"/>
      <c r="L1346" s="125"/>
      <c r="M1346" s="124"/>
      <c r="N1346" s="126"/>
    </row>
    <row r="1347" spans="1:14">
      <c r="A1347" s="125"/>
      <c r="B1347" s="125"/>
      <c r="C1347" s="98"/>
      <c r="D1347" s="125"/>
      <c r="E1347" s="125"/>
      <c r="F1347" s="125"/>
      <c r="G1347" s="125"/>
      <c r="H1347" s="125"/>
      <c r="I1347" s="125"/>
      <c r="J1347" s="125"/>
      <c r="K1347" s="193"/>
      <c r="L1347" s="125"/>
      <c r="M1347" s="124"/>
      <c r="N1347" s="126"/>
    </row>
    <row r="1348" spans="1:14">
      <c r="A1348" s="125"/>
      <c r="B1348" s="125"/>
      <c r="C1348" s="98"/>
      <c r="D1348" s="125"/>
      <c r="E1348" s="125"/>
      <c r="F1348" s="125"/>
      <c r="G1348" s="125"/>
      <c r="H1348" s="125"/>
      <c r="I1348" s="125"/>
      <c r="J1348" s="125"/>
      <c r="K1348" s="193"/>
      <c r="L1348" s="125"/>
      <c r="M1348" s="124"/>
      <c r="N1348" s="126"/>
    </row>
    <row r="1349" spans="1:14">
      <c r="A1349" s="125"/>
      <c r="B1349" s="125"/>
      <c r="C1349" s="98"/>
      <c r="D1349" s="125"/>
      <c r="E1349" s="125"/>
      <c r="F1349" s="125"/>
      <c r="G1349" s="125"/>
      <c r="H1349" s="125"/>
      <c r="I1349" s="125"/>
      <c r="J1349" s="125"/>
      <c r="K1349" s="193"/>
      <c r="L1349" s="125"/>
      <c r="M1349" s="124"/>
      <c r="N1349" s="126"/>
    </row>
    <row r="1350" spans="1:14">
      <c r="A1350" s="125"/>
      <c r="B1350" s="125"/>
      <c r="C1350" s="98"/>
      <c r="D1350" s="125"/>
      <c r="E1350" s="125"/>
      <c r="F1350" s="125"/>
      <c r="G1350" s="125"/>
      <c r="H1350" s="125"/>
      <c r="I1350" s="125"/>
      <c r="J1350" s="125"/>
      <c r="K1350" s="193"/>
      <c r="L1350" s="125"/>
      <c r="M1350" s="124"/>
      <c r="N1350" s="126"/>
    </row>
    <row r="1351" spans="1:14">
      <c r="A1351" s="125"/>
      <c r="B1351" s="125"/>
      <c r="C1351" s="98"/>
      <c r="D1351" s="125"/>
      <c r="E1351" s="125"/>
      <c r="F1351" s="125"/>
      <c r="G1351" s="125"/>
      <c r="H1351" s="125"/>
      <c r="I1351" s="125"/>
      <c r="J1351" s="125"/>
      <c r="K1351" s="193"/>
      <c r="L1351" s="125"/>
      <c r="M1351" s="124"/>
      <c r="N1351" s="126"/>
    </row>
    <row r="1352" spans="1:14">
      <c r="A1352" s="125"/>
      <c r="B1352" s="125"/>
      <c r="C1352" s="98"/>
      <c r="D1352" s="125"/>
      <c r="E1352" s="125"/>
      <c r="F1352" s="125"/>
      <c r="G1352" s="125"/>
      <c r="H1352" s="125"/>
      <c r="I1352" s="125"/>
      <c r="J1352" s="125"/>
      <c r="K1352" s="193"/>
      <c r="L1352" s="125"/>
      <c r="M1352" s="124"/>
      <c r="N1352" s="126"/>
    </row>
    <row r="1353" spans="1:14">
      <c r="A1353" s="125"/>
      <c r="B1353" s="125"/>
      <c r="C1353" s="98"/>
      <c r="D1353" s="125"/>
      <c r="E1353" s="125"/>
      <c r="F1353" s="125"/>
      <c r="G1353" s="125"/>
      <c r="H1353" s="125"/>
      <c r="I1353" s="125"/>
      <c r="J1353" s="125"/>
      <c r="K1353" s="193"/>
      <c r="L1353" s="125"/>
      <c r="M1353" s="124"/>
      <c r="N1353" s="126"/>
    </row>
    <row r="1354" spans="1:14">
      <c r="A1354" s="125"/>
      <c r="B1354" s="125"/>
      <c r="C1354" s="98"/>
      <c r="D1354" s="125"/>
      <c r="E1354" s="125"/>
      <c r="F1354" s="125"/>
      <c r="G1354" s="125"/>
      <c r="H1354" s="125"/>
      <c r="I1354" s="125"/>
      <c r="J1354" s="125"/>
      <c r="K1354" s="193"/>
      <c r="L1354" s="125"/>
      <c r="M1354" s="124"/>
      <c r="N1354" s="126"/>
    </row>
    <row r="1355" spans="1:14">
      <c r="A1355" s="125"/>
      <c r="B1355" s="125"/>
      <c r="C1355" s="98"/>
      <c r="D1355" s="125"/>
      <c r="E1355" s="125"/>
      <c r="F1355" s="125"/>
      <c r="G1355" s="125"/>
      <c r="H1355" s="125"/>
      <c r="I1355" s="125"/>
      <c r="J1355" s="125"/>
      <c r="K1355" s="193"/>
      <c r="L1355" s="125"/>
      <c r="M1355" s="124"/>
      <c r="N1355" s="126"/>
    </row>
    <row r="1356" spans="1:14">
      <c r="A1356" s="125"/>
      <c r="B1356" s="125"/>
      <c r="C1356" s="98"/>
      <c r="D1356" s="125"/>
      <c r="E1356" s="125"/>
      <c r="F1356" s="125"/>
      <c r="G1356" s="125"/>
      <c r="H1356" s="125"/>
      <c r="I1356" s="125"/>
      <c r="J1356" s="125"/>
      <c r="K1356" s="193"/>
      <c r="L1356" s="125"/>
      <c r="M1356" s="124"/>
      <c r="N1356" s="126"/>
    </row>
    <row r="1357" spans="1:14">
      <c r="A1357" s="125"/>
      <c r="B1357" s="125"/>
      <c r="C1357" s="98"/>
      <c r="D1357" s="125"/>
      <c r="E1357" s="125"/>
      <c r="F1357" s="125"/>
      <c r="G1357" s="125"/>
      <c r="H1357" s="125"/>
      <c r="I1357" s="125"/>
      <c r="J1357" s="125"/>
      <c r="K1357" s="193"/>
      <c r="L1357" s="125"/>
      <c r="M1357" s="124"/>
      <c r="N1357" s="126"/>
    </row>
    <row r="1358" spans="1:14">
      <c r="A1358" s="125"/>
      <c r="B1358" s="125"/>
      <c r="C1358" s="98"/>
      <c r="D1358" s="125"/>
      <c r="E1358" s="125"/>
      <c r="F1358" s="125"/>
      <c r="G1358" s="125"/>
      <c r="H1358" s="125"/>
      <c r="I1358" s="125"/>
      <c r="J1358" s="125"/>
      <c r="K1358" s="193"/>
      <c r="L1358" s="125"/>
      <c r="M1358" s="124"/>
      <c r="N1358" s="126"/>
    </row>
    <row r="1359" spans="1:14">
      <c r="A1359" s="125"/>
      <c r="B1359" s="125"/>
      <c r="C1359" s="98"/>
      <c r="D1359" s="125"/>
      <c r="E1359" s="125"/>
      <c r="F1359" s="125"/>
      <c r="G1359" s="125"/>
      <c r="H1359" s="125"/>
      <c r="I1359" s="125"/>
      <c r="J1359" s="125"/>
      <c r="K1359" s="193"/>
      <c r="L1359" s="125"/>
      <c r="M1359" s="124"/>
      <c r="N1359" s="126"/>
    </row>
    <row r="1360" spans="1:14">
      <c r="A1360" s="125"/>
      <c r="B1360" s="125"/>
      <c r="C1360" s="98"/>
      <c r="D1360" s="125"/>
      <c r="E1360" s="125"/>
      <c r="F1360" s="125"/>
      <c r="G1360" s="125"/>
      <c r="H1360" s="125"/>
      <c r="I1360" s="125"/>
      <c r="J1360" s="125"/>
      <c r="K1360" s="193"/>
      <c r="L1360" s="125"/>
      <c r="M1360" s="124"/>
      <c r="N1360" s="126"/>
    </row>
    <row r="1361" spans="1:14">
      <c r="A1361" s="125"/>
      <c r="B1361" s="125"/>
      <c r="C1361" s="98"/>
      <c r="D1361" s="125"/>
      <c r="E1361" s="125"/>
      <c r="F1361" s="125"/>
      <c r="G1361" s="125"/>
      <c r="H1361" s="125"/>
      <c r="I1361" s="125"/>
      <c r="J1361" s="125"/>
      <c r="K1361" s="193"/>
      <c r="L1361" s="125"/>
      <c r="M1361" s="124"/>
      <c r="N1361" s="126"/>
    </row>
    <row r="1362" spans="1:14">
      <c r="A1362" s="125"/>
      <c r="B1362" s="125"/>
      <c r="C1362" s="98"/>
      <c r="D1362" s="125"/>
      <c r="E1362" s="125"/>
      <c r="F1362" s="125"/>
      <c r="G1362" s="125"/>
      <c r="H1362" s="125"/>
      <c r="I1362" s="125"/>
      <c r="J1362" s="125"/>
      <c r="K1362" s="193"/>
      <c r="L1362" s="125"/>
      <c r="M1362" s="124"/>
      <c r="N1362" s="126"/>
    </row>
    <row r="1363" spans="1:14">
      <c r="A1363" s="125"/>
      <c r="B1363" s="125"/>
      <c r="C1363" s="98"/>
      <c r="D1363" s="125"/>
      <c r="E1363" s="125"/>
      <c r="F1363" s="125"/>
      <c r="G1363" s="125"/>
      <c r="H1363" s="125"/>
      <c r="I1363" s="125"/>
      <c r="J1363" s="125"/>
      <c r="K1363" s="193"/>
      <c r="L1363" s="125"/>
      <c r="M1363" s="124"/>
      <c r="N1363" s="126"/>
    </row>
    <row r="1364" spans="1:14">
      <c r="A1364" s="125"/>
      <c r="B1364" s="125"/>
      <c r="C1364" s="98"/>
      <c r="D1364" s="125"/>
      <c r="E1364" s="125"/>
      <c r="F1364" s="125"/>
      <c r="G1364" s="125"/>
      <c r="H1364" s="125"/>
      <c r="I1364" s="125"/>
      <c r="J1364" s="125"/>
      <c r="K1364" s="193"/>
      <c r="L1364" s="125"/>
      <c r="M1364" s="124"/>
      <c r="N1364" s="126"/>
    </row>
    <row r="1365" spans="1:14">
      <c r="A1365" s="125"/>
      <c r="B1365" s="125"/>
      <c r="C1365" s="98"/>
      <c r="D1365" s="125"/>
      <c r="E1365" s="125"/>
      <c r="F1365" s="125"/>
      <c r="G1365" s="125"/>
      <c r="H1365" s="125"/>
      <c r="I1365" s="125"/>
      <c r="J1365" s="125"/>
      <c r="K1365" s="193"/>
      <c r="L1365" s="125"/>
      <c r="M1365" s="124"/>
      <c r="N1365" s="126"/>
    </row>
    <row r="1366" spans="1:14">
      <c r="A1366" s="125"/>
      <c r="B1366" s="125"/>
      <c r="C1366" s="98"/>
      <c r="D1366" s="125"/>
      <c r="E1366" s="125"/>
      <c r="F1366" s="125"/>
      <c r="G1366" s="125"/>
      <c r="H1366" s="125"/>
      <c r="I1366" s="125"/>
      <c r="J1366" s="125"/>
      <c r="K1366" s="193"/>
      <c r="L1366" s="125"/>
      <c r="M1366" s="124"/>
      <c r="N1366" s="126"/>
    </row>
    <row r="1367" spans="1:14">
      <c r="A1367" s="125"/>
      <c r="B1367" s="125"/>
      <c r="C1367" s="98"/>
      <c r="D1367" s="125"/>
      <c r="E1367" s="125"/>
      <c r="F1367" s="125"/>
      <c r="G1367" s="125"/>
      <c r="H1367" s="125"/>
      <c r="I1367" s="125"/>
      <c r="J1367" s="125"/>
      <c r="K1367" s="193"/>
      <c r="L1367" s="125"/>
      <c r="M1367" s="124"/>
      <c r="N1367" s="126"/>
    </row>
    <row r="1368" spans="1:14">
      <c r="A1368" s="125"/>
      <c r="B1368" s="125"/>
      <c r="C1368" s="98"/>
      <c r="D1368" s="125"/>
      <c r="E1368" s="125"/>
      <c r="F1368" s="125"/>
      <c r="G1368" s="125"/>
      <c r="H1368" s="125"/>
      <c r="I1368" s="125"/>
      <c r="J1368" s="125"/>
      <c r="K1368" s="193"/>
      <c r="L1368" s="125"/>
      <c r="M1368" s="124"/>
      <c r="N1368" s="126"/>
    </row>
    <row r="1369" spans="1:14">
      <c r="A1369" s="62"/>
      <c r="B1369" s="62"/>
      <c r="C1369" s="95"/>
      <c r="D1369" s="62"/>
      <c r="E1369" s="62"/>
      <c r="F1369" s="62"/>
      <c r="G1369" s="62"/>
      <c r="H1369" s="62"/>
      <c r="I1369" s="62"/>
      <c r="J1369" s="62"/>
      <c r="K1369" s="172"/>
      <c r="L1369" s="62"/>
      <c r="M1369" s="96"/>
    </row>
    <row r="1370" spans="1:14">
      <c r="A1370" s="62"/>
      <c r="B1370" s="62"/>
      <c r="C1370" s="95"/>
      <c r="D1370" s="62"/>
      <c r="E1370" s="62"/>
      <c r="F1370" s="62"/>
      <c r="G1370" s="62"/>
      <c r="H1370" s="62"/>
      <c r="I1370" s="62"/>
      <c r="J1370" s="62"/>
      <c r="K1370" s="172"/>
      <c r="L1370" s="62"/>
      <c r="M1370" s="96"/>
    </row>
    <row r="1371" spans="1:14">
      <c r="A1371" s="62"/>
      <c r="B1371" s="62"/>
      <c r="C1371" s="95"/>
      <c r="D1371" s="62"/>
      <c r="E1371" s="62"/>
      <c r="F1371" s="62"/>
      <c r="G1371" s="62"/>
      <c r="H1371" s="62"/>
      <c r="I1371" s="62"/>
      <c r="J1371" s="62"/>
      <c r="K1371" s="172"/>
      <c r="L1371" s="62"/>
      <c r="M1371" s="96"/>
    </row>
    <row r="1372" spans="1:14">
      <c r="A1372" s="62"/>
      <c r="B1372" s="62"/>
      <c r="C1372" s="95"/>
      <c r="D1372" s="62"/>
      <c r="E1372" s="62"/>
      <c r="F1372" s="62"/>
      <c r="G1372" s="62"/>
      <c r="H1372" s="62"/>
      <c r="I1372" s="62"/>
      <c r="J1372" s="62"/>
      <c r="K1372" s="172"/>
      <c r="L1372" s="62"/>
      <c r="M1372" s="96"/>
    </row>
    <row r="1373" spans="1:14">
      <c r="A1373" s="62"/>
      <c r="B1373" s="62"/>
      <c r="C1373" s="95"/>
      <c r="D1373" s="62"/>
      <c r="E1373" s="62"/>
      <c r="F1373" s="62"/>
      <c r="G1373" s="62"/>
      <c r="H1373" s="62"/>
      <c r="I1373" s="62"/>
      <c r="J1373" s="62"/>
      <c r="K1373" s="172"/>
      <c r="L1373" s="62"/>
      <c r="M1373" s="96"/>
    </row>
    <row r="1374" spans="1:14">
      <c r="A1374" s="62"/>
      <c r="B1374" s="62"/>
      <c r="C1374" s="95"/>
      <c r="D1374" s="62"/>
      <c r="E1374" s="62"/>
      <c r="F1374" s="62"/>
      <c r="G1374" s="62"/>
      <c r="H1374" s="62"/>
      <c r="I1374" s="62"/>
      <c r="J1374" s="62"/>
      <c r="K1374" s="172"/>
      <c r="L1374" s="62"/>
      <c r="M1374" s="96"/>
    </row>
    <row r="1375" spans="1:14">
      <c r="A1375" s="62"/>
      <c r="B1375" s="62"/>
      <c r="C1375" s="95"/>
      <c r="D1375" s="62"/>
      <c r="E1375" s="62"/>
      <c r="F1375" s="62"/>
      <c r="G1375" s="62"/>
      <c r="H1375" s="62"/>
      <c r="I1375" s="62"/>
      <c r="J1375" s="62"/>
      <c r="K1375" s="172"/>
      <c r="L1375" s="62"/>
      <c r="M1375" s="96"/>
    </row>
    <row r="1376" spans="1:14">
      <c r="A1376" s="62"/>
      <c r="B1376" s="62"/>
      <c r="C1376" s="95"/>
      <c r="D1376" s="62"/>
      <c r="E1376" s="62"/>
      <c r="F1376" s="62"/>
      <c r="G1376" s="62"/>
      <c r="H1376" s="62"/>
      <c r="I1376" s="62"/>
      <c r="J1376" s="62"/>
      <c r="K1376" s="172"/>
      <c r="L1376" s="62"/>
      <c r="M1376" s="96"/>
    </row>
    <row r="1377" spans="1:13">
      <c r="A1377" s="62"/>
      <c r="B1377" s="62"/>
      <c r="C1377" s="95"/>
      <c r="D1377" s="62"/>
      <c r="E1377" s="62"/>
      <c r="F1377" s="62"/>
      <c r="G1377" s="62"/>
      <c r="H1377" s="62"/>
      <c r="I1377" s="62"/>
      <c r="J1377" s="62"/>
      <c r="K1377" s="172"/>
      <c r="L1377" s="62"/>
      <c r="M1377" s="96"/>
    </row>
    <row r="1378" spans="1:13">
      <c r="A1378" s="62"/>
      <c r="B1378" s="62"/>
      <c r="C1378" s="95"/>
      <c r="D1378" s="62"/>
      <c r="E1378" s="62"/>
      <c r="F1378" s="62"/>
      <c r="G1378" s="62"/>
      <c r="H1378" s="62"/>
      <c r="I1378" s="62"/>
      <c r="J1378" s="62"/>
      <c r="K1378" s="172"/>
      <c r="L1378" s="62"/>
      <c r="M1378" s="96"/>
    </row>
    <row r="1379" spans="1:13">
      <c r="A1379" s="62"/>
      <c r="B1379" s="62"/>
      <c r="C1379" s="95"/>
      <c r="D1379" s="62"/>
      <c r="E1379" s="62"/>
      <c r="F1379" s="62"/>
      <c r="G1379" s="62"/>
      <c r="H1379" s="62"/>
      <c r="I1379" s="62"/>
      <c r="J1379" s="62"/>
      <c r="K1379" s="172"/>
      <c r="L1379" s="62"/>
      <c r="M1379" s="96"/>
    </row>
    <row r="1380" spans="1:13">
      <c r="A1380" s="62"/>
      <c r="B1380" s="62"/>
      <c r="C1380" s="95"/>
      <c r="D1380" s="62"/>
      <c r="E1380" s="62"/>
      <c r="F1380" s="62"/>
      <c r="G1380" s="62"/>
      <c r="H1380" s="62"/>
      <c r="I1380" s="62"/>
      <c r="J1380" s="62"/>
      <c r="K1380" s="172"/>
      <c r="L1380" s="62"/>
      <c r="M1380" s="96"/>
    </row>
    <row r="1381" spans="1:13">
      <c r="A1381" s="62"/>
      <c r="B1381" s="62"/>
      <c r="C1381" s="95"/>
      <c r="D1381" s="62"/>
      <c r="E1381" s="62"/>
      <c r="F1381" s="62"/>
      <c r="G1381" s="62"/>
      <c r="H1381" s="62"/>
      <c r="I1381" s="62"/>
      <c r="J1381" s="62"/>
      <c r="K1381" s="172"/>
      <c r="L1381" s="62"/>
      <c r="M1381" s="96"/>
    </row>
    <row r="1382" spans="1:13">
      <c r="A1382" s="62"/>
      <c r="B1382" s="62"/>
      <c r="C1382" s="95"/>
      <c r="D1382" s="62"/>
      <c r="E1382" s="62"/>
      <c r="F1382" s="62"/>
      <c r="G1382" s="62"/>
      <c r="H1382" s="62"/>
      <c r="I1382" s="62"/>
      <c r="J1382" s="62"/>
      <c r="K1382" s="172"/>
      <c r="L1382" s="62"/>
      <c r="M1382" s="96"/>
    </row>
    <row r="1383" spans="1:13">
      <c r="A1383" s="62"/>
      <c r="B1383" s="62"/>
      <c r="C1383" s="95"/>
      <c r="D1383" s="62"/>
      <c r="E1383" s="62"/>
      <c r="F1383" s="62"/>
      <c r="G1383" s="62"/>
      <c r="H1383" s="62"/>
      <c r="I1383" s="62"/>
      <c r="J1383" s="62"/>
      <c r="K1383" s="172"/>
      <c r="L1383" s="62"/>
      <c r="M1383" s="96"/>
    </row>
    <row r="1384" spans="1:13">
      <c r="A1384" s="62"/>
      <c r="B1384" s="62"/>
      <c r="C1384" s="95"/>
      <c r="D1384" s="62"/>
      <c r="E1384" s="62"/>
      <c r="F1384" s="62"/>
      <c r="G1384" s="62"/>
      <c r="H1384" s="62"/>
      <c r="I1384" s="62"/>
      <c r="J1384" s="62"/>
      <c r="K1384" s="172"/>
      <c r="L1384" s="62"/>
      <c r="M1384" s="96"/>
    </row>
    <row r="1385" spans="1:13">
      <c r="A1385" s="62"/>
      <c r="B1385" s="62"/>
      <c r="C1385" s="95"/>
      <c r="D1385" s="62"/>
      <c r="E1385" s="62"/>
      <c r="F1385" s="62"/>
      <c r="G1385" s="62"/>
      <c r="H1385" s="62"/>
      <c r="I1385" s="62"/>
      <c r="J1385" s="62"/>
      <c r="K1385" s="172"/>
      <c r="L1385" s="62"/>
      <c r="M1385" s="96"/>
    </row>
    <row r="1386" spans="1:13">
      <c r="A1386" s="62"/>
      <c r="B1386" s="62"/>
      <c r="C1386" s="95"/>
      <c r="D1386" s="62"/>
      <c r="E1386" s="62"/>
      <c r="F1386" s="62"/>
      <c r="G1386" s="62"/>
      <c r="H1386" s="62"/>
      <c r="I1386" s="62"/>
      <c r="J1386" s="62"/>
      <c r="K1386" s="172"/>
      <c r="L1386" s="62"/>
      <c r="M1386" s="96"/>
    </row>
    <row r="1387" spans="1:13">
      <c r="A1387" s="62"/>
      <c r="B1387" s="62"/>
      <c r="C1387" s="95"/>
      <c r="D1387" s="62"/>
      <c r="E1387" s="62"/>
      <c r="F1387" s="62"/>
      <c r="G1387" s="62"/>
      <c r="H1387" s="62"/>
      <c r="I1387" s="62"/>
      <c r="J1387" s="62"/>
      <c r="K1387" s="172"/>
      <c r="L1387" s="62"/>
      <c r="M1387" s="96"/>
    </row>
    <row r="1388" spans="1:13">
      <c r="A1388" s="62"/>
      <c r="B1388" s="62"/>
      <c r="C1388" s="95"/>
      <c r="D1388" s="62"/>
      <c r="E1388" s="62"/>
      <c r="F1388" s="62"/>
      <c r="G1388" s="62"/>
      <c r="H1388" s="62"/>
      <c r="I1388" s="62"/>
      <c r="J1388" s="62"/>
      <c r="K1388" s="172"/>
      <c r="L1388" s="62"/>
      <c r="M1388" s="96"/>
    </row>
    <row r="1389" spans="1:13">
      <c r="A1389" s="62"/>
      <c r="B1389" s="62"/>
      <c r="C1389" s="95"/>
      <c r="D1389" s="62"/>
      <c r="E1389" s="62"/>
      <c r="F1389" s="62"/>
      <c r="G1389" s="62"/>
      <c r="H1389" s="62"/>
      <c r="I1389" s="62"/>
      <c r="J1389" s="62"/>
      <c r="K1389" s="172"/>
      <c r="L1389" s="62"/>
      <c r="M1389" s="96"/>
    </row>
    <row r="1390" spans="1:13">
      <c r="A1390" s="62"/>
      <c r="B1390" s="62"/>
      <c r="C1390" s="95"/>
      <c r="D1390" s="62"/>
      <c r="E1390" s="62"/>
      <c r="F1390" s="62"/>
      <c r="G1390" s="62"/>
      <c r="H1390" s="62"/>
      <c r="I1390" s="62"/>
      <c r="J1390" s="62"/>
      <c r="K1390" s="172"/>
      <c r="L1390" s="62"/>
      <c r="M1390" s="96"/>
    </row>
    <row r="1391" spans="1:13">
      <c r="A1391" s="62"/>
      <c r="B1391" s="62"/>
      <c r="C1391" s="95"/>
      <c r="D1391" s="62"/>
      <c r="E1391" s="62"/>
      <c r="F1391" s="62"/>
      <c r="G1391" s="62"/>
      <c r="H1391" s="62"/>
      <c r="I1391" s="62"/>
      <c r="J1391" s="62"/>
      <c r="K1391" s="172"/>
      <c r="L1391" s="62"/>
      <c r="M1391" s="96"/>
    </row>
    <row r="1392" spans="1:13">
      <c r="A1392" s="62"/>
      <c r="B1392" s="62"/>
      <c r="C1392" s="95"/>
      <c r="D1392" s="62"/>
      <c r="E1392" s="62"/>
      <c r="F1392" s="62"/>
      <c r="G1392" s="62"/>
      <c r="H1392" s="62"/>
      <c r="I1392" s="62"/>
      <c r="J1392" s="62"/>
      <c r="K1392" s="172"/>
      <c r="L1392" s="62"/>
      <c r="M1392" s="96"/>
    </row>
    <row r="1393" spans="1:13">
      <c r="A1393" s="62"/>
      <c r="B1393" s="62"/>
      <c r="C1393" s="95"/>
      <c r="D1393" s="62"/>
      <c r="E1393" s="62"/>
      <c r="F1393" s="62"/>
      <c r="G1393" s="62"/>
      <c r="H1393" s="62"/>
      <c r="I1393" s="62"/>
      <c r="J1393" s="62"/>
      <c r="K1393" s="172"/>
      <c r="L1393" s="62"/>
      <c r="M1393" s="96"/>
    </row>
    <row r="1394" spans="1:13">
      <c r="A1394" s="62"/>
      <c r="B1394" s="62"/>
      <c r="C1394" s="95"/>
      <c r="D1394" s="62"/>
      <c r="E1394" s="62"/>
      <c r="F1394" s="62"/>
      <c r="G1394" s="62"/>
      <c r="H1394" s="62"/>
      <c r="I1394" s="62"/>
      <c r="J1394" s="62"/>
      <c r="K1394" s="172"/>
      <c r="L1394" s="62"/>
      <c r="M1394" s="96"/>
    </row>
    <row r="1395" spans="1:13">
      <c r="A1395" s="62"/>
      <c r="B1395" s="62"/>
      <c r="C1395" s="95"/>
      <c r="D1395" s="62"/>
      <c r="E1395" s="62"/>
      <c r="F1395" s="62"/>
      <c r="G1395" s="62"/>
      <c r="H1395" s="62"/>
      <c r="I1395" s="62"/>
      <c r="J1395" s="62"/>
      <c r="K1395" s="172"/>
      <c r="L1395" s="62"/>
      <c r="M1395" s="96"/>
    </row>
    <row r="1396" spans="1:13">
      <c r="A1396" s="62"/>
      <c r="B1396" s="62"/>
      <c r="C1396" s="95"/>
      <c r="D1396" s="62"/>
      <c r="E1396" s="62"/>
      <c r="F1396" s="62"/>
      <c r="G1396" s="62"/>
      <c r="H1396" s="62"/>
      <c r="I1396" s="62"/>
      <c r="J1396" s="62"/>
      <c r="K1396" s="172"/>
      <c r="L1396" s="62"/>
      <c r="M1396" s="96"/>
    </row>
    <row r="1397" spans="1:13">
      <c r="A1397" s="62"/>
      <c r="B1397" s="62"/>
      <c r="C1397" s="95"/>
      <c r="D1397" s="62"/>
      <c r="E1397" s="62"/>
      <c r="F1397" s="62"/>
      <c r="G1397" s="62"/>
      <c r="H1397" s="62"/>
      <c r="I1397" s="62"/>
      <c r="J1397" s="62"/>
      <c r="K1397" s="172"/>
      <c r="L1397" s="62"/>
      <c r="M1397" s="96"/>
    </row>
    <row r="1398" spans="1:13">
      <c r="A1398" s="62"/>
      <c r="B1398" s="62"/>
      <c r="C1398" s="95"/>
      <c r="D1398" s="62"/>
      <c r="E1398" s="62"/>
      <c r="F1398" s="62"/>
      <c r="G1398" s="62"/>
      <c r="H1398" s="62"/>
      <c r="I1398" s="62"/>
      <c r="J1398" s="62"/>
      <c r="K1398" s="172"/>
      <c r="L1398" s="62"/>
      <c r="M1398" s="96"/>
    </row>
    <row r="1399" spans="1:13">
      <c r="A1399" s="62"/>
      <c r="B1399" s="62"/>
      <c r="C1399" s="95"/>
      <c r="D1399" s="62"/>
      <c r="E1399" s="62"/>
      <c r="F1399" s="62"/>
      <c r="G1399" s="62"/>
      <c r="H1399" s="62"/>
      <c r="I1399" s="62"/>
      <c r="J1399" s="62"/>
      <c r="K1399" s="172"/>
      <c r="L1399" s="62"/>
      <c r="M1399" s="96"/>
    </row>
    <row r="1400" spans="1:13">
      <c r="A1400" s="62"/>
      <c r="B1400" s="62"/>
      <c r="C1400" s="95"/>
      <c r="D1400" s="62"/>
      <c r="E1400" s="62"/>
      <c r="F1400" s="62"/>
      <c r="G1400" s="62"/>
      <c r="H1400" s="62"/>
      <c r="I1400" s="62"/>
      <c r="J1400" s="62"/>
      <c r="K1400" s="172"/>
      <c r="L1400" s="62"/>
      <c r="M1400" s="96"/>
    </row>
    <row r="1401" spans="1:13">
      <c r="A1401" s="62"/>
      <c r="B1401" s="62"/>
      <c r="C1401" s="95"/>
      <c r="D1401" s="62"/>
      <c r="E1401" s="62"/>
      <c r="F1401" s="62"/>
      <c r="G1401" s="62"/>
      <c r="H1401" s="62"/>
      <c r="I1401" s="62"/>
      <c r="J1401" s="62"/>
      <c r="K1401" s="172"/>
      <c r="L1401" s="62"/>
      <c r="M1401" s="96"/>
    </row>
    <row r="1402" spans="1:13">
      <c r="A1402" s="62"/>
      <c r="B1402" s="62"/>
      <c r="C1402" s="95"/>
      <c r="D1402" s="62"/>
      <c r="E1402" s="62"/>
      <c r="F1402" s="62"/>
      <c r="G1402" s="62"/>
      <c r="H1402" s="62"/>
      <c r="I1402" s="62"/>
      <c r="J1402" s="62"/>
      <c r="K1402" s="172"/>
      <c r="L1402" s="62"/>
      <c r="M1402" s="96"/>
    </row>
    <row r="1403" spans="1:13">
      <c r="A1403" s="62"/>
      <c r="B1403" s="62"/>
      <c r="C1403" s="95"/>
      <c r="D1403" s="62"/>
      <c r="E1403" s="62"/>
      <c r="F1403" s="62"/>
      <c r="G1403" s="62"/>
      <c r="H1403" s="62"/>
      <c r="I1403" s="62"/>
      <c r="J1403" s="62"/>
      <c r="K1403" s="172"/>
      <c r="L1403" s="62"/>
      <c r="M1403" s="96"/>
    </row>
    <row r="1404" spans="1:13">
      <c r="A1404" s="62"/>
      <c r="B1404" s="62"/>
      <c r="C1404" s="95"/>
      <c r="D1404" s="62"/>
      <c r="E1404" s="62"/>
      <c r="F1404" s="62"/>
      <c r="G1404" s="62"/>
      <c r="H1404" s="62"/>
      <c r="I1404" s="62"/>
      <c r="J1404" s="62"/>
      <c r="K1404" s="172"/>
      <c r="L1404" s="62"/>
      <c r="M1404" s="96"/>
    </row>
    <row r="1405" spans="1:13">
      <c r="A1405" s="62"/>
      <c r="B1405" s="62"/>
      <c r="C1405" s="95"/>
      <c r="D1405" s="62"/>
      <c r="E1405" s="62"/>
      <c r="F1405" s="62"/>
      <c r="G1405" s="62"/>
      <c r="H1405" s="62"/>
      <c r="I1405" s="62"/>
      <c r="J1405" s="62"/>
      <c r="K1405" s="172"/>
      <c r="L1405" s="62"/>
      <c r="M1405" s="96"/>
    </row>
    <row r="1406" spans="1:13">
      <c r="A1406" s="62"/>
      <c r="B1406" s="62"/>
      <c r="C1406" s="95"/>
      <c r="D1406" s="62"/>
      <c r="E1406" s="62"/>
      <c r="F1406" s="62"/>
      <c r="G1406" s="62"/>
      <c r="H1406" s="62"/>
      <c r="I1406" s="62"/>
      <c r="J1406" s="62"/>
      <c r="K1406" s="172"/>
      <c r="L1406" s="62"/>
      <c r="M1406" s="96"/>
    </row>
    <row r="1407" spans="1:13">
      <c r="A1407" s="62"/>
      <c r="B1407" s="62"/>
      <c r="C1407" s="95"/>
      <c r="D1407" s="62"/>
      <c r="E1407" s="62"/>
      <c r="F1407" s="62"/>
      <c r="G1407" s="62"/>
      <c r="H1407" s="62"/>
      <c r="I1407" s="62"/>
      <c r="J1407" s="62"/>
      <c r="K1407" s="172"/>
      <c r="L1407" s="62"/>
      <c r="M1407" s="96"/>
    </row>
    <row r="1408" spans="1:13">
      <c r="A1408" s="62"/>
      <c r="B1408" s="62"/>
      <c r="C1408" s="95"/>
      <c r="D1408" s="62"/>
      <c r="E1408" s="62"/>
      <c r="F1408" s="62"/>
      <c r="G1408" s="62"/>
      <c r="H1408" s="62"/>
      <c r="I1408" s="62"/>
      <c r="J1408" s="62"/>
      <c r="K1408" s="172"/>
      <c r="L1408" s="62"/>
      <c r="M1408" s="96"/>
    </row>
    <row r="1409" spans="1:13">
      <c r="A1409" s="62"/>
      <c r="B1409" s="62"/>
      <c r="C1409" s="95"/>
      <c r="D1409" s="62"/>
      <c r="E1409" s="62"/>
      <c r="F1409" s="62"/>
      <c r="G1409" s="62"/>
      <c r="H1409" s="62"/>
      <c r="I1409" s="62"/>
      <c r="J1409" s="62"/>
      <c r="K1409" s="172"/>
      <c r="L1409" s="62"/>
      <c r="M1409" s="96"/>
    </row>
    <row r="1410" spans="1:13">
      <c r="A1410" s="62"/>
      <c r="B1410" s="62"/>
      <c r="C1410" s="95"/>
      <c r="D1410" s="62"/>
      <c r="E1410" s="62"/>
      <c r="F1410" s="62"/>
      <c r="G1410" s="62"/>
      <c r="H1410" s="62"/>
      <c r="I1410" s="62"/>
      <c r="J1410" s="62"/>
      <c r="K1410" s="172"/>
      <c r="L1410" s="62"/>
      <c r="M1410" s="96"/>
    </row>
    <row r="1411" spans="1:13">
      <c r="A1411" s="62"/>
      <c r="B1411" s="62"/>
      <c r="C1411" s="95"/>
      <c r="D1411" s="62"/>
      <c r="E1411" s="62"/>
      <c r="F1411" s="62"/>
      <c r="G1411" s="62"/>
      <c r="H1411" s="62"/>
      <c r="I1411" s="62"/>
      <c r="J1411" s="62"/>
      <c r="K1411" s="172"/>
      <c r="L1411" s="62"/>
      <c r="M1411" s="96"/>
    </row>
    <row r="1412" spans="1:13">
      <c r="A1412" s="62"/>
      <c r="B1412" s="62"/>
      <c r="C1412" s="95"/>
      <c r="D1412" s="62"/>
      <c r="E1412" s="62"/>
      <c r="F1412" s="62"/>
      <c r="G1412" s="62"/>
      <c r="H1412" s="62"/>
      <c r="I1412" s="62"/>
      <c r="J1412" s="62"/>
      <c r="K1412" s="172"/>
      <c r="L1412" s="62"/>
      <c r="M1412" s="96"/>
    </row>
    <row r="1413" spans="1:13">
      <c r="A1413" s="62"/>
      <c r="B1413" s="62"/>
      <c r="C1413" s="95"/>
      <c r="D1413" s="62"/>
      <c r="E1413" s="62"/>
      <c r="F1413" s="62"/>
      <c r="G1413" s="62"/>
      <c r="H1413" s="62"/>
      <c r="I1413" s="62"/>
      <c r="J1413" s="62"/>
      <c r="K1413" s="172"/>
      <c r="L1413" s="62"/>
      <c r="M1413" s="96"/>
    </row>
    <row r="1414" spans="1:13">
      <c r="A1414" s="62"/>
      <c r="B1414" s="62"/>
      <c r="C1414" s="95"/>
      <c r="D1414" s="62"/>
      <c r="E1414" s="62"/>
      <c r="F1414" s="62"/>
      <c r="G1414" s="62"/>
      <c r="H1414" s="62"/>
      <c r="I1414" s="62"/>
      <c r="J1414" s="62"/>
      <c r="K1414" s="172"/>
      <c r="L1414" s="62"/>
      <c r="M1414" s="96"/>
    </row>
    <row r="1415" spans="1:13" s="62" customFormat="1">
      <c r="C1415" s="95"/>
      <c r="K1415" s="172"/>
      <c r="M1415" s="96"/>
    </row>
    <row r="1416" spans="1:13" s="62" customFormat="1">
      <c r="C1416" s="95"/>
      <c r="K1416" s="172"/>
      <c r="M1416" s="96"/>
    </row>
    <row r="1417" spans="1:13" s="62" customFormat="1">
      <c r="C1417" s="95"/>
      <c r="K1417" s="172"/>
      <c r="M1417" s="96"/>
    </row>
    <row r="1418" spans="1:13" s="62" customFormat="1">
      <c r="C1418" s="95"/>
      <c r="K1418" s="172"/>
      <c r="M1418" s="96"/>
    </row>
    <row r="1419" spans="1:13" s="62" customFormat="1">
      <c r="C1419" s="95"/>
      <c r="K1419" s="172"/>
      <c r="M1419" s="96"/>
    </row>
    <row r="1420" spans="1:13">
      <c r="A1420" s="62"/>
      <c r="B1420" s="62"/>
      <c r="C1420" s="95"/>
      <c r="D1420" s="62"/>
      <c r="E1420" s="62"/>
      <c r="F1420" s="62"/>
      <c r="G1420" s="62"/>
      <c r="H1420" s="62"/>
      <c r="I1420" s="62"/>
      <c r="J1420" s="62"/>
      <c r="K1420" s="172"/>
      <c r="L1420" s="62"/>
      <c r="M1420" s="96"/>
    </row>
    <row r="1421" spans="1:13">
      <c r="A1421" s="62"/>
      <c r="B1421" s="62"/>
      <c r="C1421" s="95"/>
      <c r="D1421" s="62"/>
      <c r="E1421" s="62"/>
      <c r="F1421" s="62"/>
      <c r="G1421" s="62"/>
      <c r="H1421" s="62"/>
      <c r="I1421" s="62"/>
      <c r="J1421" s="62"/>
      <c r="K1421" s="172"/>
      <c r="L1421" s="62"/>
      <c r="M1421" s="96"/>
    </row>
    <row r="1422" spans="1:13">
      <c r="A1422" s="62"/>
      <c r="B1422" s="62"/>
      <c r="C1422" s="95"/>
      <c r="D1422" s="62"/>
      <c r="E1422" s="62"/>
      <c r="F1422" s="62"/>
      <c r="G1422" s="62"/>
      <c r="H1422" s="62"/>
      <c r="I1422" s="62"/>
      <c r="J1422" s="62"/>
      <c r="K1422" s="172"/>
      <c r="L1422" s="62"/>
      <c r="M1422" s="96"/>
    </row>
    <row r="1423" spans="1:13">
      <c r="A1423" s="62"/>
      <c r="B1423" s="62"/>
      <c r="C1423" s="95"/>
      <c r="D1423" s="62"/>
      <c r="E1423" s="62"/>
      <c r="F1423" s="62"/>
      <c r="G1423" s="62"/>
      <c r="H1423" s="62"/>
      <c r="I1423" s="62"/>
      <c r="J1423" s="62"/>
      <c r="K1423" s="172"/>
      <c r="L1423" s="62"/>
      <c r="M1423" s="96"/>
    </row>
    <row r="1424" spans="1:13">
      <c r="A1424" s="62"/>
      <c r="B1424" s="62"/>
      <c r="C1424" s="95"/>
      <c r="D1424" s="62"/>
      <c r="E1424" s="62"/>
      <c r="F1424" s="62"/>
      <c r="G1424" s="62"/>
      <c r="H1424" s="62"/>
      <c r="I1424" s="62"/>
      <c r="J1424" s="62"/>
      <c r="K1424" s="172"/>
      <c r="L1424" s="62"/>
      <c r="M1424" s="96"/>
    </row>
    <row r="1425" spans="1:13">
      <c r="A1425" s="62"/>
      <c r="B1425" s="62"/>
      <c r="C1425" s="95"/>
      <c r="D1425" s="62"/>
      <c r="E1425" s="62"/>
      <c r="F1425" s="62"/>
      <c r="G1425" s="62"/>
      <c r="H1425" s="62"/>
      <c r="I1425" s="62"/>
      <c r="J1425" s="62"/>
      <c r="K1425" s="172"/>
      <c r="L1425" s="62"/>
      <c r="M1425" s="96"/>
    </row>
    <row r="1426" spans="1:13">
      <c r="A1426" s="62"/>
      <c r="B1426" s="62"/>
      <c r="C1426" s="95"/>
      <c r="D1426" s="62"/>
      <c r="E1426" s="62"/>
      <c r="F1426" s="62"/>
      <c r="G1426" s="62"/>
      <c r="H1426" s="62"/>
      <c r="I1426" s="62"/>
      <c r="J1426" s="62"/>
      <c r="K1426" s="172"/>
      <c r="L1426" s="62"/>
      <c r="M1426" s="96"/>
    </row>
    <row r="1427" spans="1:13">
      <c r="A1427" s="62"/>
      <c r="B1427" s="62"/>
      <c r="C1427" s="95"/>
      <c r="D1427" s="62"/>
      <c r="E1427" s="62"/>
      <c r="F1427" s="62"/>
      <c r="G1427" s="62"/>
      <c r="H1427" s="62"/>
      <c r="I1427" s="62"/>
      <c r="J1427" s="62"/>
      <c r="K1427" s="172"/>
      <c r="L1427" s="62"/>
      <c r="M1427" s="96"/>
    </row>
    <row r="1428" spans="1:13">
      <c r="A1428" s="62"/>
      <c r="B1428" s="62"/>
      <c r="C1428" s="95"/>
      <c r="D1428" s="62"/>
      <c r="E1428" s="62"/>
      <c r="F1428" s="62"/>
      <c r="G1428" s="62"/>
      <c r="H1428" s="62"/>
      <c r="I1428" s="62"/>
      <c r="J1428" s="62"/>
      <c r="K1428" s="172"/>
      <c r="L1428" s="62"/>
      <c r="M1428" s="96"/>
    </row>
  </sheetData>
  <autoFilter ref="A3:N712">
    <filterColumn colId="3">
      <filters>
        <filter val="1444"/>
      </filters>
    </filterColumn>
  </autoFilter>
  <mergeCells count="178">
    <mergeCell ref="K477:K479"/>
    <mergeCell ref="M477:M479"/>
    <mergeCell ref="N477:N479"/>
    <mergeCell ref="K480:K482"/>
    <mergeCell ref="M480:M482"/>
    <mergeCell ref="N480:N482"/>
    <mergeCell ref="K457:K458"/>
    <mergeCell ref="K459:K460"/>
    <mergeCell ref="M457:M458"/>
    <mergeCell ref="N457:N458"/>
    <mergeCell ref="M459:M460"/>
    <mergeCell ref="N459:N460"/>
    <mergeCell ref="K461:K463"/>
    <mergeCell ref="K464:K466"/>
    <mergeCell ref="M461:M463"/>
    <mergeCell ref="M464:M466"/>
    <mergeCell ref="N461:N463"/>
    <mergeCell ref="N464:N466"/>
    <mergeCell ref="M308:M310"/>
    <mergeCell ref="K359:K361"/>
    <mergeCell ref="K362:K364"/>
    <mergeCell ref="M359:M361"/>
    <mergeCell ref="M362:M364"/>
    <mergeCell ref="N359:N361"/>
    <mergeCell ref="N362:N364"/>
    <mergeCell ref="K351:K354"/>
    <mergeCell ref="K355:K358"/>
    <mergeCell ref="M351:M354"/>
    <mergeCell ref="N351:N354"/>
    <mergeCell ref="M355:M358"/>
    <mergeCell ref="N355:N358"/>
    <mergeCell ref="N308:N310"/>
    <mergeCell ref="M311:M313"/>
    <mergeCell ref="N311:N313"/>
    <mergeCell ref="K308:K310"/>
    <mergeCell ref="M339:M340"/>
    <mergeCell ref="N337:N338"/>
    <mergeCell ref="N339:N340"/>
    <mergeCell ref="K311:K313"/>
    <mergeCell ref="K314:K317"/>
    <mergeCell ref="M314:M317"/>
    <mergeCell ref="N314:N317"/>
    <mergeCell ref="N268:N271"/>
    <mergeCell ref="K264:K267"/>
    <mergeCell ref="K268:K271"/>
    <mergeCell ref="M264:M267"/>
    <mergeCell ref="M268:M271"/>
    <mergeCell ref="M302:M303"/>
    <mergeCell ref="M304:M305"/>
    <mergeCell ref="M306:M307"/>
    <mergeCell ref="N302:N303"/>
    <mergeCell ref="N304:N305"/>
    <mergeCell ref="N306:N307"/>
    <mergeCell ref="K300:K301"/>
    <mergeCell ref="K302:K303"/>
    <mergeCell ref="K304:K305"/>
    <mergeCell ref="K306:K307"/>
    <mergeCell ref="M300:M301"/>
    <mergeCell ref="N300:N301"/>
    <mergeCell ref="K8:K10"/>
    <mergeCell ref="K11:K13"/>
    <mergeCell ref="M8:M10"/>
    <mergeCell ref="M11:M13"/>
    <mergeCell ref="N8:N10"/>
    <mergeCell ref="N11:N13"/>
    <mergeCell ref="K37:K41"/>
    <mergeCell ref="M37:M41"/>
    <mergeCell ref="N37:N41"/>
    <mergeCell ref="K23:K25"/>
    <mergeCell ref="M20:M22"/>
    <mergeCell ref="N20:N22"/>
    <mergeCell ref="M23:M25"/>
    <mergeCell ref="N23:N25"/>
    <mergeCell ref="K258:K259"/>
    <mergeCell ref="K260:K261"/>
    <mergeCell ref="M258:M259"/>
    <mergeCell ref="N258:N259"/>
    <mergeCell ref="M260:M261"/>
    <mergeCell ref="N260:N261"/>
    <mergeCell ref="N264:N267"/>
    <mergeCell ref="B2:N2"/>
    <mergeCell ref="K4:K5"/>
    <mergeCell ref="K6:K7"/>
    <mergeCell ref="M4:M5"/>
    <mergeCell ref="M6:M7"/>
    <mergeCell ref="N4:N5"/>
    <mergeCell ref="N6:N7"/>
    <mergeCell ref="K32:K36"/>
    <mergeCell ref="M32:M36"/>
    <mergeCell ref="N32:N36"/>
    <mergeCell ref="K14:K16"/>
    <mergeCell ref="K17:K19"/>
    <mergeCell ref="M14:M16"/>
    <mergeCell ref="M17:M19"/>
    <mergeCell ref="N14:N16"/>
    <mergeCell ref="N17:N19"/>
    <mergeCell ref="K20:K22"/>
    <mergeCell ref="K84:K85"/>
    <mergeCell ref="M84:M85"/>
    <mergeCell ref="N84:N85"/>
    <mergeCell ref="K42:K46"/>
    <mergeCell ref="M42:M46"/>
    <mergeCell ref="N42:N46"/>
    <mergeCell ref="K47:K51"/>
    <mergeCell ref="M47:M51"/>
    <mergeCell ref="N47:N51"/>
    <mergeCell ref="K213:K216"/>
    <mergeCell ref="M213:M216"/>
    <mergeCell ref="N213:N216"/>
    <mergeCell ref="K134:K136"/>
    <mergeCell ref="M134:M136"/>
    <mergeCell ref="N134:N136"/>
    <mergeCell ref="K137:K139"/>
    <mergeCell ref="M137:M139"/>
    <mergeCell ref="N137:N139"/>
    <mergeCell ref="K425:K428"/>
    <mergeCell ref="K429:K432"/>
    <mergeCell ref="M425:M428"/>
    <mergeCell ref="N425:N428"/>
    <mergeCell ref="M429:M432"/>
    <mergeCell ref="N429:N432"/>
    <mergeCell ref="K329:K332"/>
    <mergeCell ref="M329:M332"/>
    <mergeCell ref="N329:N332"/>
    <mergeCell ref="K333:K336"/>
    <mergeCell ref="M333:M336"/>
    <mergeCell ref="N333:N336"/>
    <mergeCell ref="K337:K338"/>
    <mergeCell ref="K339:K340"/>
    <mergeCell ref="M337:M338"/>
    <mergeCell ref="K389:K391"/>
    <mergeCell ref="M389:M391"/>
    <mergeCell ref="N389:N391"/>
    <mergeCell ref="K392:K394"/>
    <mergeCell ref="M392:M394"/>
    <mergeCell ref="N392:N394"/>
    <mergeCell ref="K341:K343"/>
    <mergeCell ref="K344:K346"/>
    <mergeCell ref="M341:M343"/>
    <mergeCell ref="M344:M346"/>
    <mergeCell ref="N341:N343"/>
    <mergeCell ref="N344:N346"/>
    <mergeCell ref="K347:K348"/>
    <mergeCell ref="K349:K350"/>
    <mergeCell ref="M347:M348"/>
    <mergeCell ref="M349:M350"/>
    <mergeCell ref="N347:N348"/>
    <mergeCell ref="N349:N350"/>
    <mergeCell ref="K633:K634"/>
    <mergeCell ref="K635:K636"/>
    <mergeCell ref="M633:M634"/>
    <mergeCell ref="N633:N634"/>
    <mergeCell ref="M635:M636"/>
    <mergeCell ref="N635:N636"/>
    <mergeCell ref="K557:K558"/>
    <mergeCell ref="K559:K560"/>
    <mergeCell ref="M557:M558"/>
    <mergeCell ref="M559:M560"/>
    <mergeCell ref="N557:N558"/>
    <mergeCell ref="N559:N560"/>
    <mergeCell ref="K709:K710"/>
    <mergeCell ref="K711:K712"/>
    <mergeCell ref="M709:M710"/>
    <mergeCell ref="M711:M712"/>
    <mergeCell ref="N709:N710"/>
    <mergeCell ref="N711:N712"/>
    <mergeCell ref="K695:K698"/>
    <mergeCell ref="K699:K702"/>
    <mergeCell ref="M695:M698"/>
    <mergeCell ref="M699:M702"/>
    <mergeCell ref="N695:N698"/>
    <mergeCell ref="N699:N702"/>
    <mergeCell ref="K703:K705"/>
    <mergeCell ref="K706:K708"/>
    <mergeCell ref="M703:M705"/>
    <mergeCell ref="M706:M708"/>
    <mergeCell ref="N703:N705"/>
    <mergeCell ref="N706:N708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55" workbookViewId="0">
      <selection activeCell="F68" sqref="F68"/>
    </sheetView>
  </sheetViews>
  <sheetFormatPr baseColWidth="10" defaultRowHeight="15"/>
  <cols>
    <col min="1" max="1" width="28.140625" style="62" customWidth="1"/>
    <col min="2" max="2" width="16.5703125" style="62" customWidth="1"/>
    <col min="3" max="4" width="11.42578125" style="62"/>
    <col min="5" max="5" width="13.28515625" style="62" customWidth="1"/>
    <col min="6" max="6" width="11.42578125" style="62" customWidth="1"/>
    <col min="7" max="7" width="11.42578125" style="62"/>
    <col min="8" max="8" width="16.28515625" style="62" customWidth="1"/>
    <col min="9" max="9" width="11.42578125" style="62"/>
    <col min="10" max="10" width="11.42578125" style="62" customWidth="1"/>
    <col min="11" max="11" width="19.140625" style="62" customWidth="1"/>
    <col min="12" max="12" width="11.42578125" style="64"/>
    <col min="13" max="13" width="12.7109375" style="62" customWidth="1"/>
    <col min="14" max="16384" width="11.42578125" style="62"/>
  </cols>
  <sheetData>
    <row r="1" spans="1:15" s="88" customFormat="1">
      <c r="L1" s="170"/>
    </row>
    <row r="2" spans="1:15" s="88" customFormat="1">
      <c r="B2" s="277" t="s">
        <v>231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s="88" customFormat="1" ht="45">
      <c r="A3" s="84" t="s">
        <v>233</v>
      </c>
      <c r="B3" s="112" t="s">
        <v>222</v>
      </c>
      <c r="C3" s="112" t="s">
        <v>223</v>
      </c>
      <c r="D3" s="112" t="s">
        <v>224</v>
      </c>
      <c r="E3" s="112" t="s">
        <v>234</v>
      </c>
      <c r="F3" s="112" t="s">
        <v>225</v>
      </c>
      <c r="G3" s="112" t="s">
        <v>237</v>
      </c>
      <c r="H3" s="112" t="s">
        <v>226</v>
      </c>
      <c r="I3" s="112" t="s">
        <v>227</v>
      </c>
      <c r="J3" s="112" t="s">
        <v>228</v>
      </c>
      <c r="K3" s="112" t="s">
        <v>229</v>
      </c>
      <c r="L3" s="171" t="s">
        <v>230</v>
      </c>
      <c r="M3" s="112" t="s">
        <v>160</v>
      </c>
      <c r="N3" s="112" t="s">
        <v>161</v>
      </c>
      <c r="O3" s="112" t="s">
        <v>162</v>
      </c>
    </row>
    <row r="4" spans="1:15" s="88" customFormat="1">
      <c r="A4" s="102" t="s">
        <v>321</v>
      </c>
      <c r="B4" s="177" t="s">
        <v>323</v>
      </c>
      <c r="C4" s="103">
        <v>43879</v>
      </c>
      <c r="D4" s="177">
        <v>526</v>
      </c>
      <c r="E4" s="177" t="s">
        <v>324</v>
      </c>
      <c r="F4" s="177" t="s">
        <v>325</v>
      </c>
      <c r="G4" s="177" t="s">
        <v>238</v>
      </c>
      <c r="H4" s="177" t="s">
        <v>326</v>
      </c>
      <c r="I4" s="177">
        <v>951220</v>
      </c>
      <c r="J4" s="174" t="s">
        <v>314</v>
      </c>
      <c r="K4" s="174" t="s">
        <v>218</v>
      </c>
      <c r="L4" s="102">
        <v>623.10799999999995</v>
      </c>
      <c r="M4" s="145">
        <v>440.03</v>
      </c>
      <c r="N4" s="177">
        <f t="shared" ref="N4:N13" si="0">L4-M4</f>
        <v>183.07799999999997</v>
      </c>
      <c r="O4" s="175">
        <f t="shared" ref="O4:O35" si="1">M4/L4</f>
        <v>0.70618576554947132</v>
      </c>
    </row>
    <row r="5" spans="1:15">
      <c r="A5" s="107" t="s">
        <v>345</v>
      </c>
      <c r="B5" s="177" t="s">
        <v>323</v>
      </c>
      <c r="C5" s="98">
        <v>43889</v>
      </c>
      <c r="D5" s="174">
        <v>647</v>
      </c>
      <c r="E5" s="174" t="s">
        <v>324</v>
      </c>
      <c r="F5" s="177" t="s">
        <v>325</v>
      </c>
      <c r="G5" s="107" t="s">
        <v>238</v>
      </c>
      <c r="H5" s="174" t="s">
        <v>346</v>
      </c>
      <c r="I5" s="174">
        <v>951206</v>
      </c>
      <c r="J5" s="174" t="s">
        <v>314</v>
      </c>
      <c r="K5" s="174" t="s">
        <v>218</v>
      </c>
      <c r="L5" s="176">
        <v>934.66200000000003</v>
      </c>
      <c r="M5" s="141">
        <v>196.541</v>
      </c>
      <c r="N5" s="177">
        <f t="shared" si="0"/>
        <v>738.12100000000009</v>
      </c>
      <c r="O5" s="175">
        <f t="shared" si="1"/>
        <v>0.21028029383884225</v>
      </c>
    </row>
    <row r="6" spans="1:15">
      <c r="A6" s="109" t="s">
        <v>351</v>
      </c>
      <c r="B6" s="177" t="s">
        <v>323</v>
      </c>
      <c r="C6" s="98">
        <v>43893</v>
      </c>
      <c r="D6" s="174">
        <v>668</v>
      </c>
      <c r="E6" s="174" t="s">
        <v>324</v>
      </c>
      <c r="F6" s="174" t="s">
        <v>311</v>
      </c>
      <c r="G6" s="109" t="s">
        <v>239</v>
      </c>
      <c r="H6" s="174" t="s">
        <v>352</v>
      </c>
      <c r="I6" s="174">
        <v>965369</v>
      </c>
      <c r="J6" s="174" t="s">
        <v>314</v>
      </c>
      <c r="K6" s="174" t="s">
        <v>217</v>
      </c>
      <c r="L6" s="176">
        <v>230</v>
      </c>
      <c r="M6" s="141">
        <v>4.4260000000000002</v>
      </c>
      <c r="N6" s="177">
        <f t="shared" si="0"/>
        <v>225.57400000000001</v>
      </c>
      <c r="O6" s="175">
        <f t="shared" si="1"/>
        <v>1.9243478260869567E-2</v>
      </c>
    </row>
    <row r="7" spans="1:15">
      <c r="A7" s="109" t="s">
        <v>351</v>
      </c>
      <c r="B7" s="177" t="s">
        <v>323</v>
      </c>
      <c r="C7" s="98">
        <v>43893</v>
      </c>
      <c r="D7" s="174">
        <v>668</v>
      </c>
      <c r="E7" s="174" t="s">
        <v>324</v>
      </c>
      <c r="F7" s="174" t="s">
        <v>311</v>
      </c>
      <c r="G7" s="154" t="s">
        <v>239</v>
      </c>
      <c r="H7" s="174" t="s">
        <v>353</v>
      </c>
      <c r="I7" s="174">
        <v>967455</v>
      </c>
      <c r="J7" s="174" t="s">
        <v>314</v>
      </c>
      <c r="K7" s="174" t="s">
        <v>217</v>
      </c>
      <c r="L7" s="176">
        <v>20</v>
      </c>
      <c r="M7" s="141">
        <v>0.79300000000000004</v>
      </c>
      <c r="N7" s="177">
        <f t="shared" si="0"/>
        <v>19.207000000000001</v>
      </c>
      <c r="O7" s="175">
        <f t="shared" si="1"/>
        <v>3.9650000000000005E-2</v>
      </c>
    </row>
    <row r="8" spans="1:15">
      <c r="A8" s="174" t="s">
        <v>351</v>
      </c>
      <c r="B8" s="111" t="s">
        <v>323</v>
      </c>
      <c r="C8" s="98">
        <v>43893</v>
      </c>
      <c r="D8" s="174">
        <v>668</v>
      </c>
      <c r="E8" s="174" t="s">
        <v>324</v>
      </c>
      <c r="F8" s="174" t="s">
        <v>311</v>
      </c>
      <c r="G8" s="174" t="s">
        <v>239</v>
      </c>
      <c r="H8" s="174" t="s">
        <v>354</v>
      </c>
      <c r="I8" s="174">
        <v>964021</v>
      </c>
      <c r="J8" s="109" t="s">
        <v>314</v>
      </c>
      <c r="K8" s="109" t="s">
        <v>217</v>
      </c>
      <c r="L8" s="176">
        <v>10</v>
      </c>
      <c r="M8" s="141">
        <v>0.83699999999999997</v>
      </c>
      <c r="N8" s="111">
        <f t="shared" si="0"/>
        <v>9.1630000000000003</v>
      </c>
      <c r="O8" s="110">
        <f t="shared" si="1"/>
        <v>8.3699999999999997E-2</v>
      </c>
    </row>
    <row r="9" spans="1:15">
      <c r="A9" s="109" t="s">
        <v>351</v>
      </c>
      <c r="B9" s="111" t="s">
        <v>323</v>
      </c>
      <c r="C9" s="98">
        <v>43893</v>
      </c>
      <c r="D9" s="109">
        <v>668</v>
      </c>
      <c r="E9" s="109" t="s">
        <v>324</v>
      </c>
      <c r="F9" s="174" t="s">
        <v>311</v>
      </c>
      <c r="G9" s="154" t="s">
        <v>239</v>
      </c>
      <c r="H9" s="109" t="s">
        <v>352</v>
      </c>
      <c r="I9" s="109">
        <v>965369</v>
      </c>
      <c r="J9" s="109" t="s">
        <v>314</v>
      </c>
      <c r="K9" s="109" t="s">
        <v>218</v>
      </c>
      <c r="L9" s="118">
        <v>1355</v>
      </c>
      <c r="M9" s="141">
        <v>643.57299999999998</v>
      </c>
      <c r="N9" s="111">
        <f t="shared" si="0"/>
        <v>711.42700000000002</v>
      </c>
      <c r="O9" s="110">
        <f t="shared" si="1"/>
        <v>0.47496162361623617</v>
      </c>
    </row>
    <row r="10" spans="1:15">
      <c r="A10" s="109" t="s">
        <v>351</v>
      </c>
      <c r="B10" s="111" t="s">
        <v>323</v>
      </c>
      <c r="C10" s="98">
        <v>43893</v>
      </c>
      <c r="D10" s="109">
        <v>668</v>
      </c>
      <c r="E10" s="109" t="s">
        <v>324</v>
      </c>
      <c r="F10" s="109" t="s">
        <v>311</v>
      </c>
      <c r="G10" s="154" t="s">
        <v>239</v>
      </c>
      <c r="H10" s="109" t="s">
        <v>353</v>
      </c>
      <c r="I10" s="109">
        <v>967455</v>
      </c>
      <c r="J10" s="109" t="s">
        <v>314</v>
      </c>
      <c r="K10" s="109" t="s">
        <v>218</v>
      </c>
      <c r="L10" s="118">
        <v>480</v>
      </c>
      <c r="M10" s="141">
        <v>196.68</v>
      </c>
      <c r="N10" s="111">
        <f t="shared" si="0"/>
        <v>283.32</v>
      </c>
      <c r="O10" s="110">
        <f t="shared" si="1"/>
        <v>0.40975</v>
      </c>
    </row>
    <row r="11" spans="1:15">
      <c r="A11" s="109" t="s">
        <v>351</v>
      </c>
      <c r="B11" s="122" t="s">
        <v>323</v>
      </c>
      <c r="C11" s="98">
        <v>43893</v>
      </c>
      <c r="D11" s="109">
        <v>668</v>
      </c>
      <c r="E11" s="109" t="s">
        <v>324</v>
      </c>
      <c r="F11" s="109" t="s">
        <v>311</v>
      </c>
      <c r="G11" s="154" t="s">
        <v>239</v>
      </c>
      <c r="H11" s="109" t="s">
        <v>354</v>
      </c>
      <c r="I11" s="109">
        <v>964021</v>
      </c>
      <c r="J11" s="109" t="s">
        <v>314</v>
      </c>
      <c r="K11" s="109" t="s">
        <v>218</v>
      </c>
      <c r="L11" s="118">
        <v>90</v>
      </c>
      <c r="M11" s="141">
        <v>99.113</v>
      </c>
      <c r="N11" s="111">
        <f t="shared" si="0"/>
        <v>-9.1129999999999995</v>
      </c>
      <c r="O11" s="110">
        <f t="shared" si="1"/>
        <v>1.1012555555555557</v>
      </c>
    </row>
    <row r="12" spans="1:15">
      <c r="A12" s="121" t="s">
        <v>345</v>
      </c>
      <c r="B12" s="122" t="s">
        <v>323</v>
      </c>
      <c r="C12" s="117">
        <v>43896</v>
      </c>
      <c r="D12" s="116">
        <v>730</v>
      </c>
      <c r="E12" s="121" t="s">
        <v>324</v>
      </c>
      <c r="F12" s="177" t="s">
        <v>325</v>
      </c>
      <c r="G12" s="121" t="s">
        <v>238</v>
      </c>
      <c r="H12" s="121" t="s">
        <v>346</v>
      </c>
      <c r="I12" s="121">
        <v>951206</v>
      </c>
      <c r="J12" s="121" t="s">
        <v>314</v>
      </c>
      <c r="K12" s="121" t="s">
        <v>217</v>
      </c>
      <c r="L12" s="118">
        <v>701.66099999999994</v>
      </c>
      <c r="M12" s="141">
        <v>372.71899999999999</v>
      </c>
      <c r="N12" s="174">
        <f t="shared" si="0"/>
        <v>328.94199999999995</v>
      </c>
      <c r="O12" s="151">
        <f t="shared" si="1"/>
        <v>0.53119526380973148</v>
      </c>
    </row>
    <row r="13" spans="1:15">
      <c r="A13" s="116" t="s">
        <v>364</v>
      </c>
      <c r="B13" s="122" t="s">
        <v>323</v>
      </c>
      <c r="C13" s="117">
        <v>43896</v>
      </c>
      <c r="D13" s="116">
        <v>731</v>
      </c>
      <c r="E13" s="121" t="s">
        <v>324</v>
      </c>
      <c r="F13" s="177" t="s">
        <v>325</v>
      </c>
      <c r="G13" s="121" t="s">
        <v>238</v>
      </c>
      <c r="H13" s="176" t="s">
        <v>365</v>
      </c>
      <c r="I13" s="116">
        <v>961067</v>
      </c>
      <c r="J13" s="116" t="s">
        <v>314</v>
      </c>
      <c r="K13" s="121" t="s">
        <v>218</v>
      </c>
      <c r="L13" s="118">
        <v>934.65899999999999</v>
      </c>
      <c r="M13" s="174"/>
      <c r="N13" s="174">
        <f t="shared" si="0"/>
        <v>934.65899999999999</v>
      </c>
      <c r="O13" s="151">
        <f t="shared" si="1"/>
        <v>0</v>
      </c>
    </row>
    <row r="14" spans="1:15">
      <c r="A14" s="116" t="s">
        <v>366</v>
      </c>
      <c r="B14" s="174" t="s">
        <v>323</v>
      </c>
      <c r="C14" s="117">
        <v>43896</v>
      </c>
      <c r="D14" s="116">
        <v>732</v>
      </c>
      <c r="E14" s="116" t="s">
        <v>324</v>
      </c>
      <c r="F14" s="116" t="s">
        <v>325</v>
      </c>
      <c r="G14" s="116" t="s">
        <v>238</v>
      </c>
      <c r="H14" s="176" t="s">
        <v>346</v>
      </c>
      <c r="I14" s="116">
        <v>951206</v>
      </c>
      <c r="J14" s="116" t="s">
        <v>314</v>
      </c>
      <c r="K14" s="116" t="s">
        <v>217</v>
      </c>
      <c r="L14" s="118">
        <v>701.66</v>
      </c>
      <c r="M14" s="174"/>
      <c r="N14" s="174">
        <v>701.66</v>
      </c>
      <c r="O14" s="151">
        <f t="shared" si="1"/>
        <v>0</v>
      </c>
    </row>
    <row r="15" spans="1:15">
      <c r="A15" s="134" t="s">
        <v>414</v>
      </c>
      <c r="B15" s="128" t="s">
        <v>323</v>
      </c>
      <c r="C15" s="129">
        <v>43914</v>
      </c>
      <c r="D15" s="128">
        <v>853</v>
      </c>
      <c r="E15" s="128" t="s">
        <v>324</v>
      </c>
      <c r="F15" s="128" t="s">
        <v>325</v>
      </c>
      <c r="G15" s="134" t="s">
        <v>239</v>
      </c>
      <c r="H15" s="128" t="s">
        <v>428</v>
      </c>
      <c r="I15" s="128">
        <v>966686</v>
      </c>
      <c r="J15" s="128" t="s">
        <v>314</v>
      </c>
      <c r="K15" s="128" t="s">
        <v>217</v>
      </c>
      <c r="L15" s="136">
        <v>100</v>
      </c>
      <c r="M15" s="128"/>
      <c r="N15" s="128">
        <f t="shared" ref="N15:N57" si="2">L15-M15</f>
        <v>100</v>
      </c>
      <c r="O15" s="130">
        <f t="shared" si="1"/>
        <v>0</v>
      </c>
    </row>
    <row r="16" spans="1:15">
      <c r="A16" s="134" t="s">
        <v>414</v>
      </c>
      <c r="B16" s="128" t="s">
        <v>323</v>
      </c>
      <c r="C16" s="129">
        <v>43914</v>
      </c>
      <c r="D16" s="128">
        <v>853</v>
      </c>
      <c r="E16" s="128" t="s">
        <v>324</v>
      </c>
      <c r="F16" s="128" t="s">
        <v>325</v>
      </c>
      <c r="G16" s="134" t="s">
        <v>239</v>
      </c>
      <c r="H16" s="128" t="s">
        <v>428</v>
      </c>
      <c r="I16" s="128">
        <v>966686</v>
      </c>
      <c r="J16" s="128" t="s">
        <v>314</v>
      </c>
      <c r="K16" s="128" t="s">
        <v>218</v>
      </c>
      <c r="L16" s="136">
        <v>550</v>
      </c>
      <c r="M16" s="140">
        <v>648.14200000000005</v>
      </c>
      <c r="N16" s="128">
        <f t="shared" si="2"/>
        <v>-98.142000000000053</v>
      </c>
      <c r="O16" s="130">
        <f t="shared" si="1"/>
        <v>1.1784400000000002</v>
      </c>
    </row>
    <row r="17" spans="1:15">
      <c r="A17" s="134" t="s">
        <v>414</v>
      </c>
      <c r="B17" s="128" t="s">
        <v>323</v>
      </c>
      <c r="C17" s="129">
        <v>43914</v>
      </c>
      <c r="D17" s="128">
        <v>853</v>
      </c>
      <c r="E17" s="128" t="s">
        <v>324</v>
      </c>
      <c r="F17" s="128" t="s">
        <v>325</v>
      </c>
      <c r="G17" s="134" t="s">
        <v>239</v>
      </c>
      <c r="H17" s="128" t="s">
        <v>429</v>
      </c>
      <c r="I17" s="128">
        <v>951113</v>
      </c>
      <c r="J17" s="128" t="s">
        <v>314</v>
      </c>
      <c r="K17" s="128" t="s">
        <v>217</v>
      </c>
      <c r="L17" s="136">
        <v>100</v>
      </c>
      <c r="M17" s="140">
        <v>2.1549999999999998</v>
      </c>
      <c r="N17" s="128">
        <f t="shared" si="2"/>
        <v>97.844999999999999</v>
      </c>
      <c r="O17" s="130">
        <f t="shared" si="1"/>
        <v>2.155E-2</v>
      </c>
    </row>
    <row r="18" spans="1:15">
      <c r="A18" s="134" t="s">
        <v>414</v>
      </c>
      <c r="B18" s="128" t="s">
        <v>323</v>
      </c>
      <c r="C18" s="129">
        <v>43914</v>
      </c>
      <c r="D18" s="128">
        <v>853</v>
      </c>
      <c r="E18" s="128" t="s">
        <v>324</v>
      </c>
      <c r="F18" s="128" t="s">
        <v>325</v>
      </c>
      <c r="G18" s="134" t="s">
        <v>239</v>
      </c>
      <c r="H18" s="128" t="s">
        <v>429</v>
      </c>
      <c r="I18" s="128">
        <v>951113</v>
      </c>
      <c r="J18" s="128" t="s">
        <v>314</v>
      </c>
      <c r="K18" s="128" t="s">
        <v>218</v>
      </c>
      <c r="L18" s="136">
        <v>550</v>
      </c>
      <c r="M18" s="140">
        <v>592.16899999999998</v>
      </c>
      <c r="N18" s="128">
        <f t="shared" si="2"/>
        <v>-42.168999999999983</v>
      </c>
      <c r="O18" s="130">
        <f t="shared" si="1"/>
        <v>1.076670909090909</v>
      </c>
    </row>
    <row r="19" spans="1:15">
      <c r="A19" s="157" t="s">
        <v>414</v>
      </c>
      <c r="B19" s="128" t="s">
        <v>323</v>
      </c>
      <c r="C19" s="117">
        <v>43944</v>
      </c>
      <c r="D19" s="116">
        <v>1080</v>
      </c>
      <c r="E19" s="128" t="s">
        <v>324</v>
      </c>
      <c r="F19" s="128" t="s">
        <v>325</v>
      </c>
      <c r="G19" s="157" t="s">
        <v>238</v>
      </c>
      <c r="H19" s="118" t="s">
        <v>492</v>
      </c>
      <c r="I19" s="116">
        <v>915627</v>
      </c>
      <c r="J19" s="128" t="s">
        <v>314</v>
      </c>
      <c r="K19" s="128" t="s">
        <v>217</v>
      </c>
      <c r="L19" s="118">
        <v>19</v>
      </c>
      <c r="M19" s="116"/>
      <c r="N19" s="128">
        <f t="shared" si="2"/>
        <v>19</v>
      </c>
      <c r="O19" s="130">
        <f t="shared" si="1"/>
        <v>0</v>
      </c>
    </row>
    <row r="20" spans="1:15">
      <c r="A20" s="157" t="s">
        <v>414</v>
      </c>
      <c r="B20" s="128" t="s">
        <v>323</v>
      </c>
      <c r="C20" s="117">
        <v>43944</v>
      </c>
      <c r="D20" s="157">
        <v>1080</v>
      </c>
      <c r="E20" s="128" t="s">
        <v>324</v>
      </c>
      <c r="F20" s="128" t="s">
        <v>325</v>
      </c>
      <c r="G20" s="157" t="s">
        <v>238</v>
      </c>
      <c r="H20" s="118" t="s">
        <v>492</v>
      </c>
      <c r="I20" s="157">
        <v>915627</v>
      </c>
      <c r="J20" s="128" t="s">
        <v>314</v>
      </c>
      <c r="K20" s="128" t="s">
        <v>218</v>
      </c>
      <c r="L20" s="118">
        <v>130</v>
      </c>
      <c r="M20" s="116"/>
      <c r="N20" s="128">
        <f t="shared" si="2"/>
        <v>130</v>
      </c>
      <c r="O20" s="130">
        <f t="shared" si="1"/>
        <v>0</v>
      </c>
    </row>
    <row r="21" spans="1:15">
      <c r="A21" s="157" t="s">
        <v>414</v>
      </c>
      <c r="B21" s="128" t="s">
        <v>323</v>
      </c>
      <c r="C21" s="117">
        <v>43944</v>
      </c>
      <c r="D21" s="157">
        <v>1080</v>
      </c>
      <c r="E21" s="128" t="s">
        <v>324</v>
      </c>
      <c r="F21" s="128" t="s">
        <v>325</v>
      </c>
      <c r="G21" s="157" t="s">
        <v>238</v>
      </c>
      <c r="H21" s="118" t="s">
        <v>346</v>
      </c>
      <c r="I21" s="116">
        <v>951206</v>
      </c>
      <c r="J21" s="128" t="s">
        <v>314</v>
      </c>
      <c r="K21" s="128" t="s">
        <v>217</v>
      </c>
      <c r="L21" s="118">
        <v>145</v>
      </c>
      <c r="M21" s="141">
        <v>143.911</v>
      </c>
      <c r="N21" s="128">
        <f t="shared" si="2"/>
        <v>1.0889999999999986</v>
      </c>
      <c r="O21" s="130">
        <f t="shared" si="1"/>
        <v>0.99248965517241383</v>
      </c>
    </row>
    <row r="22" spans="1:15">
      <c r="A22" s="157" t="s">
        <v>414</v>
      </c>
      <c r="B22" s="128" t="s">
        <v>323</v>
      </c>
      <c r="C22" s="117">
        <v>43944</v>
      </c>
      <c r="D22" s="157">
        <v>1080</v>
      </c>
      <c r="E22" s="128" t="s">
        <v>324</v>
      </c>
      <c r="F22" s="128" t="s">
        <v>325</v>
      </c>
      <c r="G22" s="157" t="s">
        <v>238</v>
      </c>
      <c r="H22" s="118" t="s">
        <v>346</v>
      </c>
      <c r="I22" s="157">
        <v>951206</v>
      </c>
      <c r="J22" s="128" t="s">
        <v>314</v>
      </c>
      <c r="K22" s="128" t="s">
        <v>218</v>
      </c>
      <c r="L22" s="118">
        <v>290</v>
      </c>
      <c r="M22" s="141">
        <v>289.49299999999999</v>
      </c>
      <c r="N22" s="128">
        <f t="shared" si="2"/>
        <v>0.507000000000005</v>
      </c>
      <c r="O22" s="130">
        <f t="shared" si="1"/>
        <v>0.99825172413793106</v>
      </c>
    </row>
    <row r="23" spans="1:15">
      <c r="A23" s="157" t="s">
        <v>414</v>
      </c>
      <c r="B23" s="128" t="s">
        <v>323</v>
      </c>
      <c r="C23" s="117">
        <v>43944</v>
      </c>
      <c r="D23" s="157">
        <v>1080</v>
      </c>
      <c r="E23" s="128" t="s">
        <v>324</v>
      </c>
      <c r="F23" s="128" t="s">
        <v>325</v>
      </c>
      <c r="G23" s="157" t="s">
        <v>238</v>
      </c>
      <c r="H23" s="118" t="s">
        <v>493</v>
      </c>
      <c r="I23" s="116">
        <v>961132</v>
      </c>
      <c r="J23" s="128" t="s">
        <v>314</v>
      </c>
      <c r="K23" s="128" t="s">
        <v>217</v>
      </c>
      <c r="L23" s="118">
        <v>145</v>
      </c>
      <c r="M23" s="116"/>
      <c r="N23" s="128">
        <f t="shared" si="2"/>
        <v>145</v>
      </c>
      <c r="O23" s="130">
        <f t="shared" si="1"/>
        <v>0</v>
      </c>
    </row>
    <row r="24" spans="1:15">
      <c r="A24" s="157" t="s">
        <v>414</v>
      </c>
      <c r="B24" s="128" t="s">
        <v>323</v>
      </c>
      <c r="C24" s="117">
        <v>43944</v>
      </c>
      <c r="D24" s="157">
        <v>1080</v>
      </c>
      <c r="E24" s="128" t="s">
        <v>324</v>
      </c>
      <c r="F24" s="128" t="s">
        <v>325</v>
      </c>
      <c r="G24" s="157" t="s">
        <v>238</v>
      </c>
      <c r="H24" s="118" t="s">
        <v>493</v>
      </c>
      <c r="I24" s="157">
        <v>961132</v>
      </c>
      <c r="J24" s="128" t="s">
        <v>314</v>
      </c>
      <c r="K24" s="128" t="s">
        <v>218</v>
      </c>
      <c r="L24" s="118">
        <v>290</v>
      </c>
      <c r="M24" s="116"/>
      <c r="N24" s="128">
        <f t="shared" si="2"/>
        <v>290</v>
      </c>
      <c r="O24" s="130">
        <f t="shared" si="1"/>
        <v>0</v>
      </c>
    </row>
    <row r="25" spans="1:15">
      <c r="A25" s="157" t="s">
        <v>414</v>
      </c>
      <c r="B25" s="128" t="s">
        <v>323</v>
      </c>
      <c r="C25" s="117">
        <v>43944</v>
      </c>
      <c r="D25" s="157">
        <v>1080</v>
      </c>
      <c r="E25" s="128" t="s">
        <v>324</v>
      </c>
      <c r="F25" s="128" t="s">
        <v>325</v>
      </c>
      <c r="G25" s="157" t="s">
        <v>238</v>
      </c>
      <c r="H25" s="118" t="s">
        <v>494</v>
      </c>
      <c r="I25" s="116">
        <v>966969</v>
      </c>
      <c r="J25" s="128" t="s">
        <v>314</v>
      </c>
      <c r="K25" s="128" t="s">
        <v>217</v>
      </c>
      <c r="L25" s="118">
        <v>110</v>
      </c>
      <c r="M25" s="116"/>
      <c r="N25" s="128">
        <f t="shared" si="2"/>
        <v>110</v>
      </c>
      <c r="O25" s="130">
        <f t="shared" si="1"/>
        <v>0</v>
      </c>
    </row>
    <row r="26" spans="1:15">
      <c r="A26" s="157" t="s">
        <v>414</v>
      </c>
      <c r="B26" s="128" t="s">
        <v>323</v>
      </c>
      <c r="C26" s="117">
        <v>43944</v>
      </c>
      <c r="D26" s="157">
        <v>1080</v>
      </c>
      <c r="E26" s="128" t="s">
        <v>324</v>
      </c>
      <c r="F26" s="128" t="s">
        <v>325</v>
      </c>
      <c r="G26" s="157" t="s">
        <v>238</v>
      </c>
      <c r="H26" s="118" t="s">
        <v>494</v>
      </c>
      <c r="I26" s="157">
        <v>966969</v>
      </c>
      <c r="J26" s="128" t="s">
        <v>314</v>
      </c>
      <c r="K26" s="128" t="s">
        <v>218</v>
      </c>
      <c r="L26" s="118">
        <v>270</v>
      </c>
      <c r="M26" s="141">
        <v>71.05</v>
      </c>
      <c r="N26" s="128">
        <f t="shared" si="2"/>
        <v>198.95</v>
      </c>
      <c r="O26" s="130">
        <f t="shared" si="1"/>
        <v>0.26314814814814813</v>
      </c>
    </row>
    <row r="27" spans="1:15">
      <c r="A27" s="157" t="s">
        <v>414</v>
      </c>
      <c r="B27" s="128" t="s">
        <v>323</v>
      </c>
      <c r="C27" s="117">
        <v>43944</v>
      </c>
      <c r="D27" s="157">
        <v>1080</v>
      </c>
      <c r="E27" s="128" t="s">
        <v>324</v>
      </c>
      <c r="F27" s="128" t="s">
        <v>325</v>
      </c>
      <c r="G27" s="157" t="s">
        <v>238</v>
      </c>
      <c r="H27" s="118" t="s">
        <v>326</v>
      </c>
      <c r="I27" s="116">
        <v>951220</v>
      </c>
      <c r="J27" s="128" t="s">
        <v>314</v>
      </c>
      <c r="K27" s="128" t="s">
        <v>217</v>
      </c>
      <c r="L27" s="118">
        <v>145</v>
      </c>
      <c r="M27" s="116"/>
      <c r="N27" s="128">
        <f t="shared" si="2"/>
        <v>145</v>
      </c>
      <c r="O27" s="130">
        <f t="shared" si="1"/>
        <v>0</v>
      </c>
    </row>
    <row r="28" spans="1:15">
      <c r="A28" s="157" t="s">
        <v>414</v>
      </c>
      <c r="B28" s="128" t="s">
        <v>323</v>
      </c>
      <c r="C28" s="117">
        <v>43944</v>
      </c>
      <c r="D28" s="157">
        <v>1080</v>
      </c>
      <c r="E28" s="128" t="s">
        <v>324</v>
      </c>
      <c r="F28" s="128" t="s">
        <v>325</v>
      </c>
      <c r="G28" s="157" t="s">
        <v>238</v>
      </c>
      <c r="H28" s="118" t="s">
        <v>326</v>
      </c>
      <c r="I28" s="157">
        <v>951220</v>
      </c>
      <c r="J28" s="128" t="s">
        <v>314</v>
      </c>
      <c r="K28" s="128" t="s">
        <v>218</v>
      </c>
      <c r="L28" s="118">
        <v>290</v>
      </c>
      <c r="M28" s="116"/>
      <c r="N28" s="128">
        <f t="shared" si="2"/>
        <v>290</v>
      </c>
      <c r="O28" s="130">
        <f t="shared" si="1"/>
        <v>0</v>
      </c>
    </row>
    <row r="29" spans="1:15">
      <c r="A29" s="157" t="s">
        <v>414</v>
      </c>
      <c r="B29" s="128" t="s">
        <v>323</v>
      </c>
      <c r="C29" s="117">
        <v>43944</v>
      </c>
      <c r="D29" s="157">
        <v>1080</v>
      </c>
      <c r="E29" s="128" t="s">
        <v>324</v>
      </c>
      <c r="F29" s="128" t="s">
        <v>325</v>
      </c>
      <c r="G29" s="157" t="s">
        <v>238</v>
      </c>
      <c r="H29" s="118" t="s">
        <v>495</v>
      </c>
      <c r="I29" s="116">
        <v>957377</v>
      </c>
      <c r="J29" s="128" t="s">
        <v>314</v>
      </c>
      <c r="K29" s="128" t="s">
        <v>217</v>
      </c>
      <c r="L29" s="118">
        <v>145</v>
      </c>
      <c r="M29" s="116"/>
      <c r="N29" s="128">
        <f t="shared" si="2"/>
        <v>145</v>
      </c>
      <c r="O29" s="130">
        <f t="shared" si="1"/>
        <v>0</v>
      </c>
    </row>
    <row r="30" spans="1:15">
      <c r="A30" s="157" t="s">
        <v>414</v>
      </c>
      <c r="B30" s="128" t="s">
        <v>323</v>
      </c>
      <c r="C30" s="117">
        <v>43944</v>
      </c>
      <c r="D30" s="157">
        <v>1080</v>
      </c>
      <c r="E30" s="128" t="s">
        <v>324</v>
      </c>
      <c r="F30" s="128" t="s">
        <v>325</v>
      </c>
      <c r="G30" s="157" t="s">
        <v>238</v>
      </c>
      <c r="H30" s="118" t="s">
        <v>495</v>
      </c>
      <c r="I30" s="157">
        <v>957377</v>
      </c>
      <c r="J30" s="128" t="s">
        <v>314</v>
      </c>
      <c r="K30" s="128" t="s">
        <v>218</v>
      </c>
      <c r="L30" s="118">
        <v>290</v>
      </c>
      <c r="M30" s="141">
        <v>72.594999999999999</v>
      </c>
      <c r="N30" s="128">
        <f t="shared" si="2"/>
        <v>217.405</v>
      </c>
      <c r="O30" s="130">
        <f t="shared" si="1"/>
        <v>0.25032758620689655</v>
      </c>
    </row>
    <row r="31" spans="1:15">
      <c r="A31" s="157" t="s">
        <v>414</v>
      </c>
      <c r="B31" s="128" t="s">
        <v>323</v>
      </c>
      <c r="C31" s="117">
        <v>43944</v>
      </c>
      <c r="D31" s="157">
        <v>1080</v>
      </c>
      <c r="E31" s="128" t="s">
        <v>324</v>
      </c>
      <c r="F31" s="128" t="s">
        <v>325</v>
      </c>
      <c r="G31" s="157" t="s">
        <v>238</v>
      </c>
      <c r="H31" s="118" t="s">
        <v>496</v>
      </c>
      <c r="I31" s="116">
        <v>958703</v>
      </c>
      <c r="J31" s="128" t="s">
        <v>314</v>
      </c>
      <c r="K31" s="128" t="s">
        <v>217</v>
      </c>
      <c r="L31" s="118">
        <v>140</v>
      </c>
      <c r="M31" s="116"/>
      <c r="N31" s="128">
        <f t="shared" si="2"/>
        <v>140</v>
      </c>
      <c r="O31" s="130">
        <f t="shared" si="1"/>
        <v>0</v>
      </c>
    </row>
    <row r="32" spans="1:15">
      <c r="A32" s="157" t="s">
        <v>414</v>
      </c>
      <c r="B32" s="128" t="s">
        <v>323</v>
      </c>
      <c r="C32" s="117">
        <v>43944</v>
      </c>
      <c r="D32" s="157">
        <v>1080</v>
      </c>
      <c r="E32" s="128" t="s">
        <v>324</v>
      </c>
      <c r="F32" s="128" t="s">
        <v>325</v>
      </c>
      <c r="G32" s="157" t="s">
        <v>238</v>
      </c>
      <c r="H32" s="118" t="s">
        <v>496</v>
      </c>
      <c r="I32" s="157">
        <v>958703</v>
      </c>
      <c r="J32" s="128" t="s">
        <v>314</v>
      </c>
      <c r="K32" s="128" t="s">
        <v>218</v>
      </c>
      <c r="L32" s="118">
        <v>290</v>
      </c>
      <c r="M32" s="116"/>
      <c r="N32" s="128">
        <f t="shared" si="2"/>
        <v>290</v>
      </c>
      <c r="O32" s="130">
        <f t="shared" si="1"/>
        <v>0</v>
      </c>
    </row>
    <row r="33" spans="1:15">
      <c r="A33" s="157" t="s">
        <v>414</v>
      </c>
      <c r="B33" s="128" t="s">
        <v>323</v>
      </c>
      <c r="C33" s="117">
        <v>43944</v>
      </c>
      <c r="D33" s="157">
        <v>1080</v>
      </c>
      <c r="E33" s="128" t="s">
        <v>324</v>
      </c>
      <c r="F33" s="128" t="s">
        <v>325</v>
      </c>
      <c r="G33" s="157" t="s">
        <v>238</v>
      </c>
      <c r="H33" s="118" t="s">
        <v>497</v>
      </c>
      <c r="I33" s="116">
        <v>925404</v>
      </c>
      <c r="J33" s="128" t="s">
        <v>314</v>
      </c>
      <c r="K33" s="128" t="s">
        <v>217</v>
      </c>
      <c r="L33" s="118">
        <v>145</v>
      </c>
      <c r="M33" s="116"/>
      <c r="N33" s="128">
        <f t="shared" si="2"/>
        <v>145</v>
      </c>
      <c r="O33" s="130">
        <f t="shared" si="1"/>
        <v>0</v>
      </c>
    </row>
    <row r="34" spans="1:15">
      <c r="A34" s="157" t="s">
        <v>414</v>
      </c>
      <c r="B34" s="128" t="s">
        <v>323</v>
      </c>
      <c r="C34" s="117">
        <v>43944</v>
      </c>
      <c r="D34" s="157">
        <v>1080</v>
      </c>
      <c r="E34" s="128" t="s">
        <v>324</v>
      </c>
      <c r="F34" s="128" t="s">
        <v>325</v>
      </c>
      <c r="G34" s="157" t="s">
        <v>238</v>
      </c>
      <c r="H34" s="118" t="s">
        <v>497</v>
      </c>
      <c r="I34" s="157">
        <v>925404</v>
      </c>
      <c r="J34" s="128" t="s">
        <v>314</v>
      </c>
      <c r="K34" s="128" t="s">
        <v>218</v>
      </c>
      <c r="L34" s="118">
        <v>290</v>
      </c>
      <c r="M34" s="116"/>
      <c r="N34" s="128">
        <f t="shared" si="2"/>
        <v>290</v>
      </c>
      <c r="O34" s="130">
        <f t="shared" si="1"/>
        <v>0</v>
      </c>
    </row>
    <row r="35" spans="1:15">
      <c r="A35" s="157" t="s">
        <v>414</v>
      </c>
      <c r="B35" s="128" t="s">
        <v>323</v>
      </c>
      <c r="C35" s="117">
        <v>43944</v>
      </c>
      <c r="D35" s="157">
        <v>1080</v>
      </c>
      <c r="E35" s="128" t="s">
        <v>324</v>
      </c>
      <c r="F35" s="128" t="s">
        <v>325</v>
      </c>
      <c r="G35" s="157" t="s">
        <v>238</v>
      </c>
      <c r="H35" s="118" t="s">
        <v>498</v>
      </c>
      <c r="I35" s="116">
        <v>11718</v>
      </c>
      <c r="J35" s="128" t="s">
        <v>314</v>
      </c>
      <c r="K35" s="128" t="s">
        <v>217</v>
      </c>
      <c r="L35" s="118">
        <v>145</v>
      </c>
      <c r="M35" s="141">
        <v>30.649000000000001</v>
      </c>
      <c r="N35" s="128">
        <f t="shared" si="2"/>
        <v>114.351</v>
      </c>
      <c r="O35" s="130">
        <f t="shared" si="1"/>
        <v>0.21137241379310345</v>
      </c>
    </row>
    <row r="36" spans="1:15">
      <c r="A36" s="157" t="s">
        <v>414</v>
      </c>
      <c r="B36" s="128" t="s">
        <v>323</v>
      </c>
      <c r="C36" s="117">
        <v>43944</v>
      </c>
      <c r="D36" s="157">
        <v>1080</v>
      </c>
      <c r="E36" s="128" t="s">
        <v>324</v>
      </c>
      <c r="F36" s="128" t="s">
        <v>325</v>
      </c>
      <c r="G36" s="157" t="s">
        <v>238</v>
      </c>
      <c r="H36" s="118" t="s">
        <v>498</v>
      </c>
      <c r="I36" s="157">
        <v>11718</v>
      </c>
      <c r="J36" s="128" t="s">
        <v>314</v>
      </c>
      <c r="K36" s="128" t="s">
        <v>218</v>
      </c>
      <c r="L36" s="118">
        <v>290</v>
      </c>
      <c r="M36" s="141">
        <v>71.914000000000001</v>
      </c>
      <c r="N36" s="128">
        <f t="shared" si="2"/>
        <v>218.08600000000001</v>
      </c>
      <c r="O36" s="130">
        <f t="shared" ref="O36:O64" si="3">M36/L36</f>
        <v>0.24797931034482759</v>
      </c>
    </row>
    <row r="37" spans="1:15">
      <c r="A37" s="157" t="s">
        <v>414</v>
      </c>
      <c r="B37" s="128" t="s">
        <v>323</v>
      </c>
      <c r="C37" s="117">
        <v>43944</v>
      </c>
      <c r="D37" s="157">
        <v>1080</v>
      </c>
      <c r="E37" s="128" t="s">
        <v>324</v>
      </c>
      <c r="F37" s="128" t="s">
        <v>325</v>
      </c>
      <c r="G37" s="157" t="s">
        <v>238</v>
      </c>
      <c r="H37" s="118" t="s">
        <v>499</v>
      </c>
      <c r="I37" s="116">
        <v>925451</v>
      </c>
      <c r="J37" s="128" t="s">
        <v>314</v>
      </c>
      <c r="K37" s="128" t="s">
        <v>217</v>
      </c>
      <c r="L37" s="118">
        <v>145</v>
      </c>
      <c r="M37" s="116"/>
      <c r="N37" s="128">
        <f t="shared" si="2"/>
        <v>145</v>
      </c>
      <c r="O37" s="130">
        <f t="shared" si="3"/>
        <v>0</v>
      </c>
    </row>
    <row r="38" spans="1:15">
      <c r="A38" s="157" t="s">
        <v>414</v>
      </c>
      <c r="B38" s="128" t="s">
        <v>323</v>
      </c>
      <c r="C38" s="117">
        <v>43944</v>
      </c>
      <c r="D38" s="157">
        <v>1080</v>
      </c>
      <c r="E38" s="128" t="s">
        <v>324</v>
      </c>
      <c r="F38" s="128" t="s">
        <v>325</v>
      </c>
      <c r="G38" s="157" t="s">
        <v>238</v>
      </c>
      <c r="H38" s="118" t="s">
        <v>499</v>
      </c>
      <c r="I38" s="157">
        <v>925451</v>
      </c>
      <c r="J38" s="128" t="s">
        <v>314</v>
      </c>
      <c r="K38" s="128" t="s">
        <v>218</v>
      </c>
      <c r="L38" s="118">
        <v>290</v>
      </c>
      <c r="M38" s="116"/>
      <c r="N38" s="128">
        <f t="shared" si="2"/>
        <v>290</v>
      </c>
      <c r="O38" s="130">
        <f t="shared" si="3"/>
        <v>0</v>
      </c>
    </row>
    <row r="39" spans="1:15">
      <c r="A39" s="157" t="s">
        <v>414</v>
      </c>
      <c r="B39" s="128" t="s">
        <v>323</v>
      </c>
      <c r="C39" s="117">
        <v>43944</v>
      </c>
      <c r="D39" s="157">
        <v>1080</v>
      </c>
      <c r="E39" s="128" t="s">
        <v>324</v>
      </c>
      <c r="F39" s="128" t="s">
        <v>325</v>
      </c>
      <c r="G39" s="157" t="s">
        <v>238</v>
      </c>
      <c r="H39" s="118" t="s">
        <v>500</v>
      </c>
      <c r="I39" s="116">
        <v>964500</v>
      </c>
      <c r="J39" s="128" t="s">
        <v>314</v>
      </c>
      <c r="K39" s="128" t="s">
        <v>217</v>
      </c>
      <c r="L39" s="118">
        <v>140</v>
      </c>
      <c r="M39" s="116"/>
      <c r="N39" s="128">
        <f t="shared" si="2"/>
        <v>140</v>
      </c>
      <c r="O39" s="130">
        <f t="shared" si="3"/>
        <v>0</v>
      </c>
    </row>
    <row r="40" spans="1:15">
      <c r="A40" s="157" t="s">
        <v>414</v>
      </c>
      <c r="B40" s="128" t="s">
        <v>323</v>
      </c>
      <c r="C40" s="117">
        <v>43944</v>
      </c>
      <c r="D40" s="157">
        <v>1080</v>
      </c>
      <c r="E40" s="128" t="s">
        <v>324</v>
      </c>
      <c r="F40" s="128" t="s">
        <v>325</v>
      </c>
      <c r="G40" s="157" t="s">
        <v>238</v>
      </c>
      <c r="H40" s="118" t="s">
        <v>500</v>
      </c>
      <c r="I40" s="157">
        <v>964500</v>
      </c>
      <c r="J40" s="128" t="s">
        <v>314</v>
      </c>
      <c r="K40" s="128" t="s">
        <v>218</v>
      </c>
      <c r="L40" s="118">
        <v>290</v>
      </c>
      <c r="M40" s="116"/>
      <c r="N40" s="128">
        <f t="shared" si="2"/>
        <v>290</v>
      </c>
      <c r="O40" s="130">
        <f t="shared" si="3"/>
        <v>0</v>
      </c>
    </row>
    <row r="41" spans="1:15">
      <c r="A41" s="157" t="s">
        <v>414</v>
      </c>
      <c r="B41" s="128" t="s">
        <v>323</v>
      </c>
      <c r="C41" s="117">
        <v>43944</v>
      </c>
      <c r="D41" s="157">
        <v>1080</v>
      </c>
      <c r="E41" s="128" t="s">
        <v>324</v>
      </c>
      <c r="F41" s="128" t="s">
        <v>325</v>
      </c>
      <c r="G41" s="157" t="s">
        <v>238</v>
      </c>
      <c r="H41" s="118" t="s">
        <v>501</v>
      </c>
      <c r="I41" s="116">
        <v>956970</v>
      </c>
      <c r="J41" s="128" t="s">
        <v>314</v>
      </c>
      <c r="K41" s="128" t="s">
        <v>217</v>
      </c>
      <c r="L41" s="118">
        <v>110</v>
      </c>
      <c r="M41" s="116"/>
      <c r="N41" s="128">
        <f t="shared" si="2"/>
        <v>110</v>
      </c>
      <c r="O41" s="130">
        <f t="shared" si="3"/>
        <v>0</v>
      </c>
    </row>
    <row r="42" spans="1:15">
      <c r="A42" s="157" t="s">
        <v>414</v>
      </c>
      <c r="B42" s="128" t="s">
        <v>323</v>
      </c>
      <c r="C42" s="117">
        <v>43944</v>
      </c>
      <c r="D42" s="157">
        <v>1080</v>
      </c>
      <c r="E42" s="128" t="s">
        <v>324</v>
      </c>
      <c r="F42" s="128" t="s">
        <v>325</v>
      </c>
      <c r="G42" s="157" t="s">
        <v>238</v>
      </c>
      <c r="H42" s="118" t="s">
        <v>501</v>
      </c>
      <c r="I42" s="157">
        <v>956970</v>
      </c>
      <c r="J42" s="128" t="s">
        <v>314</v>
      </c>
      <c r="K42" s="128" t="s">
        <v>218</v>
      </c>
      <c r="L42" s="118">
        <v>270</v>
      </c>
      <c r="M42" s="116"/>
      <c r="N42" s="128">
        <f t="shared" si="2"/>
        <v>270</v>
      </c>
      <c r="O42" s="130">
        <f t="shared" si="3"/>
        <v>0</v>
      </c>
    </row>
    <row r="43" spans="1:15">
      <c r="A43" s="157" t="s">
        <v>414</v>
      </c>
      <c r="B43" s="128" t="s">
        <v>323</v>
      </c>
      <c r="C43" s="117">
        <v>43944</v>
      </c>
      <c r="D43" s="157">
        <v>1080</v>
      </c>
      <c r="E43" s="128" t="s">
        <v>324</v>
      </c>
      <c r="F43" s="128" t="s">
        <v>325</v>
      </c>
      <c r="G43" s="157" t="s">
        <v>238</v>
      </c>
      <c r="H43" s="118" t="s">
        <v>502</v>
      </c>
      <c r="I43" s="116">
        <v>953746</v>
      </c>
      <c r="J43" s="128" t="s">
        <v>314</v>
      </c>
      <c r="K43" s="128" t="s">
        <v>217</v>
      </c>
      <c r="L43" s="118">
        <v>140</v>
      </c>
      <c r="M43" s="116"/>
      <c r="N43" s="128">
        <f t="shared" si="2"/>
        <v>140</v>
      </c>
      <c r="O43" s="130">
        <f t="shared" si="3"/>
        <v>0</v>
      </c>
    </row>
    <row r="44" spans="1:15">
      <c r="A44" s="157" t="s">
        <v>414</v>
      </c>
      <c r="B44" s="128" t="s">
        <v>323</v>
      </c>
      <c r="C44" s="117">
        <v>43944</v>
      </c>
      <c r="D44" s="157">
        <v>1080</v>
      </c>
      <c r="E44" s="128" t="s">
        <v>324</v>
      </c>
      <c r="F44" s="128" t="s">
        <v>325</v>
      </c>
      <c r="G44" s="157" t="s">
        <v>238</v>
      </c>
      <c r="H44" s="118" t="s">
        <v>502</v>
      </c>
      <c r="I44" s="157">
        <v>953746</v>
      </c>
      <c r="J44" s="128" t="s">
        <v>314</v>
      </c>
      <c r="K44" s="128" t="s">
        <v>218</v>
      </c>
      <c r="L44" s="118">
        <v>290</v>
      </c>
      <c r="M44" s="116"/>
      <c r="N44" s="128">
        <f t="shared" si="2"/>
        <v>290</v>
      </c>
      <c r="O44" s="130">
        <f t="shared" si="3"/>
        <v>0</v>
      </c>
    </row>
    <row r="45" spans="1:15">
      <c r="A45" s="157" t="s">
        <v>414</v>
      </c>
      <c r="B45" s="128" t="s">
        <v>323</v>
      </c>
      <c r="C45" s="117">
        <v>43944</v>
      </c>
      <c r="D45" s="157">
        <v>1080</v>
      </c>
      <c r="E45" s="128" t="s">
        <v>324</v>
      </c>
      <c r="F45" s="128" t="s">
        <v>325</v>
      </c>
      <c r="G45" s="157" t="s">
        <v>238</v>
      </c>
      <c r="H45" s="118" t="s">
        <v>503</v>
      </c>
      <c r="I45" s="116">
        <v>950656</v>
      </c>
      <c r="J45" s="128" t="s">
        <v>314</v>
      </c>
      <c r="K45" s="128" t="s">
        <v>217</v>
      </c>
      <c r="L45" s="118">
        <v>140</v>
      </c>
      <c r="M45" s="141">
        <v>4.6340000000000003</v>
      </c>
      <c r="N45" s="128">
        <f t="shared" si="2"/>
        <v>135.36599999999999</v>
      </c>
      <c r="O45" s="130">
        <f t="shared" si="3"/>
        <v>3.3100000000000004E-2</v>
      </c>
    </row>
    <row r="46" spans="1:15">
      <c r="A46" s="157" t="s">
        <v>414</v>
      </c>
      <c r="B46" s="128" t="s">
        <v>323</v>
      </c>
      <c r="C46" s="117">
        <v>43944</v>
      </c>
      <c r="D46" s="157">
        <v>1080</v>
      </c>
      <c r="E46" s="128" t="s">
        <v>324</v>
      </c>
      <c r="F46" s="128" t="s">
        <v>325</v>
      </c>
      <c r="G46" s="157" t="s">
        <v>238</v>
      </c>
      <c r="H46" s="118" t="s">
        <v>503</v>
      </c>
      <c r="I46" s="157">
        <v>950656</v>
      </c>
      <c r="J46" s="128" t="s">
        <v>314</v>
      </c>
      <c r="K46" s="128" t="s">
        <v>218</v>
      </c>
      <c r="L46" s="118">
        <v>290</v>
      </c>
      <c r="M46" s="141">
        <v>13.295999999999999</v>
      </c>
      <c r="N46" s="128">
        <f t="shared" si="2"/>
        <v>276.70400000000001</v>
      </c>
      <c r="O46" s="130">
        <f t="shared" si="3"/>
        <v>4.5848275862068966E-2</v>
      </c>
    </row>
    <row r="47" spans="1:15">
      <c r="A47" s="157" t="s">
        <v>414</v>
      </c>
      <c r="B47" s="128" t="s">
        <v>323</v>
      </c>
      <c r="C47" s="117">
        <v>43944</v>
      </c>
      <c r="D47" s="157">
        <v>1080</v>
      </c>
      <c r="E47" s="128" t="s">
        <v>324</v>
      </c>
      <c r="F47" s="128" t="s">
        <v>325</v>
      </c>
      <c r="G47" s="157" t="s">
        <v>238</v>
      </c>
      <c r="H47" s="118" t="s">
        <v>504</v>
      </c>
      <c r="I47" s="116">
        <v>956926</v>
      </c>
      <c r="J47" s="128" t="s">
        <v>314</v>
      </c>
      <c r="K47" s="128" t="s">
        <v>217</v>
      </c>
      <c r="L47" s="118">
        <v>145</v>
      </c>
      <c r="M47" s="141">
        <v>39.313000000000002</v>
      </c>
      <c r="N47" s="128">
        <f t="shared" si="2"/>
        <v>105.687</v>
      </c>
      <c r="O47" s="130">
        <f t="shared" si="3"/>
        <v>0.27112413793103451</v>
      </c>
    </row>
    <row r="48" spans="1:15">
      <c r="A48" s="157" t="s">
        <v>414</v>
      </c>
      <c r="B48" s="128" t="s">
        <v>323</v>
      </c>
      <c r="C48" s="117">
        <v>43944</v>
      </c>
      <c r="D48" s="157">
        <v>1080</v>
      </c>
      <c r="E48" s="128" t="s">
        <v>324</v>
      </c>
      <c r="F48" s="128" t="s">
        <v>325</v>
      </c>
      <c r="G48" s="157" t="s">
        <v>238</v>
      </c>
      <c r="H48" s="118" t="s">
        <v>504</v>
      </c>
      <c r="I48" s="157">
        <v>956926</v>
      </c>
      <c r="J48" s="128" t="s">
        <v>314</v>
      </c>
      <c r="K48" s="128" t="s">
        <v>218</v>
      </c>
      <c r="L48" s="118">
        <v>290</v>
      </c>
      <c r="M48" s="141">
        <v>348.029</v>
      </c>
      <c r="N48" s="128">
        <f t="shared" si="2"/>
        <v>-58.028999999999996</v>
      </c>
      <c r="O48" s="130">
        <f t="shared" si="3"/>
        <v>1.2000999999999999</v>
      </c>
    </row>
    <row r="49" spans="1:15">
      <c r="A49" s="157" t="s">
        <v>414</v>
      </c>
      <c r="B49" s="128" t="s">
        <v>323</v>
      </c>
      <c r="C49" s="117">
        <v>43944</v>
      </c>
      <c r="D49" s="157">
        <v>1080</v>
      </c>
      <c r="E49" s="128" t="s">
        <v>324</v>
      </c>
      <c r="F49" s="128" t="s">
        <v>325</v>
      </c>
      <c r="G49" s="157" t="s">
        <v>238</v>
      </c>
      <c r="H49" s="118" t="s">
        <v>365</v>
      </c>
      <c r="I49" s="116">
        <v>916067</v>
      </c>
      <c r="J49" s="128" t="s">
        <v>314</v>
      </c>
      <c r="K49" s="128" t="s">
        <v>217</v>
      </c>
      <c r="L49" s="118">
        <v>145</v>
      </c>
      <c r="M49" s="116"/>
      <c r="N49" s="128">
        <f t="shared" si="2"/>
        <v>145</v>
      </c>
      <c r="O49" s="130">
        <f t="shared" si="3"/>
        <v>0</v>
      </c>
    </row>
    <row r="50" spans="1:15">
      <c r="A50" s="157" t="s">
        <v>414</v>
      </c>
      <c r="B50" s="128" t="s">
        <v>323</v>
      </c>
      <c r="C50" s="117">
        <v>43944</v>
      </c>
      <c r="D50" s="157">
        <v>1080</v>
      </c>
      <c r="E50" s="128" t="s">
        <v>324</v>
      </c>
      <c r="F50" s="128" t="s">
        <v>325</v>
      </c>
      <c r="G50" s="157" t="s">
        <v>238</v>
      </c>
      <c r="H50" s="118" t="s">
        <v>365</v>
      </c>
      <c r="I50" s="157">
        <v>916067</v>
      </c>
      <c r="J50" s="128" t="s">
        <v>314</v>
      </c>
      <c r="K50" s="128" t="s">
        <v>218</v>
      </c>
      <c r="L50" s="118">
        <v>290</v>
      </c>
      <c r="M50" s="116"/>
      <c r="N50" s="128">
        <f t="shared" si="2"/>
        <v>290</v>
      </c>
      <c r="O50" s="130">
        <f t="shared" si="3"/>
        <v>0</v>
      </c>
    </row>
    <row r="51" spans="1:15">
      <c r="A51" s="157" t="s">
        <v>414</v>
      </c>
      <c r="B51" s="128" t="s">
        <v>323</v>
      </c>
      <c r="C51" s="117">
        <v>43944</v>
      </c>
      <c r="D51" s="157">
        <v>1080</v>
      </c>
      <c r="E51" s="128" t="s">
        <v>324</v>
      </c>
      <c r="F51" s="128" t="s">
        <v>325</v>
      </c>
      <c r="G51" s="157" t="s">
        <v>238</v>
      </c>
      <c r="H51" s="118" t="s">
        <v>505</v>
      </c>
      <c r="I51" s="116">
        <v>964972</v>
      </c>
      <c r="J51" s="128" t="s">
        <v>314</v>
      </c>
      <c r="K51" s="128" t="s">
        <v>217</v>
      </c>
      <c r="L51" s="118">
        <v>145</v>
      </c>
      <c r="M51" s="141">
        <v>9.91</v>
      </c>
      <c r="N51" s="128">
        <f t="shared" si="2"/>
        <v>135.09</v>
      </c>
      <c r="O51" s="130">
        <f t="shared" si="3"/>
        <v>6.8344827586206899E-2</v>
      </c>
    </row>
    <row r="52" spans="1:15">
      <c r="A52" s="157" t="s">
        <v>414</v>
      </c>
      <c r="B52" s="128" t="s">
        <v>323</v>
      </c>
      <c r="C52" s="117">
        <v>43944</v>
      </c>
      <c r="D52" s="157">
        <v>1080</v>
      </c>
      <c r="E52" s="128" t="s">
        <v>324</v>
      </c>
      <c r="F52" s="128" t="s">
        <v>325</v>
      </c>
      <c r="G52" s="157" t="s">
        <v>238</v>
      </c>
      <c r="H52" s="118" t="s">
        <v>505</v>
      </c>
      <c r="I52" s="157">
        <v>964972</v>
      </c>
      <c r="J52" s="128" t="s">
        <v>314</v>
      </c>
      <c r="K52" s="128" t="s">
        <v>218</v>
      </c>
      <c r="L52" s="118">
        <v>290</v>
      </c>
      <c r="M52" s="141">
        <v>134.71</v>
      </c>
      <c r="N52" s="128">
        <f t="shared" si="2"/>
        <v>155.29</v>
      </c>
      <c r="O52" s="130">
        <f t="shared" si="3"/>
        <v>0.46451724137931039</v>
      </c>
    </row>
    <row r="53" spans="1:15">
      <c r="A53" s="157" t="s">
        <v>414</v>
      </c>
      <c r="B53" s="128" t="s">
        <v>323</v>
      </c>
      <c r="C53" s="117">
        <v>43944</v>
      </c>
      <c r="D53" s="157">
        <v>1080</v>
      </c>
      <c r="E53" s="128" t="s">
        <v>324</v>
      </c>
      <c r="F53" s="128" t="s">
        <v>325</v>
      </c>
      <c r="G53" s="157" t="s">
        <v>238</v>
      </c>
      <c r="H53" s="118" t="s">
        <v>506</v>
      </c>
      <c r="I53" s="116">
        <v>966293</v>
      </c>
      <c r="J53" s="128" t="s">
        <v>314</v>
      </c>
      <c r="K53" s="128" t="s">
        <v>217</v>
      </c>
      <c r="L53" s="118">
        <v>19</v>
      </c>
      <c r="M53" s="116"/>
      <c r="N53" s="128">
        <f t="shared" si="2"/>
        <v>19</v>
      </c>
      <c r="O53" s="130">
        <f t="shared" si="3"/>
        <v>0</v>
      </c>
    </row>
    <row r="54" spans="1:15">
      <c r="A54" s="157" t="s">
        <v>414</v>
      </c>
      <c r="B54" s="128" t="s">
        <v>323</v>
      </c>
      <c r="C54" s="117">
        <v>43944</v>
      </c>
      <c r="D54" s="157">
        <v>1080</v>
      </c>
      <c r="E54" s="128" t="s">
        <v>324</v>
      </c>
      <c r="F54" s="128" t="s">
        <v>325</v>
      </c>
      <c r="G54" s="157" t="s">
        <v>238</v>
      </c>
      <c r="H54" s="118" t="s">
        <v>506</v>
      </c>
      <c r="I54" s="157">
        <v>966293</v>
      </c>
      <c r="J54" s="128" t="s">
        <v>314</v>
      </c>
      <c r="K54" s="128" t="s">
        <v>218</v>
      </c>
      <c r="L54" s="158">
        <v>80</v>
      </c>
      <c r="M54" s="116"/>
      <c r="N54" s="128">
        <f t="shared" si="2"/>
        <v>80</v>
      </c>
      <c r="O54" s="130">
        <f t="shared" si="3"/>
        <v>0</v>
      </c>
    </row>
    <row r="55" spans="1:15">
      <c r="A55" s="125" t="s">
        <v>530</v>
      </c>
      <c r="B55" s="128" t="s">
        <v>323</v>
      </c>
      <c r="C55" s="117">
        <v>43962</v>
      </c>
      <c r="D55" s="125">
        <v>1222</v>
      </c>
      <c r="E55" s="125" t="s">
        <v>324</v>
      </c>
      <c r="F55" s="168" t="s">
        <v>325</v>
      </c>
      <c r="G55" s="179" t="s">
        <v>238</v>
      </c>
      <c r="H55" s="133" t="s">
        <v>505</v>
      </c>
      <c r="I55" s="118">
        <v>964972</v>
      </c>
      <c r="J55" s="168" t="s">
        <v>314</v>
      </c>
      <c r="K55" s="168" t="s">
        <v>218</v>
      </c>
      <c r="L55" s="158">
        <v>155.77699999999999</v>
      </c>
      <c r="M55" s="125"/>
      <c r="N55" s="125">
        <f>L55-M55</f>
        <v>155.77699999999999</v>
      </c>
      <c r="O55" s="113">
        <f>M55/L55</f>
        <v>0</v>
      </c>
    </row>
    <row r="56" spans="1:15">
      <c r="A56" s="116" t="s">
        <v>539</v>
      </c>
      <c r="B56" s="116" t="s">
        <v>323</v>
      </c>
      <c r="C56" s="98">
        <v>43963</v>
      </c>
      <c r="D56" s="116">
        <v>1237</v>
      </c>
      <c r="E56" s="116" t="s">
        <v>324</v>
      </c>
      <c r="F56" s="116" t="s">
        <v>311</v>
      </c>
      <c r="G56" s="169" t="s">
        <v>238</v>
      </c>
      <c r="H56" s="118" t="s">
        <v>540</v>
      </c>
      <c r="I56" s="118">
        <v>964972</v>
      </c>
      <c r="J56" s="128" t="s">
        <v>314</v>
      </c>
      <c r="K56" s="128" t="s">
        <v>217</v>
      </c>
      <c r="L56" s="158">
        <v>44.64</v>
      </c>
      <c r="M56" s="116"/>
      <c r="N56" s="116">
        <f t="shared" si="2"/>
        <v>44.64</v>
      </c>
      <c r="O56" s="151">
        <f t="shared" si="3"/>
        <v>0</v>
      </c>
    </row>
    <row r="57" spans="1:15">
      <c r="A57" s="169" t="s">
        <v>539</v>
      </c>
      <c r="B57" s="169" t="s">
        <v>323</v>
      </c>
      <c r="C57" s="98">
        <v>43963</v>
      </c>
      <c r="D57" s="169">
        <v>1237</v>
      </c>
      <c r="E57" s="169" t="s">
        <v>324</v>
      </c>
      <c r="F57" s="169" t="s">
        <v>311</v>
      </c>
      <c r="G57" s="169" t="s">
        <v>238</v>
      </c>
      <c r="H57" s="118" t="s">
        <v>540</v>
      </c>
      <c r="I57" s="118">
        <v>964972</v>
      </c>
      <c r="J57" s="128" t="s">
        <v>314</v>
      </c>
      <c r="K57" s="128" t="s">
        <v>218</v>
      </c>
      <c r="L57" s="158">
        <v>135.06</v>
      </c>
      <c r="M57" s="116"/>
      <c r="N57" s="116">
        <f t="shared" si="2"/>
        <v>135.06</v>
      </c>
      <c r="O57" s="151">
        <f t="shared" si="3"/>
        <v>0</v>
      </c>
    </row>
    <row r="58" spans="1:15">
      <c r="A58" s="183" t="s">
        <v>414</v>
      </c>
      <c r="B58" s="128" t="s">
        <v>323</v>
      </c>
      <c r="C58" s="98">
        <v>43964</v>
      </c>
      <c r="D58" s="116">
        <v>1252</v>
      </c>
      <c r="E58" s="183" t="s">
        <v>324</v>
      </c>
      <c r="F58" s="116" t="s">
        <v>325</v>
      </c>
      <c r="G58" s="116" t="s">
        <v>239</v>
      </c>
      <c r="H58" s="128" t="s">
        <v>428</v>
      </c>
      <c r="I58" s="128">
        <v>966686</v>
      </c>
      <c r="J58" s="128" t="s">
        <v>314</v>
      </c>
      <c r="K58" s="128" t="s">
        <v>217</v>
      </c>
      <c r="L58" s="136">
        <v>190</v>
      </c>
      <c r="M58" s="128"/>
      <c r="N58" s="128">
        <f t="shared" ref="N58:N64" si="4">L58-M58</f>
        <v>190</v>
      </c>
      <c r="O58" s="130">
        <f t="shared" si="3"/>
        <v>0</v>
      </c>
    </row>
    <row r="59" spans="1:15">
      <c r="A59" s="183" t="s">
        <v>414</v>
      </c>
      <c r="B59" s="128" t="s">
        <v>323</v>
      </c>
      <c r="C59" s="98">
        <v>43964</v>
      </c>
      <c r="D59" s="183">
        <v>1252</v>
      </c>
      <c r="E59" s="183" t="s">
        <v>324</v>
      </c>
      <c r="F59" s="183" t="s">
        <v>325</v>
      </c>
      <c r="G59" s="183" t="s">
        <v>239</v>
      </c>
      <c r="H59" s="128" t="s">
        <v>428</v>
      </c>
      <c r="I59" s="128">
        <v>966686</v>
      </c>
      <c r="J59" s="128" t="s">
        <v>314</v>
      </c>
      <c r="K59" s="128" t="s">
        <v>218</v>
      </c>
      <c r="L59" s="136">
        <v>400</v>
      </c>
      <c r="M59" s="140">
        <v>41.567</v>
      </c>
      <c r="N59" s="128">
        <f t="shared" si="4"/>
        <v>358.43299999999999</v>
      </c>
      <c r="O59" s="130">
        <f t="shared" si="3"/>
        <v>0.1039175</v>
      </c>
    </row>
    <row r="60" spans="1:15">
      <c r="A60" s="183" t="s">
        <v>414</v>
      </c>
      <c r="B60" s="128" t="s">
        <v>323</v>
      </c>
      <c r="C60" s="98">
        <v>43964</v>
      </c>
      <c r="D60" s="183">
        <v>1252</v>
      </c>
      <c r="E60" s="183" t="s">
        <v>324</v>
      </c>
      <c r="F60" s="183" t="s">
        <v>325</v>
      </c>
      <c r="G60" s="183" t="s">
        <v>239</v>
      </c>
      <c r="H60" s="128" t="s">
        <v>429</v>
      </c>
      <c r="I60" s="128">
        <v>951113</v>
      </c>
      <c r="J60" s="128" t="s">
        <v>314</v>
      </c>
      <c r="K60" s="128" t="s">
        <v>217</v>
      </c>
      <c r="L60" s="136">
        <v>190</v>
      </c>
      <c r="M60" s="140"/>
      <c r="N60" s="128">
        <f t="shared" si="4"/>
        <v>190</v>
      </c>
      <c r="O60" s="130">
        <f t="shared" si="3"/>
        <v>0</v>
      </c>
    </row>
    <row r="61" spans="1:15">
      <c r="A61" s="183" t="s">
        <v>414</v>
      </c>
      <c r="B61" s="128" t="s">
        <v>323</v>
      </c>
      <c r="C61" s="98">
        <v>43964</v>
      </c>
      <c r="D61" s="183">
        <v>1252</v>
      </c>
      <c r="E61" s="183" t="s">
        <v>324</v>
      </c>
      <c r="F61" s="183" t="s">
        <v>325</v>
      </c>
      <c r="G61" s="183" t="s">
        <v>239</v>
      </c>
      <c r="H61" s="128" t="s">
        <v>429</v>
      </c>
      <c r="I61" s="128">
        <v>951113</v>
      </c>
      <c r="J61" s="128" t="s">
        <v>314</v>
      </c>
      <c r="K61" s="128" t="s">
        <v>218</v>
      </c>
      <c r="L61" s="136">
        <v>400</v>
      </c>
      <c r="M61" s="140"/>
      <c r="N61" s="128">
        <f t="shared" si="4"/>
        <v>400</v>
      </c>
      <c r="O61" s="130">
        <f t="shared" si="3"/>
        <v>0</v>
      </c>
    </row>
    <row r="62" spans="1:15">
      <c r="A62" s="116" t="s">
        <v>566</v>
      </c>
      <c r="B62" s="128" t="s">
        <v>323</v>
      </c>
      <c r="C62" s="98">
        <v>44012</v>
      </c>
      <c r="D62" s="116">
        <v>1</v>
      </c>
      <c r="E62" s="116" t="s">
        <v>567</v>
      </c>
      <c r="F62" s="116" t="s">
        <v>311</v>
      </c>
      <c r="G62" s="186" t="s">
        <v>238</v>
      </c>
      <c r="H62" s="118" t="s">
        <v>326</v>
      </c>
      <c r="I62" s="186">
        <v>951220</v>
      </c>
      <c r="J62" s="128" t="s">
        <v>314</v>
      </c>
      <c r="K62" s="128" t="s">
        <v>218</v>
      </c>
      <c r="L62" s="158">
        <v>450</v>
      </c>
      <c r="M62" s="116"/>
      <c r="N62" s="116">
        <f t="shared" si="4"/>
        <v>450</v>
      </c>
      <c r="O62" s="151">
        <f t="shared" si="3"/>
        <v>0</v>
      </c>
    </row>
    <row r="63" spans="1:15">
      <c r="A63" s="116" t="s">
        <v>462</v>
      </c>
      <c r="B63" s="128" t="s">
        <v>323</v>
      </c>
      <c r="C63" s="98">
        <v>44007</v>
      </c>
      <c r="D63" s="116">
        <v>1486</v>
      </c>
      <c r="E63" s="189" t="s">
        <v>324</v>
      </c>
      <c r="F63" s="189" t="s">
        <v>325</v>
      </c>
      <c r="G63" s="189" t="s">
        <v>238</v>
      </c>
      <c r="H63" s="118" t="s">
        <v>596</v>
      </c>
      <c r="I63" s="116">
        <v>966254</v>
      </c>
      <c r="J63" s="128" t="s">
        <v>314</v>
      </c>
      <c r="K63" s="128" t="s">
        <v>217</v>
      </c>
      <c r="L63" s="158">
        <v>116</v>
      </c>
      <c r="M63" s="116"/>
      <c r="N63" s="116">
        <f t="shared" si="4"/>
        <v>116</v>
      </c>
      <c r="O63" s="151">
        <f t="shared" si="3"/>
        <v>0</v>
      </c>
    </row>
    <row r="64" spans="1:15">
      <c r="A64" s="189" t="s">
        <v>462</v>
      </c>
      <c r="B64" s="128" t="s">
        <v>323</v>
      </c>
      <c r="C64" s="98">
        <v>44007</v>
      </c>
      <c r="D64" s="189">
        <v>1486</v>
      </c>
      <c r="E64" s="189" t="s">
        <v>324</v>
      </c>
      <c r="F64" s="189" t="s">
        <v>325</v>
      </c>
      <c r="G64" s="189" t="s">
        <v>238</v>
      </c>
      <c r="H64" s="188" t="s">
        <v>596</v>
      </c>
      <c r="I64" s="189">
        <v>966254</v>
      </c>
      <c r="J64" s="128" t="s">
        <v>314</v>
      </c>
      <c r="K64" s="128" t="s">
        <v>218</v>
      </c>
      <c r="L64" s="158">
        <v>248</v>
      </c>
      <c r="M64" s="116"/>
      <c r="N64" s="116">
        <f t="shared" si="4"/>
        <v>248</v>
      </c>
      <c r="O64" s="151">
        <f t="shared" si="3"/>
        <v>0</v>
      </c>
    </row>
    <row r="65" spans="1:15">
      <c r="A65" s="116" t="s">
        <v>624</v>
      </c>
      <c r="B65" s="116" t="s">
        <v>323</v>
      </c>
      <c r="C65" s="98">
        <v>44018</v>
      </c>
      <c r="D65" s="116">
        <v>1543</v>
      </c>
      <c r="E65" s="192" t="s">
        <v>324</v>
      </c>
      <c r="F65" s="192" t="s">
        <v>311</v>
      </c>
      <c r="G65" s="192" t="s">
        <v>239</v>
      </c>
      <c r="H65" s="128" t="s">
        <v>429</v>
      </c>
      <c r="I65" s="128">
        <v>951113</v>
      </c>
      <c r="J65" s="128" t="s">
        <v>314</v>
      </c>
      <c r="K65" s="128" t="s">
        <v>217</v>
      </c>
      <c r="L65" s="136">
        <v>30</v>
      </c>
      <c r="M65" s="140"/>
      <c r="N65" s="128">
        <f t="shared" ref="N65:N68" si="5">L65-M65</f>
        <v>30</v>
      </c>
      <c r="O65" s="130">
        <f t="shared" ref="O65:O68" si="6">M65/L65</f>
        <v>0</v>
      </c>
    </row>
    <row r="66" spans="1:15">
      <c r="A66" s="192" t="s">
        <v>624</v>
      </c>
      <c r="B66" s="192" t="s">
        <v>323</v>
      </c>
      <c r="C66" s="98">
        <v>44018</v>
      </c>
      <c r="D66" s="192">
        <v>1543</v>
      </c>
      <c r="E66" s="192" t="s">
        <v>324</v>
      </c>
      <c r="F66" s="192" t="s">
        <v>311</v>
      </c>
      <c r="G66" s="192" t="s">
        <v>239</v>
      </c>
      <c r="H66" s="128" t="s">
        <v>429</v>
      </c>
      <c r="I66" s="128">
        <v>951113</v>
      </c>
      <c r="J66" s="128" t="s">
        <v>314</v>
      </c>
      <c r="K66" s="128" t="s">
        <v>218</v>
      </c>
      <c r="L66" s="136">
        <v>70</v>
      </c>
      <c r="M66" s="140"/>
      <c r="N66" s="128">
        <f t="shared" si="5"/>
        <v>70</v>
      </c>
      <c r="O66" s="130">
        <f t="shared" si="6"/>
        <v>0</v>
      </c>
    </row>
    <row r="67" spans="1:15">
      <c r="A67" s="192" t="s">
        <v>624</v>
      </c>
      <c r="B67" s="192" t="s">
        <v>323</v>
      </c>
      <c r="C67" s="98">
        <v>44018</v>
      </c>
      <c r="D67" s="192">
        <v>1543</v>
      </c>
      <c r="E67" s="192" t="s">
        <v>324</v>
      </c>
      <c r="F67" s="192" t="s">
        <v>311</v>
      </c>
      <c r="G67" s="192" t="s">
        <v>239</v>
      </c>
      <c r="H67" s="128" t="s">
        <v>428</v>
      </c>
      <c r="I67" s="128">
        <v>966686</v>
      </c>
      <c r="J67" s="128" t="s">
        <v>314</v>
      </c>
      <c r="K67" s="128" t="s">
        <v>217</v>
      </c>
      <c r="L67" s="136">
        <v>30</v>
      </c>
      <c r="M67" s="128"/>
      <c r="N67" s="128">
        <f t="shared" si="5"/>
        <v>30</v>
      </c>
      <c r="O67" s="130">
        <f t="shared" si="6"/>
        <v>0</v>
      </c>
    </row>
    <row r="68" spans="1:15">
      <c r="A68" s="192" t="s">
        <v>624</v>
      </c>
      <c r="B68" s="192" t="s">
        <v>323</v>
      </c>
      <c r="C68" s="98">
        <v>44018</v>
      </c>
      <c r="D68" s="192">
        <v>1543</v>
      </c>
      <c r="E68" s="192" t="s">
        <v>324</v>
      </c>
      <c r="F68" s="192" t="s">
        <v>311</v>
      </c>
      <c r="G68" s="192" t="s">
        <v>239</v>
      </c>
      <c r="H68" s="128" t="s">
        <v>428</v>
      </c>
      <c r="I68" s="128">
        <v>966686</v>
      </c>
      <c r="J68" s="128" t="s">
        <v>314</v>
      </c>
      <c r="K68" s="128" t="s">
        <v>218</v>
      </c>
      <c r="L68" s="136">
        <v>70</v>
      </c>
      <c r="M68" s="140"/>
      <c r="N68" s="128">
        <f t="shared" si="5"/>
        <v>70</v>
      </c>
      <c r="O68" s="130">
        <f t="shared" si="6"/>
        <v>0</v>
      </c>
    </row>
    <row r="69" spans="1:15">
      <c r="A69" s="116"/>
      <c r="B69" s="116"/>
      <c r="C69" s="98"/>
      <c r="D69" s="116"/>
      <c r="E69" s="116"/>
      <c r="F69" s="116"/>
      <c r="G69" s="116"/>
      <c r="H69" s="118"/>
      <c r="I69" s="116"/>
      <c r="J69" s="116"/>
      <c r="K69" s="118"/>
      <c r="L69" s="158"/>
      <c r="M69" s="116"/>
      <c r="N69" s="116"/>
      <c r="O69" s="116"/>
    </row>
    <row r="70" spans="1:15">
      <c r="A70" s="116"/>
      <c r="B70" s="116"/>
      <c r="C70" s="98"/>
      <c r="D70" s="116"/>
      <c r="E70" s="116"/>
      <c r="F70" s="116"/>
      <c r="G70" s="116"/>
      <c r="H70" s="118"/>
      <c r="I70" s="116"/>
      <c r="J70" s="116"/>
      <c r="K70" s="118"/>
      <c r="L70" s="158"/>
      <c r="M70" s="116"/>
      <c r="N70" s="116"/>
      <c r="O70" s="116"/>
    </row>
    <row r="71" spans="1:15">
      <c r="A71" s="116"/>
      <c r="B71" s="116"/>
      <c r="C71" s="98"/>
      <c r="D71" s="116"/>
      <c r="E71" s="116"/>
      <c r="F71" s="116"/>
      <c r="G71" s="116"/>
      <c r="H71" s="118"/>
      <c r="I71" s="116"/>
      <c r="J71" s="116"/>
      <c r="K71" s="118"/>
      <c r="L71" s="158"/>
      <c r="M71" s="116"/>
      <c r="N71" s="116"/>
      <c r="O71" s="116"/>
    </row>
    <row r="72" spans="1:15">
      <c r="C72" s="95"/>
      <c r="H72" s="64"/>
      <c r="K72" s="64"/>
      <c r="L72" s="172"/>
    </row>
    <row r="73" spans="1:15">
      <c r="C73" s="95"/>
      <c r="H73" s="64"/>
      <c r="K73" s="64"/>
      <c r="L73" s="172"/>
    </row>
    <row r="74" spans="1:15">
      <c r="C74" s="95"/>
      <c r="H74" s="64"/>
      <c r="K74" s="64"/>
      <c r="L74" s="172"/>
    </row>
    <row r="75" spans="1:15">
      <c r="C75" s="95"/>
      <c r="H75" s="64"/>
      <c r="K75" s="64"/>
      <c r="L75" s="172"/>
    </row>
    <row r="76" spans="1:15">
      <c r="C76" s="95"/>
      <c r="H76" s="64"/>
      <c r="K76" s="64"/>
      <c r="L76" s="172"/>
    </row>
    <row r="77" spans="1:15">
      <c r="C77" s="95"/>
      <c r="D77" s="64"/>
      <c r="H77" s="64"/>
      <c r="J77" s="64"/>
      <c r="K77" s="65"/>
      <c r="L77" s="172"/>
      <c r="M77" s="63"/>
    </row>
    <row r="78" spans="1:15">
      <c r="C78" s="95"/>
      <c r="D78" s="64"/>
      <c r="H78" s="64"/>
      <c r="J78" s="64"/>
      <c r="K78" s="65"/>
      <c r="L78" s="172"/>
      <c r="M78" s="63"/>
    </row>
    <row r="79" spans="1:15">
      <c r="C79" s="95"/>
      <c r="I79" s="64"/>
      <c r="L79" s="172"/>
    </row>
    <row r="80" spans="1:15">
      <c r="C80" s="95"/>
      <c r="I80" s="64"/>
      <c r="L80" s="172"/>
    </row>
    <row r="81" spans="3:14">
      <c r="C81" s="95"/>
      <c r="I81" s="64"/>
      <c r="L81" s="172"/>
    </row>
    <row r="82" spans="3:14">
      <c r="C82" s="95"/>
      <c r="I82" s="64"/>
      <c r="L82" s="172"/>
    </row>
    <row r="83" spans="3:14">
      <c r="C83" s="95"/>
      <c r="I83" s="64"/>
      <c r="L83" s="172"/>
    </row>
    <row r="84" spans="3:14">
      <c r="C84" s="95"/>
      <c r="I84" s="64"/>
      <c r="L84" s="172"/>
    </row>
    <row r="85" spans="3:14">
      <c r="C85" s="95"/>
      <c r="H85" s="64"/>
      <c r="I85" s="64"/>
      <c r="L85" s="172"/>
    </row>
    <row r="86" spans="3:14">
      <c r="C86" s="95"/>
      <c r="H86" s="64"/>
      <c r="I86" s="64"/>
      <c r="L86" s="172"/>
      <c r="N86" s="96"/>
    </row>
    <row r="87" spans="3:14">
      <c r="C87" s="95"/>
      <c r="H87" s="64"/>
      <c r="I87" s="64"/>
      <c r="L87" s="172"/>
    </row>
    <row r="88" spans="3:14">
      <c r="C88" s="95"/>
      <c r="H88" s="64"/>
      <c r="I88" s="64"/>
      <c r="L88" s="172"/>
    </row>
    <row r="89" spans="3:14">
      <c r="C89" s="95"/>
      <c r="H89" s="64"/>
      <c r="I89" s="64"/>
      <c r="L89" s="172"/>
    </row>
    <row r="90" spans="3:14">
      <c r="C90" s="95"/>
      <c r="H90" s="64"/>
      <c r="I90" s="64"/>
      <c r="L90" s="172"/>
    </row>
    <row r="91" spans="3:14">
      <c r="C91" s="95"/>
      <c r="H91" s="64"/>
      <c r="I91" s="64"/>
      <c r="L91" s="172"/>
    </row>
    <row r="92" spans="3:14">
      <c r="C92" s="95"/>
      <c r="H92" s="64"/>
      <c r="I92" s="64"/>
      <c r="L92" s="172"/>
    </row>
    <row r="93" spans="3:14">
      <c r="C93" s="95"/>
      <c r="H93" s="64"/>
      <c r="I93" s="64"/>
      <c r="L93" s="172"/>
    </row>
    <row r="94" spans="3:14">
      <c r="C94" s="95"/>
      <c r="H94" s="64"/>
      <c r="I94" s="64"/>
      <c r="L94" s="172"/>
    </row>
    <row r="95" spans="3:14">
      <c r="C95" s="95"/>
      <c r="H95" s="64"/>
      <c r="I95" s="64"/>
      <c r="L95" s="172"/>
    </row>
    <row r="96" spans="3:14">
      <c r="C96" s="95"/>
      <c r="H96" s="64"/>
      <c r="I96" s="64"/>
      <c r="L96" s="172"/>
    </row>
    <row r="97" spans="3:12">
      <c r="C97" s="95"/>
      <c r="H97" s="64"/>
      <c r="I97" s="64"/>
      <c r="L97" s="172"/>
    </row>
    <row r="98" spans="3:12">
      <c r="C98" s="95"/>
    </row>
    <row r="99" spans="3:12">
      <c r="C99" s="95"/>
    </row>
    <row r="100" spans="3:12">
      <c r="C100" s="95"/>
    </row>
    <row r="101" spans="3:12">
      <c r="C101" s="95"/>
    </row>
    <row r="102" spans="3:12">
      <c r="C102" s="95"/>
    </row>
    <row r="103" spans="3:12">
      <c r="C103" s="95"/>
    </row>
    <row r="104" spans="3:12">
      <c r="C104" s="95"/>
    </row>
    <row r="105" spans="3:12">
      <c r="C105" s="95"/>
    </row>
    <row r="106" spans="3:12">
      <c r="C106" s="95"/>
    </row>
    <row r="107" spans="3:12">
      <c r="C107" s="95"/>
    </row>
    <row r="108" spans="3:12">
      <c r="C108" s="95"/>
      <c r="I108" s="64"/>
    </row>
    <row r="109" spans="3:12">
      <c r="C109" s="95"/>
      <c r="I109" s="64"/>
    </row>
    <row r="110" spans="3:12">
      <c r="C110" s="95"/>
      <c r="I110" s="64"/>
    </row>
    <row r="111" spans="3:12">
      <c r="C111" s="95"/>
      <c r="I111" s="64"/>
    </row>
    <row r="112" spans="3:12">
      <c r="C112" s="95"/>
      <c r="I112" s="64"/>
    </row>
    <row r="113" spans="3:3">
      <c r="C113" s="95"/>
    </row>
    <row r="114" spans="3:3">
      <c r="C114" s="95"/>
    </row>
    <row r="115" spans="3:3">
      <c r="C115" s="95"/>
    </row>
    <row r="116" spans="3:3">
      <c r="C116" s="95"/>
    </row>
  </sheetData>
  <autoFilter ref="A3:O61"/>
  <mergeCells count="1">
    <mergeCell ref="B2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Anchov y SardC LTP</vt:lpstr>
      <vt:lpstr>Anchoveta</vt:lpstr>
      <vt:lpstr>Sardina comun</vt:lpstr>
      <vt:lpstr>IC Anch-SardC V-VII y IX-X</vt:lpstr>
      <vt:lpstr>IC Anch y SardC VIII</vt:lpstr>
      <vt:lpstr>Consumo humano</vt:lpstr>
      <vt:lpstr>Cesiones Indiv y Colecti VIII</vt:lpstr>
      <vt:lpstr>Cesiones Ind IX-XIV</vt:lpstr>
      <vt:lpstr>Pescas de Investigacion</vt:lpstr>
      <vt:lpstr>Compilado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.</cp:lastModifiedBy>
  <dcterms:created xsi:type="dcterms:W3CDTF">2019-10-14T15:00:49Z</dcterms:created>
  <dcterms:modified xsi:type="dcterms:W3CDTF">2020-07-09T19:27:14Z</dcterms:modified>
</cp:coreProperties>
</file>